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<sst xmlns="http://schemas.openxmlformats.org/spreadsheetml/2006/main" count="1566" uniqueCount="941">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</sst>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6" fillId="0" borderId="0" xfId="442" applyFont="1" applyAlignment="1">
      <alignment wrapText="1"/>
      <protection/>
    </xf>
    <xf numFmtId="0" fontId="6" fillId="0" borderId="0" xfId="442" applyFont="1" applyAlignment="1">
      <alignment vertical="center"/>
      <protection/>
    </xf>
    <xf numFmtId="0" fontId="7" fillId="0" borderId="0" xfId="151" applyFont="1" applyAlignment="1">
      <alignment vertical="center"/>
      <protection/>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tabSelected="1"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882"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f>inputPrYr!$D$2</f>
        <v>0</v>
      </c>
      <c r="C1" s="167"/>
      <c r="D1" s="167"/>
      <c r="E1" s="167"/>
      <c r="F1" s="167"/>
      <c r="G1" s="167"/>
      <c r="H1" s="167"/>
      <c r="I1" s="167"/>
      <c r="J1" s="14"/>
      <c r="K1" s="14"/>
      <c r="L1" s="15">
        <f>inputPrYr!D5</f>
        <v>0</v>
      </c>
    </row>
    <row r="2" spans="2:12" ht="15.75">
      <c r="B2" s="166">
        <f>inputPrYr!$D$3</f>
        <v>0</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-1</v>
      </c>
      <c r="J6" s="176"/>
      <c r="K6" s="175">
        <f>L1</f>
        <v>0</v>
      </c>
      <c r="L6" s="176"/>
    </row>
    <row r="7" spans="2:12" ht="15.75">
      <c r="B7" s="177" t="s">
        <v>831</v>
      </c>
      <c r="C7" s="177" t="s">
        <v>58</v>
      </c>
      <c r="D7" s="177" t="s">
        <v>29</v>
      </c>
      <c r="E7" s="177" t="s">
        <v>59</v>
      </c>
      <c r="F7" s="178" t="str">
        <f>CONCATENATE("Jan 1,",L1-1,"")</f>
        <v>Jan 1,-1</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1" t="s">
        <v>73</v>
      </c>
      <c r="C18" s="781"/>
      <c r="D18" s="781"/>
      <c r="E18" s="781"/>
      <c r="F18" s="781"/>
      <c r="G18" s="781"/>
      <c r="H18" s="781"/>
      <c r="I18" s="781"/>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1,-1</v>
      </c>
      <c r="H23" s="177">
        <f>L1-1</f>
        <v>-1</v>
      </c>
      <c r="I23" s="177">
        <f>L1</f>
        <v>0</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2" t="s">
        <v>769</v>
      </c>
      <c r="C2" s="792"/>
      <c r="D2" s="792"/>
      <c r="E2" s="792"/>
      <c r="F2" s="792"/>
      <c r="G2" s="792"/>
      <c r="H2" s="792"/>
      <c r="I2" s="792"/>
    </row>
    <row r="3" spans="2:9" ht="15.75">
      <c r="B3" s="792" t="s">
        <v>770</v>
      </c>
      <c r="C3" s="792"/>
      <c r="D3" s="792"/>
      <c r="E3" s="792"/>
      <c r="F3" s="792"/>
      <c r="G3" s="792"/>
      <c r="H3" s="792"/>
      <c r="I3" s="792"/>
    </row>
    <row r="4" spans="2:9" ht="15.75">
      <c r="B4" s="556"/>
      <c r="C4" s="556"/>
      <c r="D4" s="556"/>
      <c r="E4" s="556"/>
      <c r="F4" s="556"/>
      <c r="G4" s="556"/>
      <c r="H4" s="556"/>
      <c r="I4" s="556"/>
    </row>
    <row r="5" spans="2:9" ht="15.75">
      <c r="B5" s="793" t="str">
        <f>CONCATENATE("Budgeted Year: ",inputPrYr!D5,"")</f>
        <v>Budgeted Year: </v>
      </c>
      <c r="C5" s="793"/>
      <c r="D5" s="793"/>
      <c r="E5" s="793"/>
      <c r="F5" s="793"/>
      <c r="G5" s="793"/>
      <c r="H5" s="793"/>
      <c r="I5" s="793"/>
    </row>
    <row r="6" spans="2:9" ht="15.75">
      <c r="B6" s="557"/>
      <c r="C6" s="556"/>
      <c r="D6" s="556"/>
      <c r="E6" s="556"/>
      <c r="F6" s="556"/>
      <c r="G6" s="556"/>
      <c r="H6" s="556"/>
      <c r="I6" s="556"/>
    </row>
    <row r="7" spans="2:9" ht="15.75">
      <c r="B7" s="557" t="str">
        <f>CONCATENATE("Library found in: ",inputPrYr!D2,"")</f>
        <v>Library found in: </v>
      </c>
      <c r="C7" s="556"/>
      <c r="D7" s="556"/>
      <c r="E7" s="556"/>
      <c r="F7" s="556"/>
      <c r="G7" s="556"/>
      <c r="H7" s="556"/>
      <c r="I7" s="556"/>
    </row>
    <row r="8" spans="2:9" ht="15.75">
      <c r="B8" s="557">
        <f>inputPrYr!D3</f>
        <v>0</v>
      </c>
      <c r="C8" s="556"/>
      <c r="D8" s="556"/>
      <c r="E8" s="556"/>
      <c r="F8" s="556"/>
      <c r="G8" s="556"/>
      <c r="H8" s="556"/>
      <c r="I8" s="556"/>
    </row>
    <row r="9" spans="2:9" ht="15.75">
      <c r="B9" s="556"/>
      <c r="C9" s="556"/>
      <c r="D9" s="556"/>
      <c r="E9" s="556"/>
      <c r="F9" s="556"/>
      <c r="G9" s="556"/>
      <c r="H9" s="556"/>
      <c r="I9" s="556"/>
    </row>
    <row r="10" spans="2:9" ht="39" customHeight="1">
      <c r="B10" s="794" t="s">
        <v>771</v>
      </c>
      <c r="C10" s="794"/>
      <c r="D10" s="794"/>
      <c r="E10" s="794"/>
      <c r="F10" s="794"/>
      <c r="G10" s="794"/>
      <c r="H10" s="794"/>
      <c r="I10" s="794"/>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-1</v>
      </c>
      <c r="F14" s="556"/>
      <c r="G14" s="560">
        <f>inputPrYr!D5</f>
        <v>0</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0</v>
      </c>
      <c r="F27" s="556"/>
      <c r="G27" s="561">
        <f>summ!G37</f>
        <v>0</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4" t="s">
        <v>783</v>
      </c>
      <c r="C36" s="794"/>
      <c r="D36" s="794"/>
      <c r="E36" s="794"/>
      <c r="F36" s="794"/>
      <c r="G36" s="794"/>
      <c r="H36" s="794"/>
      <c r="I36" s="794"/>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5" t="s">
        <v>785</v>
      </c>
      <c r="C43" s="796"/>
      <c r="D43" s="796"/>
      <c r="E43" s="796"/>
      <c r="F43" s="796"/>
      <c r="G43" s="796"/>
      <c r="H43" s="796"/>
      <c r="I43" s="796"/>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0 library fund is not equal to or greater than the amount from the same</v>
      </c>
      <c r="C46" s="556"/>
      <c r="D46" s="556"/>
      <c r="E46" s="556"/>
      <c r="F46" s="556"/>
      <c r="G46" s="556"/>
      <c r="H46" s="556"/>
      <c r="I46" s="556"/>
    </row>
    <row r="47" spans="2:9" ht="15.75">
      <c r="B47" s="573" t="str">
        <f>CONCATENATE("sources in ",E14,".")</f>
        <v>sources in -1.</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0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0 is equal to or greater than that for Current Year Estimate -1.</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(-1)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0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79" sqref="K7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f>inputPrYr!D2</f>
        <v>0</v>
      </c>
      <c r="C1" s="14"/>
      <c r="D1" s="14"/>
      <c r="E1" s="15">
        <f>inputPrYr!D5</f>
        <v>0</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v>
      </c>
      <c r="D5" s="386" t="str">
        <f>CONCATENATE("Estimate for ",$E$1-1,"")</f>
        <v>Estimate for -1</v>
      </c>
      <c r="E5" s="26" t="str">
        <f>CONCATENATE("Year for ",$E$1,"")</f>
        <v>Year for 0</v>
      </c>
    </row>
    <row r="6" spans="2:5" ht="15.75">
      <c r="B6" s="27" t="s">
        <v>118</v>
      </c>
      <c r="C6" s="29"/>
      <c r="D6" s="387">
        <f>C51</f>
        <v>0</v>
      </c>
      <c r="E6" s="32">
        <f>D51</f>
        <v>0</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0</v>
      </c>
      <c r="D26" s="389">
        <f>SUM(D8:D24)</f>
        <v>0</v>
      </c>
      <c r="E26" s="42">
        <f>SUM(E8:E24)</f>
        <v>0</v>
      </c>
    </row>
    <row r="27" spans="2:5" ht="15.75">
      <c r="B27" s="43" t="s">
        <v>24</v>
      </c>
      <c r="C27" s="389">
        <f>C26+C6</f>
        <v>0</v>
      </c>
      <c r="D27" s="389">
        <f>D26+D6</f>
        <v>0</v>
      </c>
      <c r="E27" s="42">
        <f>E26+E6</f>
        <v>0</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3" t="str">
        <f>CONCATENATE("Desired Carryover Into ",E1+1,"")</f>
        <v>Desired Carryover Into 1</v>
      </c>
      <c r="H41" s="804"/>
      <c r="I41" s="804"/>
      <c r="J41" s="805"/>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0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3" t="str">
        <f>CONCATENATE("Projected Carryover Into ",E1+1,"")</f>
        <v>Projected Carryover Into 1</v>
      </c>
      <c r="H48" s="804"/>
      <c r="I48" s="804"/>
      <c r="J48" s="805"/>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0</v>
      </c>
      <c r="D50" s="381">
        <f>SUM(D29:D48)</f>
        <v>0</v>
      </c>
      <c r="E50" s="47">
        <f>SUM(E29:E43,E45,E47:E48)</f>
        <v>0</v>
      </c>
      <c r="G50" s="484">
        <f>D51</f>
        <v>0</v>
      </c>
      <c r="H50" s="485" t="str">
        <f>CONCATENATE("",E1-1," Ending Cash Balance (est.)")</f>
        <v>-1 Ending Cash Balance (est.)</v>
      </c>
      <c r="I50" s="486"/>
      <c r="J50" s="257"/>
    </row>
    <row r="51" spans="2:10" ht="15.75">
      <c r="B51" s="27" t="s">
        <v>119</v>
      </c>
      <c r="C51" s="382">
        <f>C27-C50</f>
        <v>0</v>
      </c>
      <c r="D51" s="382">
        <f>SUM(D27-D50)</f>
        <v>0</v>
      </c>
      <c r="E51" s="33" t="s">
        <v>289</v>
      </c>
      <c r="G51" s="484">
        <f>E26</f>
        <v>0</v>
      </c>
      <c r="H51" s="487" t="str">
        <f>CONCATENATE("",E1," Non-AV Receipts (est.)")</f>
        <v>0 Non-AV Receipts (est.)</v>
      </c>
      <c r="I51" s="486"/>
      <c r="J51" s="257"/>
    </row>
    <row r="52" spans="2:11" ht="15.75">
      <c r="B52" s="48" t="str">
        <f>CONCATENATE("",E1-2,"/",E1-1," Budget Authority Amount:")</f>
        <v>-2/-1 Budget Authority Amount:</v>
      </c>
      <c r="C52" s="132">
        <f>inputOth!B46</f>
        <v>0</v>
      </c>
      <c r="D52" s="161">
        <f>inputPrYr!D16</f>
        <v>0</v>
      </c>
      <c r="E52" s="33" t="s">
        <v>289</v>
      </c>
      <c r="F52" s="50"/>
      <c r="G52" s="488">
        <f>IF(D56&gt;0,E55,E57)</f>
        <v>0</v>
      </c>
      <c r="H52" s="487" t="str">
        <f>CONCATENATE("",E1," Ad Valorem Tax (est.)")</f>
        <v>0 Ad Valorem Tax (est.)</v>
      </c>
      <c r="I52" s="486"/>
      <c r="J52" s="257"/>
      <c r="K52" s="701">
        <f>IF(G52=E57,"","Note: Does not include Delinquent Taxes")</f>
      </c>
    </row>
    <row r="53" spans="2:10" ht="15.75">
      <c r="B53" s="48"/>
      <c r="C53" s="799" t="s">
        <v>622</v>
      </c>
      <c r="D53" s="800"/>
      <c r="E53" s="34"/>
      <c r="F53" s="482">
        <f>IF(E50/0.95-E50&lt;E53,"Exceeds 5%","")</f>
      </c>
      <c r="G53" s="484">
        <f>SUM(G50:G52)</f>
        <v>0</v>
      </c>
      <c r="H53" s="487" t="str">
        <f>CONCATENATE("Total ",E1," Resources Available")</f>
        <v>Total 0 Resources Available</v>
      </c>
      <c r="I53" s="486"/>
      <c r="J53" s="257"/>
    </row>
    <row r="54" spans="2:10" ht="15.75">
      <c r="B54" s="395" t="str">
        <f>CONCATENATE(C72,"     ",D72)</f>
        <v>     </v>
      </c>
      <c r="C54" s="801" t="s">
        <v>623</v>
      </c>
      <c r="D54" s="802"/>
      <c r="E54" s="32">
        <f>E50+E53</f>
        <v>0</v>
      </c>
      <c r="G54" s="489"/>
      <c r="H54" s="487"/>
      <c r="I54" s="487"/>
      <c r="J54" s="257"/>
    </row>
    <row r="55" spans="2:10" ht="15.75">
      <c r="B55" s="395" t="str">
        <f>CONCATENATE(C73,"     ",D73)</f>
        <v>     </v>
      </c>
      <c r="C55" s="60"/>
      <c r="D55" s="52" t="s">
        <v>28</v>
      </c>
      <c r="E55" s="46">
        <f>IF(E54-E27&gt;0,E54-E27,0)</f>
        <v>0</v>
      </c>
      <c r="G55" s="488">
        <f>ROUND(C50*0.05+C50,0)</f>
        <v>0</v>
      </c>
      <c r="H55" s="487" t="str">
        <f>CONCATENATE("Less ",E1-2," Expenditures + 5%")</f>
        <v>Less -2 Expenditures + 5%</v>
      </c>
      <c r="I55" s="486"/>
      <c r="J55" s="257"/>
    </row>
    <row r="56" spans="2:10" ht="15.75">
      <c r="B56" s="52"/>
      <c r="C56" s="399" t="s">
        <v>624</v>
      </c>
      <c r="D56" s="689">
        <f>inputOth!$E$40</f>
        <v>0</v>
      </c>
      <c r="E56" s="32">
        <f>ROUND(IF(D56&gt;0,(E55*D56),0),0)</f>
        <v>0</v>
      </c>
      <c r="G56" s="490">
        <f>G53-G55</f>
        <v>0</v>
      </c>
      <c r="H56" s="491" t="str">
        <f>CONCATENATE("Projected ",E1+1," Carryover (est.)")</f>
        <v>Projected 1 Carryover (est.)</v>
      </c>
      <c r="I56" s="492"/>
      <c r="J56" s="493"/>
    </row>
    <row r="57" spans="2:5" ht="15.75">
      <c r="B57" s="14"/>
      <c r="C57" s="797" t="str">
        <f>CONCATENATE("Amount of  ",$E$1-1," Ad Valorem Tax")</f>
        <v>Amount of  -1 Ad Valorem Tax</v>
      </c>
      <c r="D57" s="798"/>
      <c r="E57" s="46">
        <f>E55+E56</f>
        <v>0</v>
      </c>
    </row>
    <row r="58" spans="2:10" ht="15.75">
      <c r="B58" s="14"/>
      <c r="C58" s="14"/>
      <c r="D58" s="14"/>
      <c r="E58" s="14"/>
      <c r="G58" s="806" t="s">
        <v>825</v>
      </c>
      <c r="H58" s="807"/>
      <c r="I58" s="807"/>
      <c r="J58" s="808"/>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0 Fund Mill Rate</v>
      </c>
      <c r="I60" s="691"/>
      <c r="J60" s="703"/>
      <c r="K60" s="16"/>
    </row>
    <row r="61" spans="2:10" ht="15.75">
      <c r="B61" s="52" t="s">
        <v>9</v>
      </c>
      <c r="C61" s="401">
        <f>IF(inputPrYr!D18&gt;0,7,6)</f>
        <v>6</v>
      </c>
      <c r="D61" s="14"/>
      <c r="E61" s="55"/>
      <c r="G61" s="705" t="str">
        <f>summ!F18</f>
        <v>  </v>
      </c>
      <c r="H61" s="485" t="str">
        <f>CONCATENATE("",E1-1," Fund Mill Rate")</f>
        <v>-1 Fund Mill Rate</v>
      </c>
      <c r="I61" s="691"/>
      <c r="J61" s="703"/>
    </row>
    <row r="62" spans="7:10" ht="15.75">
      <c r="G62" s="706">
        <f>summ!I32</f>
        <v>0</v>
      </c>
      <c r="H62" s="485" t="str">
        <f>CONCATENATE("Total ",E1," Mill Rate")</f>
        <v>Total 0 Mill Rate</v>
      </c>
      <c r="I62" s="691"/>
      <c r="J62" s="703"/>
    </row>
    <row r="63" spans="2:10" ht="15.75">
      <c r="B63" s="12"/>
      <c r="G63" s="705">
        <f>summ!F32</f>
        <v>0</v>
      </c>
      <c r="H63" s="707" t="str">
        <f>CONCATENATE("Total ",E1-1," Mill Rate")</f>
        <v>Total -1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f>inputPrYr!D2</f>
        <v>0</v>
      </c>
      <c r="C1" s="579"/>
      <c r="D1" s="580"/>
      <c r="E1" s="581">
        <f>inputPrYr!D5</f>
        <v>0</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v>
      </c>
      <c r="D5" s="592" t="str">
        <f>CONCATENATE("Estimate for ",$E$1-1,"")</f>
        <v>Estimate for -1</v>
      </c>
      <c r="E5" s="593" t="str">
        <f>CONCATENATE("Year for ",$E$1,"")</f>
        <v>Year for 0</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09" t="str">
        <f>CONCATENATE("Desired Carryover Into ",E1+1,"")</f>
        <v>Desired Carryover Into 1</v>
      </c>
      <c r="H24" s="810"/>
      <c r="I24" s="810"/>
      <c r="J24" s="811"/>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0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09" t="str">
        <f>CONCATENATE("Projected Carryover Into ",E1+1,"")</f>
        <v>Projected Carryover Into 1</v>
      </c>
      <c r="H31" s="819"/>
      <c r="I31" s="819"/>
      <c r="J31" s="813"/>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-1 Ending Cash Balance (est.)</v>
      </c>
      <c r="I33" s="633"/>
      <c r="J33" s="628"/>
    </row>
    <row r="34" spans="2:10" ht="15.75">
      <c r="B34" s="594" t="s">
        <v>119</v>
      </c>
      <c r="C34" s="634">
        <f>C21-C33</f>
        <v>0</v>
      </c>
      <c r="D34" s="634">
        <f>D21-D33</f>
        <v>0</v>
      </c>
      <c r="E34" s="600" t="s">
        <v>289</v>
      </c>
      <c r="F34" s="635"/>
      <c r="G34" s="631">
        <f>E20</f>
        <v>0</v>
      </c>
      <c r="H34" s="615" t="str">
        <f>CONCATENATE("",E1," Non-AV Receipts (est.)")</f>
        <v>0 Non-AV Receipts (est.)</v>
      </c>
      <c r="I34" s="633"/>
      <c r="J34" s="628"/>
    </row>
    <row r="35" spans="2:11" ht="15.75">
      <c r="B35" s="636" t="str">
        <f>CONCATENATE("",E1-2,"/",E1-1," Budget Authority Amount:")</f>
        <v>-2/-1 Budget Authority Amount:</v>
      </c>
      <c r="C35" s="637">
        <f>inputOth!B47</f>
        <v>0</v>
      </c>
      <c r="D35" s="638">
        <f>inputPrYr!D17</f>
        <v>0</v>
      </c>
      <c r="E35" s="600" t="s">
        <v>289</v>
      </c>
      <c r="F35" s="639"/>
      <c r="G35" s="640">
        <f>IF(E39&gt;0,E38,E40)</f>
        <v>0</v>
      </c>
      <c r="H35" s="615" t="str">
        <f>CONCATENATE("",E1," Ad Valorem Tax (est.)")</f>
        <v>0 Ad Valorem Tax (est.)</v>
      </c>
      <c r="I35" s="615"/>
      <c r="J35" s="737"/>
      <c r="K35" s="738">
        <f>IF(G35=E40,"","Note: Does not include Delinquent Taxes")</f>
      </c>
    </row>
    <row r="36" spans="2:10" ht="15.75">
      <c r="B36" s="636"/>
      <c r="C36" s="799" t="s">
        <v>622</v>
      </c>
      <c r="D36" s="800"/>
      <c r="E36" s="602"/>
      <c r="F36" s="642">
        <f>IF(E33/0.95-E33&lt;E36,"Exceeds 5%","")</f>
      </c>
      <c r="G36" s="631">
        <f>SUM(G33:G35)</f>
        <v>0</v>
      </c>
      <c r="H36" s="615" t="str">
        <f>CONCATENATE("Total ",E1," Resources Available")</f>
        <v>Total 0 Resources Available</v>
      </c>
      <c r="I36" s="633"/>
      <c r="J36" s="628"/>
    </row>
    <row r="37" spans="2:10" ht="15.75">
      <c r="B37" s="643" t="str">
        <f>CONCATENATE(C93,"     ",D93)</f>
        <v>     </v>
      </c>
      <c r="C37" s="801" t="s">
        <v>623</v>
      </c>
      <c r="D37" s="802"/>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1 carryover (est.)</v>
      </c>
      <c r="I39" s="650"/>
      <c r="J39" s="651"/>
    </row>
    <row r="40" spans="2:6" ht="16.5" thickBot="1">
      <c r="B40" s="580"/>
      <c r="C40" s="814" t="str">
        <f>CONCATENATE("Amount of  ",E1-1," Ad Valorem Tax")</f>
        <v>Amount of  -1 Ad Valorem Tax</v>
      </c>
      <c r="D40" s="815"/>
      <c r="E40" s="653">
        <f>SUM(E38:E39)</f>
        <v>0</v>
      </c>
      <c r="F40" s="635"/>
    </row>
    <row r="41" spans="2:10" ht="16.5" thickTop="1">
      <c r="B41" s="580"/>
      <c r="C41" s="814"/>
      <c r="D41" s="815"/>
      <c r="E41" s="654"/>
      <c r="F41" s="635"/>
      <c r="G41" s="816" t="s">
        <v>825</v>
      </c>
      <c r="H41" s="817"/>
      <c r="I41" s="817"/>
      <c r="J41" s="818"/>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0 Fund Mill Rate</v>
      </c>
      <c r="I43" s="656"/>
      <c r="J43" s="657"/>
    </row>
    <row r="44" spans="2:10" ht="15.75">
      <c r="B44" s="586" t="s">
        <v>10</v>
      </c>
      <c r="C44" s="587" t="s">
        <v>821</v>
      </c>
      <c r="D44" s="588" t="s">
        <v>822</v>
      </c>
      <c r="E44" s="589" t="s">
        <v>823</v>
      </c>
      <c r="F44" s="635"/>
      <c r="G44" s="659" t="str">
        <f>summ!F19</f>
        <v>  </v>
      </c>
      <c r="H44" s="632" t="str">
        <f>CONCATENATE("",E1-1," Fund Mill Rate")</f>
        <v>-1 Fund Mill Rate</v>
      </c>
      <c r="I44" s="656"/>
      <c r="J44" s="657"/>
    </row>
    <row r="45" spans="2:10" ht="15.75">
      <c r="B45" s="660" t="str">
        <f>inputPrYr!B18</f>
        <v>Library</v>
      </c>
      <c r="C45" s="591" t="str">
        <f>CONCATENATE("Actual for ",$E$1-2,"")</f>
        <v>Actual for -2</v>
      </c>
      <c r="D45" s="592" t="str">
        <f>CONCATENATE("Estimate for ",$E$1-1,"")</f>
        <v>Estimate for -1</v>
      </c>
      <c r="E45" s="593" t="str">
        <f>CONCATENATE("Year for ",$E$1,"")</f>
        <v>Year for 0</v>
      </c>
      <c r="F45" s="635"/>
      <c r="G45" s="661">
        <f>summ!I32</f>
        <v>0</v>
      </c>
      <c r="H45" s="632" t="str">
        <f>CONCATENATE("Total ",E1," Mill Rate")</f>
        <v>Total 0 Mill Rate</v>
      </c>
      <c r="I45" s="656"/>
      <c r="J45" s="657"/>
    </row>
    <row r="46" spans="2:10" ht="15.75">
      <c r="B46" s="594" t="s">
        <v>144</v>
      </c>
      <c r="C46" s="599">
        <v>0</v>
      </c>
      <c r="D46" s="596">
        <f>C74</f>
        <v>0</v>
      </c>
      <c r="E46" s="597">
        <f>D74</f>
        <v>0</v>
      </c>
      <c r="F46" s="635"/>
      <c r="G46" s="659">
        <f>summ!F32</f>
        <v>0</v>
      </c>
      <c r="H46" s="662" t="str">
        <f>CONCATENATE("Total ",E1-1," Mill Rate")</f>
        <v>Total -1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09" t="str">
        <f>CONCATENATE("Desired Carryover Into ",E1+1,"")</f>
        <v>Desired Carryover Into 1</v>
      </c>
      <c r="H64" s="810"/>
      <c r="I64" s="810"/>
      <c r="J64" s="811"/>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0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09" t="str">
        <f>CONCATENATE("Projected Carryover Into ",E1+1,"")</f>
        <v>Projected Carryover Into 1</v>
      </c>
      <c r="H71" s="812"/>
      <c r="I71" s="812"/>
      <c r="J71" s="813"/>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-1 Ending Cash Balance (est.)</v>
      </c>
      <c r="I73" s="633"/>
      <c r="J73" s="668"/>
    </row>
    <row r="74" spans="2:10" ht="15.75">
      <c r="B74" s="594" t="s">
        <v>119</v>
      </c>
      <c r="C74" s="634">
        <f>C61-C73</f>
        <v>0</v>
      </c>
      <c r="D74" s="634">
        <f>D61-D73</f>
        <v>0</v>
      </c>
      <c r="E74" s="600" t="s">
        <v>289</v>
      </c>
      <c r="F74" s="635"/>
      <c r="G74" s="631">
        <f>E60</f>
        <v>0</v>
      </c>
      <c r="H74" s="615" t="str">
        <f>CONCATENATE("",E1," Non-AV Receipts (est.)")</f>
        <v>0 Non-AV Receipts (est.)</v>
      </c>
      <c r="I74" s="633"/>
      <c r="J74" s="668"/>
    </row>
    <row r="75" spans="2:11" ht="15.75">
      <c r="B75" s="636" t="str">
        <f>CONCATENATE("",E1-2,"/",E1-1," Budget Authority Amount:")</f>
        <v>-2/-1 Budget Authority Amount:</v>
      </c>
      <c r="C75" s="637">
        <f>inputOth!B48</f>
        <v>0</v>
      </c>
      <c r="D75" s="637">
        <f>inputPrYr!D18</f>
        <v>0</v>
      </c>
      <c r="E75" s="600" t="s">
        <v>289</v>
      </c>
      <c r="F75" s="639"/>
      <c r="G75" s="640">
        <f>IF(E79&gt;0,E78,E80)</f>
        <v>0</v>
      </c>
      <c r="H75" s="615" t="str">
        <f>CONCATENATE("",E1," Ad Valorem Tax (est.)")</f>
        <v>0 Ad Valorem Tax (est.)</v>
      </c>
      <c r="I75" s="633"/>
      <c r="J75" s="668"/>
      <c r="K75" s="641">
        <f>IF(G75=E80,"","Note: Does not include Delinquent Taxes")</f>
      </c>
    </row>
    <row r="76" spans="2:10" ht="15.75">
      <c r="B76" s="636"/>
      <c r="C76" s="799" t="s">
        <v>622</v>
      </c>
      <c r="D76" s="800"/>
      <c r="E76" s="602"/>
      <c r="F76" s="669">
        <f>IF(E73/0.95-E73&lt;E76,"Exceeds 5%","")</f>
      </c>
      <c r="G76" s="670">
        <f>SUM(G73:G75)</f>
        <v>0</v>
      </c>
      <c r="H76" s="615" t="str">
        <f>CONCATENATE("Total ",E1," Resources Available")</f>
        <v>Total 0 Resources Available</v>
      </c>
      <c r="I76" s="671"/>
      <c r="J76" s="668"/>
    </row>
    <row r="77" spans="2:10" ht="15.75">
      <c r="B77" s="643" t="str">
        <f>CONCATENATE(C95,"     ",D95)</f>
        <v>     </v>
      </c>
      <c r="C77" s="801" t="s">
        <v>623</v>
      </c>
      <c r="D77" s="802"/>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1 carryover (est.)</v>
      </c>
      <c r="I79" s="674"/>
      <c r="J79" s="675"/>
    </row>
    <row r="80" spans="2:6" ht="16.5" thickBot="1">
      <c r="B80" s="580"/>
      <c r="C80" s="814" t="str">
        <f>CONCATENATE("Amount of  ",E1-1," Ad Valorem Tax")</f>
        <v>Amount of  -1 Ad Valorem Tax</v>
      </c>
      <c r="D80" s="815"/>
      <c r="E80" s="653">
        <f>E78+E79</f>
        <v>0</v>
      </c>
      <c r="F80" s="676" t="e">
        <f>IF('Library Grant'!F33="","",IF('Library Grant'!F33="Qualify","Qualifies for State Library Grant","See 'Library Grant' tab"))</f>
        <v>#VALUE!</v>
      </c>
    </row>
    <row r="81" spans="2:10" ht="16.5" thickTop="1">
      <c r="B81" s="583"/>
      <c r="C81" s="814"/>
      <c r="D81" s="815"/>
      <c r="E81" s="654"/>
      <c r="F81" s="635"/>
      <c r="G81" s="816" t="s">
        <v>825</v>
      </c>
      <c r="H81" s="817"/>
      <c r="I81" s="817"/>
      <c r="J81" s="818"/>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0 Fund Mill Rate</v>
      </c>
      <c r="I83" s="656"/>
      <c r="J83" s="657"/>
    </row>
    <row r="84" spans="7:10" ht="15.75">
      <c r="G84" s="659" t="str">
        <f>summ!F20</f>
        <v>  </v>
      </c>
      <c r="H84" s="632" t="str">
        <f>CONCATENATE("",E1-1," Fund Mill Rate")</f>
        <v>-1 Fund Mill Rate</v>
      </c>
      <c r="I84" s="656"/>
      <c r="J84" s="657"/>
    </row>
    <row r="85" spans="7:10" ht="15.75">
      <c r="G85" s="661">
        <f>summ!I32</f>
        <v>0</v>
      </c>
      <c r="H85" s="632" t="str">
        <f>CONCATENATE("Total ",E1," Mill Rate")</f>
        <v>Total 0 Mill Rate</v>
      </c>
      <c r="I85" s="656"/>
      <c r="J85" s="657"/>
    </row>
    <row r="86" spans="7:10" ht="15.75">
      <c r="G86" s="659">
        <f>summ!F32</f>
        <v>0</v>
      </c>
      <c r="H86" s="662" t="str">
        <f>CONCATENATE("Total ",E1-1," Mill Rate")</f>
        <v>Total -1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f>inputPrYr!D2</f>
        <v>0</v>
      </c>
      <c r="C1" s="14"/>
      <c r="D1" s="14"/>
      <c r="E1" s="15">
        <f>inputPrYr!D5</f>
        <v>0</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v>
      </c>
      <c r="D5" s="386" t="str">
        <f>gen!D5</f>
        <v>Estimate for -1</v>
      </c>
      <c r="E5" s="26" t="str">
        <f>gen!E5</f>
        <v>Year for 0</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1</v>
      </c>
      <c r="H34" s="804"/>
      <c r="I34" s="804"/>
      <c r="J34" s="805"/>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0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3" t="str">
        <f>CONCATENATE("Projected Carryover Into ",E1+1,"")</f>
        <v>Projected Carryover Into 1</v>
      </c>
      <c r="H41" s="804"/>
      <c r="I41" s="804"/>
      <c r="J41" s="805"/>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-1 Ending Cash Balance (est.)</v>
      </c>
      <c r="I43" s="486"/>
      <c r="J43" s="257"/>
    </row>
    <row r="44" spans="2:10" ht="15.75">
      <c r="B44" s="27" t="s">
        <v>119</v>
      </c>
      <c r="C44" s="382">
        <f>C24-C43</f>
        <v>0</v>
      </c>
      <c r="D44" s="382">
        <f>D24-D43</f>
        <v>0</v>
      </c>
      <c r="E44" s="33" t="s">
        <v>289</v>
      </c>
      <c r="G44" s="484">
        <f>E23</f>
        <v>0</v>
      </c>
      <c r="H44" s="487" t="str">
        <f>CONCATENATE("",E1," Non-AV Receipts (est.)")</f>
        <v>0 Non-AV Receipts (est.)</v>
      </c>
      <c r="I44" s="486"/>
      <c r="J44" s="257"/>
    </row>
    <row r="45" spans="2:11" ht="15.75">
      <c r="B45" s="48" t="str">
        <f>CONCATENATE("",E1-2,"/",E1-1," Budget Authority Amount:")</f>
        <v>-2/-1 Budget Authority Amount:</v>
      </c>
      <c r="C45" s="132">
        <f>inputOth!B49</f>
        <v>0</v>
      </c>
      <c r="D45" s="161">
        <f>inputPrYr!D19</f>
        <v>0</v>
      </c>
      <c r="E45" s="33" t="s">
        <v>289</v>
      </c>
      <c r="F45" s="50"/>
      <c r="G45" s="488">
        <f>IF(D49&gt;0,E48,E50)</f>
        <v>0</v>
      </c>
      <c r="H45" s="487" t="str">
        <f>CONCATENATE("",E1," Ad Valorem Tax (est.)")</f>
        <v>0 Ad Valorem Tax (est.)</v>
      </c>
      <c r="I45" s="486"/>
      <c r="J45" s="257"/>
      <c r="K45" s="701">
        <f>IF(G45=E50,"","Note: Does not include Delinquent Taxes")</f>
      </c>
    </row>
    <row r="46" spans="2:10" ht="15.75">
      <c r="B46" s="48"/>
      <c r="C46" s="799" t="s">
        <v>622</v>
      </c>
      <c r="D46" s="800"/>
      <c r="E46" s="34"/>
      <c r="F46" s="482">
        <f>IF(E43/0.95-E43&lt;E46,"Exceeds 5%","")</f>
      </c>
      <c r="G46" s="484">
        <f>SUM(G43:G45)</f>
        <v>0</v>
      </c>
      <c r="H46" s="487" t="str">
        <f>CONCATENATE("Total ",E1," Resources Available")</f>
        <v>Total 0 Resources Available</v>
      </c>
      <c r="I46" s="486"/>
      <c r="J46" s="257"/>
    </row>
    <row r="47" spans="2:10" ht="15.75">
      <c r="B47" s="395" t="str">
        <f>CONCATENATE(C74,"     ",D74)</f>
        <v>     </v>
      </c>
      <c r="C47" s="801" t="s">
        <v>623</v>
      </c>
      <c r="D47" s="802"/>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 Expenditures + 5%</v>
      </c>
      <c r="I48" s="486"/>
      <c r="J48" s="257"/>
    </row>
    <row r="49" spans="2:10" ht="15.75">
      <c r="B49" s="52"/>
      <c r="C49" s="399" t="s">
        <v>624</v>
      </c>
      <c r="D49" s="689">
        <f>inputOth!$E$40</f>
        <v>0</v>
      </c>
      <c r="E49" s="32">
        <f>ROUND(IF(D49&gt;0,(E48*D49),0),0)</f>
        <v>0</v>
      </c>
      <c r="G49" s="490">
        <f>G46-G48</f>
        <v>0</v>
      </c>
      <c r="H49" s="491" t="str">
        <f>CONCATENATE("Projected ",E1+1," Carryover (est.)")</f>
        <v>Projected 1 Carryover (est.)</v>
      </c>
      <c r="I49" s="492"/>
      <c r="J49" s="493"/>
    </row>
    <row r="50" spans="2:5" ht="15.75">
      <c r="B50" s="14"/>
      <c r="C50" s="797" t="str">
        <f>CONCATENATE("Amount of  ",$E$1-1," Ad Valorem Tax")</f>
        <v>Amount of  -1 Ad Valorem Tax</v>
      </c>
      <c r="D50" s="798"/>
      <c r="E50" s="46">
        <f>E48+E49</f>
        <v>0</v>
      </c>
    </row>
    <row r="51" spans="2:10" ht="15.75">
      <c r="B51" s="14"/>
      <c r="C51" s="14"/>
      <c r="D51" s="14"/>
      <c r="E51" s="14"/>
      <c r="G51" s="806" t="s">
        <v>825</v>
      </c>
      <c r="H51" s="807"/>
      <c r="I51" s="807"/>
      <c r="J51" s="808"/>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0 Fund Mill Rate</v>
      </c>
      <c r="I53" s="691"/>
      <c r="J53" s="703"/>
    </row>
    <row r="54" spans="2:10" ht="15.75">
      <c r="B54" s="71" t="s">
        <v>31</v>
      </c>
      <c r="C54" s="400" t="str">
        <f>CONCATENATE("",E1-2," Actual Year")</f>
        <v>-2 Actual Year</v>
      </c>
      <c r="D54" s="14"/>
      <c r="E54" s="14"/>
      <c r="G54" s="705" t="str">
        <f>summ!F21</f>
        <v>  </v>
      </c>
      <c r="H54" s="485" t="str">
        <f>CONCATENATE("",E1-1," Fund Mill Rate")</f>
        <v>-1 Fund Mill Rate</v>
      </c>
      <c r="I54" s="691"/>
      <c r="J54" s="703"/>
    </row>
    <row r="55" spans="2:10" ht="15.75">
      <c r="B55" s="72" t="s">
        <v>14</v>
      </c>
      <c r="C55" s="130"/>
      <c r="D55" s="14"/>
      <c r="E55" s="14"/>
      <c r="G55" s="706">
        <f>summ!I32</f>
        <v>0</v>
      </c>
      <c r="H55" s="485" t="str">
        <f>CONCATENATE("Total ",E1," Mill Rate")</f>
        <v>Total 0 Mill Rate</v>
      </c>
      <c r="I55" s="691"/>
      <c r="J55" s="703"/>
    </row>
    <row r="56" spans="2:10" ht="15.75">
      <c r="B56" s="72" t="s">
        <v>33</v>
      </c>
      <c r="C56" s="132"/>
      <c r="D56" s="14"/>
      <c r="E56" s="14"/>
      <c r="G56" s="705">
        <f>summ!F32</f>
        <v>0</v>
      </c>
      <c r="H56" s="707" t="str">
        <f>CONCATENATE("Total ",E1-1," Mill Rate")</f>
        <v>Total -1 Mill Rate</v>
      </c>
      <c r="I56" s="708"/>
      <c r="J56" s="709"/>
    </row>
    <row r="57" spans="2:5" ht="15.75">
      <c r="B57" s="72" t="s">
        <v>34</v>
      </c>
      <c r="C57" s="398">
        <f>C38</f>
        <v>0</v>
      </c>
      <c r="D57" s="74"/>
      <c r="E57" s="14"/>
    </row>
    <row r="58" spans="2:9" ht="15.75">
      <c r="B58" s="72" t="s">
        <v>246</v>
      </c>
      <c r="C58" s="398">
        <f>gen!C43</f>
        <v>0</v>
      </c>
      <c r="D58" s="820">
        <f>IF(AND(C58&gt;0,C59&gt;0),"Not Auth. Two General Transfers - Only One","")</f>
      </c>
      <c r="E58" s="821"/>
      <c r="G58" s="744" t="s">
        <v>933</v>
      </c>
      <c r="H58" s="743"/>
      <c r="I58" s="742" t="str">
        <f>cert!F37</f>
        <v>No</v>
      </c>
    </row>
    <row r="59" spans="2:5" ht="15.75">
      <c r="B59" s="75" t="s">
        <v>247</v>
      </c>
      <c r="C59" s="398">
        <f>gen!C45</f>
        <v>0</v>
      </c>
      <c r="D59" s="822"/>
      <c r="E59" s="821"/>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f>inputPrYr!D2</f>
        <v>0</v>
      </c>
      <c r="C1" s="22" t="s">
        <v>35</v>
      </c>
      <c r="D1" s="14"/>
      <c r="E1" s="15">
        <f>inputPrYr!D5</f>
        <v>0</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v>
      </c>
      <c r="D5" s="386" t="str">
        <f>gen!D5</f>
        <v>Estimate for -1</v>
      </c>
      <c r="E5" s="26" t="str">
        <f>gen!E5</f>
        <v>Year for 0</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9" t="str">
        <f>CONCATENATE("Desired Carryover Into ",E1+1,"")</f>
        <v>Desired Carryover Into 1</v>
      </c>
      <c r="H24" s="810"/>
      <c r="I24" s="810"/>
      <c r="J24" s="811"/>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0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09" t="str">
        <f>CONCATENATE("Projected Carryover Into ",E1+1,"")</f>
        <v>Projected Carryover Into 1</v>
      </c>
      <c r="H31" s="819"/>
      <c r="I31" s="819"/>
      <c r="J31" s="813"/>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-1 Ending Cash Balance (est.)</v>
      </c>
      <c r="I33" s="633"/>
      <c r="J33" s="628"/>
      <c r="K33" s="582"/>
    </row>
    <row r="34" spans="2:11" ht="15.75">
      <c r="B34" s="27" t="s">
        <v>119</v>
      </c>
      <c r="C34" s="382">
        <f>C21-C33</f>
        <v>0</v>
      </c>
      <c r="D34" s="382">
        <f>D21-D33</f>
        <v>0</v>
      </c>
      <c r="E34" s="33" t="s">
        <v>289</v>
      </c>
      <c r="G34" s="631">
        <f>E20</f>
        <v>0</v>
      </c>
      <c r="H34" s="615" t="str">
        <f>CONCATENATE("",E1," Non-AV Receipts (est.)")</f>
        <v>0 Non-AV Receipts (est.)</v>
      </c>
      <c r="I34" s="633"/>
      <c r="J34" s="628"/>
      <c r="K34" s="582"/>
    </row>
    <row r="35" spans="2:11" ht="15.75">
      <c r="B35" s="48" t="str">
        <f>CONCATENATE("",E1-2,"/",E1-1," Budget Authority Amount:")</f>
        <v>-2/-1 Budget Authority Amount:</v>
      </c>
      <c r="C35" s="132">
        <f>inputOth!B50</f>
        <v>0</v>
      </c>
      <c r="D35" s="161">
        <f>inputPrYr!D20</f>
        <v>0</v>
      </c>
      <c r="E35" s="33" t="s">
        <v>289</v>
      </c>
      <c r="F35" s="50"/>
      <c r="G35" s="640">
        <f>IF(E39&gt;0,E38,E40)</f>
        <v>0</v>
      </c>
      <c r="H35" s="615" t="str">
        <f>CONCATENATE("",E1," Ad Valorem Tax (est.)")</f>
        <v>0 Ad Valorem Tax (est.)</v>
      </c>
      <c r="I35" s="633"/>
      <c r="J35" s="628"/>
      <c r="K35" s="641">
        <f>IF(G35=E40,"","Note: Does not include Delinquent Taxes")</f>
      </c>
    </row>
    <row r="36" spans="2:11" ht="15.75">
      <c r="B36" s="48"/>
      <c r="C36" s="799" t="s">
        <v>622</v>
      </c>
      <c r="D36" s="800"/>
      <c r="E36" s="34"/>
      <c r="F36" s="482">
        <f>IF(E33/0.95-E33&lt;E36,"Exceeds 5%","")</f>
      </c>
      <c r="G36" s="631">
        <f>SUM(G33:G35)</f>
        <v>0</v>
      </c>
      <c r="H36" s="615" t="str">
        <f>CONCATENATE("Total ",E1," Resources Available")</f>
        <v>Total 0 Resources Available</v>
      </c>
      <c r="I36" s="633"/>
      <c r="J36" s="628"/>
      <c r="K36" s="582"/>
    </row>
    <row r="37" spans="2:11" ht="15.75">
      <c r="B37" s="395" t="str">
        <f>CONCATENATE(C92,"     ",D92)</f>
        <v>     </v>
      </c>
      <c r="C37" s="801" t="s">
        <v>623</v>
      </c>
      <c r="D37" s="802"/>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1 carryover (est.)</v>
      </c>
      <c r="I39" s="650"/>
      <c r="J39" s="651"/>
      <c r="K39" s="582"/>
    </row>
    <row r="40" spans="2:11" ht="15.75">
      <c r="B40" s="14"/>
      <c r="C40" s="797" t="str">
        <f>CONCATENATE("Amount of  ",$E$1-1," Ad Valorem Tax")</f>
        <v>Amount of  -1 Ad Valorem Tax</v>
      </c>
      <c r="D40" s="798"/>
      <c r="E40" s="46">
        <f>E38+E39</f>
        <v>0</v>
      </c>
      <c r="G40" s="582"/>
      <c r="H40" s="582"/>
      <c r="I40" s="582"/>
      <c r="J40" s="582"/>
      <c r="K40" s="582"/>
    </row>
    <row r="41" spans="2:11" ht="15.75">
      <c r="B41" s="14"/>
      <c r="C41" s="539"/>
      <c r="D41" s="14"/>
      <c r="E41" s="14"/>
      <c r="G41" s="816" t="s">
        <v>825</v>
      </c>
      <c r="H41" s="817"/>
      <c r="I41" s="817"/>
      <c r="J41" s="818"/>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0 Fund Mill Rate</v>
      </c>
      <c r="I43" s="656"/>
      <c r="J43" s="657"/>
      <c r="K43" s="582"/>
    </row>
    <row r="44" spans="2:11" ht="15.75">
      <c r="B44" s="14"/>
      <c r="C44" s="385" t="s">
        <v>11</v>
      </c>
      <c r="D44" s="388" t="s">
        <v>12</v>
      </c>
      <c r="E44" s="23" t="s">
        <v>13</v>
      </c>
      <c r="G44" s="659" t="str">
        <f>summ!F22</f>
        <v>  </v>
      </c>
      <c r="H44" s="632" t="str">
        <f>CONCATENATE("",E1-1," Fund Mill Rate")</f>
        <v>-1 Fund Mill Rate</v>
      </c>
      <c r="I44" s="656"/>
      <c r="J44" s="657"/>
      <c r="K44" s="582"/>
    </row>
    <row r="45" spans="2:11" ht="15.75">
      <c r="B45" s="477">
        <f>inputPrYr!B21</f>
        <v>0</v>
      </c>
      <c r="C45" s="386" t="str">
        <f>C5</f>
        <v>Actual for -2</v>
      </c>
      <c r="D45" s="386" t="str">
        <f>D5</f>
        <v>Estimate for -1</v>
      </c>
      <c r="E45" s="26" t="str">
        <f>E5</f>
        <v>Year for 0</v>
      </c>
      <c r="G45" s="661">
        <f>summ!I32</f>
        <v>0</v>
      </c>
      <c r="H45" s="632" t="str">
        <f>CONCATENATE("Total ",E1," Mill Rate")</f>
        <v>Total 0 Mill Rate</v>
      </c>
      <c r="I45" s="656"/>
      <c r="J45" s="657"/>
      <c r="K45" s="582"/>
    </row>
    <row r="46" spans="2:11" ht="15.75">
      <c r="B46" s="27" t="s">
        <v>118</v>
      </c>
      <c r="C46" s="29"/>
      <c r="D46" s="387">
        <f>C74</f>
        <v>0</v>
      </c>
      <c r="E46" s="32">
        <f>D74</f>
        <v>0</v>
      </c>
      <c r="G46" s="659">
        <f>summ!F32</f>
        <v>0</v>
      </c>
      <c r="H46" s="662" t="str">
        <f>CONCATENATE("Total ",E1-1," Mill Rate")</f>
        <v>Total -1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1</v>
      </c>
      <c r="H64" s="810"/>
      <c r="I64" s="810"/>
      <c r="J64" s="811"/>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0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09" t="str">
        <f>CONCATENATE("Projected Carryover Into ",E1+1,"")</f>
        <v>Projected Carryover Into 1</v>
      </c>
      <c r="H71" s="812"/>
      <c r="I71" s="812"/>
      <c r="J71" s="813"/>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-1 Ending Cash Balance (est.)</v>
      </c>
      <c r="I73" s="633"/>
      <c r="J73" s="668"/>
      <c r="K73" s="582"/>
    </row>
    <row r="74" spans="2:11" ht="15.75">
      <c r="B74" s="27" t="s">
        <v>119</v>
      </c>
      <c r="C74" s="382">
        <f>C61-C73</f>
        <v>0</v>
      </c>
      <c r="D74" s="382">
        <f>D61-D73</f>
        <v>0</v>
      </c>
      <c r="E74" s="33" t="s">
        <v>289</v>
      </c>
      <c r="G74" s="631">
        <f>E60</f>
        <v>0</v>
      </c>
      <c r="H74" s="615" t="str">
        <f>CONCATENATE("",E1," Non-AV Receipts (est.)")</f>
        <v>0 Non-AV Receipts (est.)</v>
      </c>
      <c r="I74" s="633"/>
      <c r="J74" s="668"/>
      <c r="K74" s="582"/>
    </row>
    <row r="75" spans="2:11" ht="15.75">
      <c r="B75" s="48" t="str">
        <f>CONCATENATE("",E1-2,"/",E1-1," Budget Authority Amount:")</f>
        <v>-2/-1 Budget Authority Amount:</v>
      </c>
      <c r="C75" s="132">
        <f>inputOth!B51</f>
        <v>0</v>
      </c>
      <c r="D75" s="161">
        <f>inputPrYr!D21</f>
        <v>0</v>
      </c>
      <c r="E75" s="33" t="s">
        <v>289</v>
      </c>
      <c r="F75" s="50"/>
      <c r="G75" s="640">
        <f>IF(E79&gt;0,E78,E80)</f>
        <v>0</v>
      </c>
      <c r="H75" s="615" t="str">
        <f>CONCATENATE("",E1," Ad Valorem Tax (est.)")</f>
        <v>0 Ad Valorem Tax (est.)</v>
      </c>
      <c r="I75" s="633"/>
      <c r="J75" s="668"/>
      <c r="K75" s="641">
        <f>IF(G75=E80,"","Note: Does not include Delinquent Taxes")</f>
      </c>
    </row>
    <row r="76" spans="2:11" ht="15.75">
      <c r="B76" s="48"/>
      <c r="C76" s="799" t="s">
        <v>622</v>
      </c>
      <c r="D76" s="800"/>
      <c r="E76" s="34"/>
      <c r="F76" s="482">
        <f>IF(E73/0.95-E73&lt;E76,"Exceeds 5%","")</f>
      </c>
      <c r="G76" s="670">
        <f>SUM(G73:G75)</f>
        <v>0</v>
      </c>
      <c r="H76" s="615" t="str">
        <f>CONCATENATE("Total ",E1," Resources Available")</f>
        <v>Total 0 Resources Available</v>
      </c>
      <c r="I76" s="671"/>
      <c r="J76" s="668"/>
      <c r="K76" s="582"/>
    </row>
    <row r="77" spans="2:11" ht="15.75">
      <c r="B77" s="395" t="str">
        <f>CONCATENATE(C94,"     ",D94)</f>
        <v>     </v>
      </c>
      <c r="C77" s="801" t="s">
        <v>623</v>
      </c>
      <c r="D77" s="802"/>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1 carryover (est.)</v>
      </c>
      <c r="I79" s="674"/>
      <c r="J79" s="675"/>
      <c r="K79" s="582"/>
    </row>
    <row r="80" spans="2:11" ht="15.75">
      <c r="B80" s="14"/>
      <c r="C80" s="797" t="str">
        <f>CONCATENATE("Amount of  ",$E$1-1," Ad Valorem Tax")</f>
        <v>Amount of  -1 Ad Valorem Tax</v>
      </c>
      <c r="D80" s="798"/>
      <c r="E80" s="46">
        <f>E78+E79</f>
        <v>0</v>
      </c>
      <c r="G80" s="582"/>
      <c r="H80" s="582"/>
      <c r="I80" s="582"/>
      <c r="J80" s="582"/>
      <c r="K80" s="582"/>
    </row>
    <row r="81" spans="2:11" ht="15.75">
      <c r="B81" s="52" t="s">
        <v>9</v>
      </c>
      <c r="C81" s="65"/>
      <c r="D81" s="14"/>
      <c r="E81" s="14"/>
      <c r="G81" s="816" t="s">
        <v>825</v>
      </c>
      <c r="H81" s="817"/>
      <c r="I81" s="817"/>
      <c r="J81" s="818"/>
      <c r="K81" s="582"/>
    </row>
    <row r="82" spans="2:11" ht="15.75">
      <c r="B82" s="80"/>
      <c r="G82" s="655"/>
      <c r="H82" s="632"/>
      <c r="I82" s="656"/>
      <c r="J82" s="657"/>
      <c r="K82" s="582"/>
    </row>
    <row r="83" spans="7:11" ht="15.75">
      <c r="G83" s="658" t="str">
        <f>summ!I23</f>
        <v> </v>
      </c>
      <c r="H83" s="632" t="str">
        <f>CONCATENATE("",E1," Fund Mill Rate")</f>
        <v>0 Fund Mill Rate</v>
      </c>
      <c r="I83" s="656"/>
      <c r="J83" s="657"/>
      <c r="K83" s="582"/>
    </row>
    <row r="84" spans="7:11" ht="15.75">
      <c r="G84" s="659" t="str">
        <f>summ!F23</f>
        <v>  </v>
      </c>
      <c r="H84" s="632" t="str">
        <f>CONCATENATE("",E1-1," Fund Mill Rate")</f>
        <v>-1 Fund Mill Rate</v>
      </c>
      <c r="I84" s="656"/>
      <c r="J84" s="657"/>
      <c r="K84" s="582"/>
    </row>
    <row r="85" spans="7:11" ht="15.75">
      <c r="G85" s="661">
        <f>summ!I32</f>
        <v>0</v>
      </c>
      <c r="H85" s="632" t="str">
        <f>CONCATENATE("Total ",E1," Mill Rate")</f>
        <v>Total 0 Mill Rate</v>
      </c>
      <c r="I85" s="656"/>
      <c r="J85" s="657"/>
      <c r="K85" s="582"/>
    </row>
    <row r="86" spans="7:11" ht="15.75">
      <c r="G86" s="659">
        <f>summ!F32</f>
        <v>0</v>
      </c>
      <c r="H86" s="662" t="str">
        <f>CONCATENATE("Total ",E1-1," Mill Rate")</f>
        <v>Total -1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f>inputPrYr!D2</f>
        <v>0</v>
      </c>
      <c r="C1" s="14"/>
      <c r="D1" s="14"/>
      <c r="E1" s="15">
        <f>inputPrYr!D5</f>
        <v>0</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v>
      </c>
      <c r="D5" s="386" t="str">
        <f>gen!D5</f>
        <v>Estimate for -1</v>
      </c>
      <c r="E5" s="26" t="str">
        <f>gen!E5</f>
        <v>Year for 0</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9" t="str">
        <f>CONCATENATE("Desired Carryover Into ",E1+1,"")</f>
        <v>Desired Carryover Into 1</v>
      </c>
      <c r="H24" s="810"/>
      <c r="I24" s="810"/>
      <c r="J24" s="811"/>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0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09" t="str">
        <f>CONCATENATE("Projected Carryover Into ",E1+1,"")</f>
        <v>Projected Carryover Into 1</v>
      </c>
      <c r="H31" s="819"/>
      <c r="I31" s="819"/>
      <c r="J31" s="813"/>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-1 Ending Cash Balance (est.)</v>
      </c>
      <c r="I33" s="633"/>
      <c r="J33" s="628"/>
      <c r="K33" s="582"/>
    </row>
    <row r="34" spans="2:11" ht="15.75">
      <c r="B34" s="27" t="s">
        <v>119</v>
      </c>
      <c r="C34" s="382">
        <f>C21-C33</f>
        <v>0</v>
      </c>
      <c r="D34" s="382">
        <f>D21-D33</f>
        <v>0</v>
      </c>
      <c r="E34" s="33" t="s">
        <v>289</v>
      </c>
      <c r="G34" s="631">
        <f>E20</f>
        <v>0</v>
      </c>
      <c r="H34" s="615" t="str">
        <f>CONCATENATE("",E1," Non-AV Receipts (est.)")</f>
        <v>0 Non-AV Receipts (est.)</v>
      </c>
      <c r="I34" s="633"/>
      <c r="J34" s="628"/>
      <c r="K34" s="582"/>
    </row>
    <row r="35" spans="2:11" ht="15.75">
      <c r="B35" s="48" t="str">
        <f>CONCATENATE("",E1-2,"/",E1-1," Budget Authority Amount:")</f>
        <v>-2/-1 Budget Authority Amount:</v>
      </c>
      <c r="C35" s="132">
        <f>inputOth!B52</f>
        <v>0</v>
      </c>
      <c r="D35" s="161">
        <f>inputPrYr!D22</f>
        <v>0</v>
      </c>
      <c r="E35" s="33" t="s">
        <v>289</v>
      </c>
      <c r="F35" s="50"/>
      <c r="G35" s="640">
        <f>IF(E39&gt;0,E38,E40)</f>
        <v>0</v>
      </c>
      <c r="H35" s="615" t="str">
        <f>CONCATENATE("",E1," Ad Valorem Tax (est.)")</f>
        <v>0 Ad Valorem Tax (est.)</v>
      </c>
      <c r="I35" s="633"/>
      <c r="J35" s="628"/>
      <c r="K35" s="641">
        <f>IF(G35=E40,"","Note: Does not include Delinquent Taxes")</f>
      </c>
    </row>
    <row r="36" spans="2:11" ht="15.75">
      <c r="B36" s="48"/>
      <c r="C36" s="799" t="s">
        <v>622</v>
      </c>
      <c r="D36" s="800"/>
      <c r="E36" s="34"/>
      <c r="F36" s="482">
        <f>IF(E33/0.95-E33&lt;E36,"Exceeds 5%","")</f>
      </c>
      <c r="G36" s="631">
        <f>SUM(G33:G35)</f>
        <v>0</v>
      </c>
      <c r="H36" s="615" t="str">
        <f>CONCATENATE("Total ",E1," Resources Available")</f>
        <v>Total 0 Resources Available</v>
      </c>
      <c r="I36" s="633"/>
      <c r="J36" s="628"/>
      <c r="K36" s="582"/>
    </row>
    <row r="37" spans="2:11" ht="15.75">
      <c r="B37" s="395" t="str">
        <f>CONCATENATE(C92,"     ",D92)</f>
        <v>     </v>
      </c>
      <c r="C37" s="801" t="s">
        <v>623</v>
      </c>
      <c r="D37" s="802"/>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1 carryover (est.)</v>
      </c>
      <c r="I39" s="650"/>
      <c r="J39" s="651"/>
      <c r="K39" s="582"/>
    </row>
    <row r="40" spans="2:11" ht="15.75">
      <c r="B40" s="14"/>
      <c r="C40" s="797" t="str">
        <f>CONCATENATE("Amount of  ",$E$1-1," Ad Valorem Tax")</f>
        <v>Amount of  -1 Ad Valorem Tax</v>
      </c>
      <c r="D40" s="798"/>
      <c r="E40" s="46">
        <f>E38+E39</f>
        <v>0</v>
      </c>
      <c r="G40" s="582"/>
      <c r="H40" s="582"/>
      <c r="I40" s="582"/>
      <c r="J40" s="582"/>
      <c r="K40" s="582"/>
    </row>
    <row r="41" spans="2:11" ht="15.75">
      <c r="B41" s="14"/>
      <c r="C41" s="539"/>
      <c r="D41" s="14"/>
      <c r="E41" s="14"/>
      <c r="G41" s="816" t="s">
        <v>825</v>
      </c>
      <c r="H41" s="817"/>
      <c r="I41" s="817"/>
      <c r="J41" s="818"/>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0 Fund Mill Rate</v>
      </c>
      <c r="I43" s="656"/>
      <c r="J43" s="657"/>
      <c r="K43" s="582"/>
    </row>
    <row r="44" spans="2:11" ht="15.75">
      <c r="B44" s="14"/>
      <c r="C44" s="385" t="s">
        <v>11</v>
      </c>
      <c r="D44" s="388" t="s">
        <v>12</v>
      </c>
      <c r="E44" s="23" t="s">
        <v>13</v>
      </c>
      <c r="G44" s="659" t="str">
        <f>summ!F24</f>
        <v>  </v>
      </c>
      <c r="H44" s="632" t="str">
        <f>CONCATENATE("",E1-1," Fund Mill Rate")</f>
        <v>-1 Fund Mill Rate</v>
      </c>
      <c r="I44" s="656"/>
      <c r="J44" s="657"/>
      <c r="K44" s="582"/>
    </row>
    <row r="45" spans="2:11" ht="15.75">
      <c r="B45" s="477">
        <f>inputPrYr!B23</f>
        <v>0</v>
      </c>
      <c r="C45" s="386" t="str">
        <f>C5</f>
        <v>Actual for -2</v>
      </c>
      <c r="D45" s="386" t="str">
        <f>D5</f>
        <v>Estimate for -1</v>
      </c>
      <c r="E45" s="26" t="str">
        <f>E5</f>
        <v>Year for 0</v>
      </c>
      <c r="G45" s="661">
        <f>summ!I32</f>
        <v>0</v>
      </c>
      <c r="H45" s="632" t="str">
        <f>CONCATENATE("Total ",E1," Mill Rate")</f>
        <v>Total 0 Mill Rate</v>
      </c>
      <c r="I45" s="656"/>
      <c r="J45" s="657"/>
      <c r="K45" s="582"/>
    </row>
    <row r="46" spans="2:11" ht="15.75">
      <c r="B46" s="27" t="s">
        <v>118</v>
      </c>
      <c r="C46" s="29"/>
      <c r="D46" s="387">
        <f>C74</f>
        <v>0</v>
      </c>
      <c r="E46" s="32">
        <f>D74</f>
        <v>0</v>
      </c>
      <c r="G46" s="659">
        <f>summ!F32</f>
        <v>0</v>
      </c>
      <c r="H46" s="662" t="str">
        <f>CONCATENATE("Total ",E1-1," Mill Rate")</f>
        <v>Total -1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1</v>
      </c>
      <c r="H64" s="810"/>
      <c r="I64" s="810"/>
      <c r="J64" s="811"/>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0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09" t="str">
        <f>CONCATENATE("Projected Carryover Into ",E1+1,"")</f>
        <v>Projected Carryover Into 1</v>
      </c>
      <c r="H71" s="812"/>
      <c r="I71" s="812"/>
      <c r="J71" s="813"/>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-1 Ending Cash Balance (est.)</v>
      </c>
      <c r="I73" s="633"/>
      <c r="J73" s="668"/>
      <c r="K73" s="582"/>
    </row>
    <row r="74" spans="2:11" ht="15.75">
      <c r="B74" s="27" t="s">
        <v>119</v>
      </c>
      <c r="C74" s="382">
        <f>C61-C73</f>
        <v>0</v>
      </c>
      <c r="D74" s="382">
        <f>D61-D73</f>
        <v>0</v>
      </c>
      <c r="E74" s="33" t="s">
        <v>289</v>
      </c>
      <c r="G74" s="631">
        <f>E60</f>
        <v>0</v>
      </c>
      <c r="H74" s="615" t="str">
        <f>CONCATENATE("",E1," Non-AV Receipts (est.)")</f>
        <v>0 Non-AV Receipts (est.)</v>
      </c>
      <c r="I74" s="633"/>
      <c r="J74" s="668"/>
      <c r="K74" s="582"/>
    </row>
    <row r="75" spans="2:11" ht="15.75">
      <c r="B75" s="48" t="str">
        <f>CONCATENATE("",E1-2,"/",E1-1," Budget Authority Amount:")</f>
        <v>-2/-1 Budget Authority Amount:</v>
      </c>
      <c r="C75" s="132">
        <f>inputOth!B53</f>
        <v>0</v>
      </c>
      <c r="D75" s="161">
        <f>inputPrYr!D23</f>
        <v>0</v>
      </c>
      <c r="E75" s="33" t="s">
        <v>289</v>
      </c>
      <c r="F75" s="50"/>
      <c r="G75" s="640">
        <f>IF(E79&gt;0,E78,E80)</f>
        <v>0</v>
      </c>
      <c r="H75" s="615" t="str">
        <f>CONCATENATE("",E1," Ad Valorem Tax (est.)")</f>
        <v>0 Ad Valorem Tax (est.)</v>
      </c>
      <c r="I75" s="633"/>
      <c r="J75" s="668"/>
      <c r="K75" s="641">
        <f>IF(G75=E80,"","Note: Does not include Delinquent Taxes")</f>
      </c>
    </row>
    <row r="76" spans="2:11" ht="15.75">
      <c r="B76" s="48"/>
      <c r="C76" s="799" t="s">
        <v>622</v>
      </c>
      <c r="D76" s="800"/>
      <c r="E76" s="36"/>
      <c r="F76" s="482">
        <f>IF(E73/0.95-E73&lt;E76,"Exceeds 5%","")</f>
      </c>
      <c r="G76" s="670">
        <f>SUM(G73:G75)</f>
        <v>0</v>
      </c>
      <c r="H76" s="615" t="str">
        <f>CONCATENATE("Total ",E1," Resources Available")</f>
        <v>Total 0 Resources Available</v>
      </c>
      <c r="I76" s="671"/>
      <c r="J76" s="668"/>
      <c r="K76" s="582"/>
    </row>
    <row r="77" spans="2:11" ht="15.75">
      <c r="B77" s="395" t="str">
        <f>CONCATENATE(C94,"     ",D94)</f>
        <v>     </v>
      </c>
      <c r="C77" s="801" t="s">
        <v>623</v>
      </c>
      <c r="D77" s="802"/>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1 carryover (est.)</v>
      </c>
      <c r="I79" s="674"/>
      <c r="J79" s="675"/>
      <c r="K79" s="582"/>
    </row>
    <row r="80" spans="2:11" ht="15.75">
      <c r="B80" s="14"/>
      <c r="C80" s="797" t="str">
        <f>CONCATENATE("Amount of  ",$E$1-1," Ad Valorem Tax")</f>
        <v>Amount of  -1 Ad Valorem Tax</v>
      </c>
      <c r="D80" s="798"/>
      <c r="E80" s="46">
        <f>E78+E79</f>
        <v>0</v>
      </c>
      <c r="G80" s="582"/>
      <c r="H80" s="582"/>
      <c r="I80" s="582"/>
      <c r="J80" s="582"/>
      <c r="K80" s="582"/>
    </row>
    <row r="81" spans="2:11" ht="15.75">
      <c r="B81" s="52" t="s">
        <v>9</v>
      </c>
      <c r="C81" s="65"/>
      <c r="D81" s="14"/>
      <c r="E81" s="14"/>
      <c r="G81" s="816" t="s">
        <v>825</v>
      </c>
      <c r="H81" s="817"/>
      <c r="I81" s="817"/>
      <c r="J81" s="818"/>
      <c r="K81" s="582"/>
    </row>
    <row r="82" spans="2:11" ht="15.75">
      <c r="B82" s="80"/>
      <c r="G82" s="655"/>
      <c r="H82" s="632"/>
      <c r="I82" s="656"/>
      <c r="J82" s="657"/>
      <c r="K82" s="582"/>
    </row>
    <row r="83" spans="7:11" ht="15.75">
      <c r="G83" s="658" t="str">
        <f>summ!I25</f>
        <v> </v>
      </c>
      <c r="H83" s="632" t="str">
        <f>CONCATENATE("",E1," Fund Mill Rate")</f>
        <v>0 Fund Mill Rate</v>
      </c>
      <c r="I83" s="656"/>
      <c r="J83" s="657"/>
      <c r="K83" s="582"/>
    </row>
    <row r="84" spans="7:11" ht="15.75">
      <c r="G84" s="659" t="str">
        <f>summ!F25</f>
        <v>  </v>
      </c>
      <c r="H84" s="632" t="str">
        <f>CONCATENATE("",E1-1," Fund Mill Rate")</f>
        <v>-1 Fund Mill Rate</v>
      </c>
      <c r="I84" s="656"/>
      <c r="J84" s="657"/>
      <c r="K84" s="582"/>
    </row>
    <row r="85" spans="7:11" ht="15.75">
      <c r="G85" s="661">
        <f>summ!I32</f>
        <v>0</v>
      </c>
      <c r="H85" s="632" t="str">
        <f>CONCATENATE("Total ",E1," Mill Rate")</f>
        <v>Total 0 Mill Rate</v>
      </c>
      <c r="I85" s="656"/>
      <c r="J85" s="657"/>
      <c r="K85" s="582"/>
    </row>
    <row r="86" spans="7:11" ht="15.75">
      <c r="G86" s="659">
        <f>summ!F32</f>
        <v>0</v>
      </c>
      <c r="H86" s="662" t="str">
        <f>CONCATENATE("Total ",E1-1," Mill Rate")</f>
        <v>Total -1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f>inputPrYr!D2</f>
        <v>0</v>
      </c>
      <c r="C1" s="14"/>
      <c r="D1" s="14"/>
      <c r="E1" s="15">
        <f>inputPrYr!D5</f>
        <v>0</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v>
      </c>
      <c r="D5" s="386" t="str">
        <f>gen!D5</f>
        <v>Estimate for -1</v>
      </c>
      <c r="E5" s="26" t="str">
        <f>gen!E5</f>
        <v>Year for 0</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9" t="str">
        <f>CONCATENATE("Desired Carryover Into ",E1+1,"")</f>
        <v>Desired Carryover Into 1</v>
      </c>
      <c r="H24" s="810"/>
      <c r="I24" s="810"/>
      <c r="J24" s="811"/>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0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09" t="str">
        <f>CONCATENATE("Projected Carryover Into ",E1+1,"")</f>
        <v>Projected Carryover Into 1</v>
      </c>
      <c r="H31" s="819"/>
      <c r="I31" s="819"/>
      <c r="J31" s="813"/>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-1 Ending Cash Balance (est.)</v>
      </c>
      <c r="I33" s="633"/>
      <c r="J33" s="628"/>
      <c r="K33" s="582"/>
    </row>
    <row r="34" spans="2:11" ht="15.75">
      <c r="B34" s="27" t="s">
        <v>119</v>
      </c>
      <c r="C34" s="382">
        <f>C21-C33</f>
        <v>0</v>
      </c>
      <c r="D34" s="382">
        <f>D21-D33</f>
        <v>0</v>
      </c>
      <c r="E34" s="33" t="s">
        <v>289</v>
      </c>
      <c r="G34" s="631">
        <f>E20</f>
        <v>0</v>
      </c>
      <c r="H34" s="615" t="str">
        <f>CONCATENATE("",E1," Non-AV Receipts (est.)")</f>
        <v>0 Non-AV Receipts (est.)</v>
      </c>
      <c r="I34" s="633"/>
      <c r="J34" s="628"/>
      <c r="K34" s="582"/>
    </row>
    <row r="35" spans="2:11" ht="15.75">
      <c r="B35" s="48" t="str">
        <f>CONCATENATE("",E1-2,"/",E1-1," Budget Authority Amount:")</f>
        <v>-2/-1 Budget Authority Amount:</v>
      </c>
      <c r="C35" s="132">
        <f>inputOth!B54</f>
        <v>0</v>
      </c>
      <c r="D35" s="161">
        <f>inputPrYr!D24</f>
        <v>0</v>
      </c>
      <c r="E35" s="33" t="s">
        <v>289</v>
      </c>
      <c r="F35" s="50"/>
      <c r="G35" s="640">
        <f>IF(E39&gt;0,E38,E40)</f>
        <v>0</v>
      </c>
      <c r="H35" s="615" t="str">
        <f>CONCATENATE("",E1," Ad Valorem Tax (est.)")</f>
        <v>0 Ad Valorem Tax (est.)</v>
      </c>
      <c r="I35" s="633"/>
      <c r="J35" s="628"/>
      <c r="K35" s="641">
        <f>IF(G35=E40,"","Note: Does not include Delinquent Taxes")</f>
      </c>
    </row>
    <row r="36" spans="2:11" ht="15.75">
      <c r="B36" s="48"/>
      <c r="C36" s="799" t="s">
        <v>622</v>
      </c>
      <c r="D36" s="800"/>
      <c r="E36" s="34"/>
      <c r="F36" s="482">
        <f>IF(E33/0.95-E33&lt;E36,"Exceeds 5%","")</f>
      </c>
      <c r="G36" s="631">
        <f>SUM(G33:G35)</f>
        <v>0</v>
      </c>
      <c r="H36" s="615" t="str">
        <f>CONCATENATE("Total ",E1," Resources Available")</f>
        <v>Total 0 Resources Available</v>
      </c>
      <c r="I36" s="633"/>
      <c r="J36" s="628"/>
      <c r="K36" s="582"/>
    </row>
    <row r="37" spans="2:11" ht="15.75">
      <c r="B37" s="395" t="str">
        <f>CONCATENATE(C92,"     ",D92)</f>
        <v>     </v>
      </c>
      <c r="C37" s="801" t="s">
        <v>623</v>
      </c>
      <c r="D37" s="802"/>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1 carryover (est.)</v>
      </c>
      <c r="I39" s="650"/>
      <c r="J39" s="651"/>
      <c r="K39" s="582"/>
    </row>
    <row r="40" spans="2:11" ht="15.75">
      <c r="B40" s="14"/>
      <c r="C40" s="797" t="str">
        <f>CONCATENATE("Amount of  ",$E$1-1," Ad Valorem Tax")</f>
        <v>Amount of  -1 Ad Valorem Tax</v>
      </c>
      <c r="D40" s="798"/>
      <c r="E40" s="46">
        <f>E38+E39</f>
        <v>0</v>
      </c>
      <c r="G40" s="582"/>
      <c r="H40" s="582"/>
      <c r="I40" s="582"/>
      <c r="J40" s="582"/>
      <c r="K40" s="582"/>
    </row>
    <row r="41" spans="2:11" ht="15.75">
      <c r="B41" s="14"/>
      <c r="C41" s="539"/>
      <c r="D41" s="14"/>
      <c r="E41" s="14"/>
      <c r="G41" s="816" t="s">
        <v>825</v>
      </c>
      <c r="H41" s="817"/>
      <c r="I41" s="817"/>
      <c r="J41" s="818"/>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0 Fund Mill Rate</v>
      </c>
      <c r="I43" s="656"/>
      <c r="J43" s="657"/>
      <c r="K43" s="582"/>
    </row>
    <row r="44" spans="2:11" ht="15.75">
      <c r="B44" s="14"/>
      <c r="C44" s="385" t="s">
        <v>11</v>
      </c>
      <c r="D44" s="388" t="s">
        <v>12</v>
      </c>
      <c r="E44" s="23" t="s">
        <v>13</v>
      </c>
      <c r="G44" s="659" t="str">
        <f>summ!F26</f>
        <v>  </v>
      </c>
      <c r="H44" s="632" t="str">
        <f>CONCATENATE("",E1-1," Fund Mill Rate")</f>
        <v>-1 Fund Mill Rate</v>
      </c>
      <c r="I44" s="656"/>
      <c r="J44" s="657"/>
      <c r="K44" s="582"/>
    </row>
    <row r="45" spans="2:11" ht="15.75">
      <c r="B45" s="477">
        <f>inputPrYr!B25</f>
        <v>0</v>
      </c>
      <c r="C45" s="386" t="str">
        <f>C5</f>
        <v>Actual for -2</v>
      </c>
      <c r="D45" s="386" t="str">
        <f>D5</f>
        <v>Estimate for -1</v>
      </c>
      <c r="E45" s="26" t="str">
        <f>E5</f>
        <v>Year for 0</v>
      </c>
      <c r="G45" s="661">
        <f>summ!I32</f>
        <v>0</v>
      </c>
      <c r="H45" s="632" t="str">
        <f>CONCATENATE("Total ",E1," Mill Rate")</f>
        <v>Total 0 Mill Rate</v>
      </c>
      <c r="I45" s="656"/>
      <c r="J45" s="657"/>
      <c r="K45" s="582"/>
    </row>
    <row r="46" spans="2:11" ht="15.75">
      <c r="B46" s="27" t="s">
        <v>118</v>
      </c>
      <c r="C46" s="29"/>
      <c r="D46" s="387">
        <f>C74</f>
        <v>0</v>
      </c>
      <c r="E46" s="32">
        <f>D74</f>
        <v>0</v>
      </c>
      <c r="G46" s="659">
        <f>summ!F32</f>
        <v>0</v>
      </c>
      <c r="H46" s="662" t="str">
        <f>CONCATENATE("Total ",E1-1," Mill Rate")</f>
        <v>Total -1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1</v>
      </c>
      <c r="H64" s="810"/>
      <c r="I64" s="810"/>
      <c r="J64" s="811"/>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0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09" t="str">
        <f>CONCATENATE("Projected Carryover Into ",E1+1,"")</f>
        <v>Projected Carryover Into 1</v>
      </c>
      <c r="H71" s="812"/>
      <c r="I71" s="812"/>
      <c r="J71" s="813"/>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-1 Ending Cash Balance (est.)</v>
      </c>
      <c r="I73" s="633"/>
      <c r="J73" s="668"/>
      <c r="K73" s="582"/>
    </row>
    <row r="74" spans="2:11" ht="15.75">
      <c r="B74" s="27" t="s">
        <v>119</v>
      </c>
      <c r="C74" s="382">
        <f>C61-C73</f>
        <v>0</v>
      </c>
      <c r="D74" s="382">
        <f>D61-D73</f>
        <v>0</v>
      </c>
      <c r="E74" s="33" t="s">
        <v>289</v>
      </c>
      <c r="G74" s="631">
        <f>E60</f>
        <v>0</v>
      </c>
      <c r="H74" s="615" t="str">
        <f>CONCATENATE("",E1," Non-AV Receipts (est.)")</f>
        <v>0 Non-AV Receipts (est.)</v>
      </c>
      <c r="I74" s="633"/>
      <c r="J74" s="668"/>
      <c r="K74" s="582"/>
    </row>
    <row r="75" spans="2:11" ht="15.75">
      <c r="B75" s="48" t="str">
        <f>CONCATENATE("",E1-2,"/",E1-1," Budget Authority Amount:")</f>
        <v>-2/-1 Budget Authority Amount:</v>
      </c>
      <c r="C75" s="132">
        <f>inputOth!B55</f>
        <v>0</v>
      </c>
      <c r="D75" s="161">
        <f>inputPrYr!D25</f>
        <v>0</v>
      </c>
      <c r="E75" s="33" t="s">
        <v>289</v>
      </c>
      <c r="F75" s="50"/>
      <c r="G75" s="640">
        <f>IF(E79&gt;0,E78,E80)</f>
        <v>0</v>
      </c>
      <c r="H75" s="615" t="str">
        <f>CONCATENATE("",E1," Ad Valorem Tax (est.)")</f>
        <v>0 Ad Valorem Tax (est.)</v>
      </c>
      <c r="I75" s="633"/>
      <c r="J75" s="668"/>
      <c r="K75" s="641">
        <f>IF(G75=E80,"","Note: Does not include Delinquent Taxes")</f>
      </c>
    </row>
    <row r="76" spans="2:11" ht="15.75">
      <c r="B76" s="48"/>
      <c r="C76" s="799" t="s">
        <v>622</v>
      </c>
      <c r="D76" s="800"/>
      <c r="E76" s="34"/>
      <c r="F76" s="482">
        <f>IF(E73/0.95-E73&lt;E76,"Exceeds 5%","")</f>
      </c>
      <c r="G76" s="670">
        <f>SUM(G73:G75)</f>
        <v>0</v>
      </c>
      <c r="H76" s="615" t="str">
        <f>CONCATENATE("Total ",E1," Resources Available")</f>
        <v>Total 0 Resources Available</v>
      </c>
      <c r="I76" s="671"/>
      <c r="J76" s="668"/>
      <c r="K76" s="582"/>
    </row>
    <row r="77" spans="2:11" ht="15.75">
      <c r="B77" s="48"/>
      <c r="C77" s="801" t="s">
        <v>623</v>
      </c>
      <c r="D77" s="802"/>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1 carryover (est.)</v>
      </c>
      <c r="I79" s="674"/>
      <c r="J79" s="675"/>
      <c r="K79" s="582"/>
    </row>
    <row r="80" spans="2:11" ht="15.75">
      <c r="B80" s="14"/>
      <c r="C80" s="797" t="str">
        <f>CONCATENATE("Amount of  ",$E$1-1," Ad Valorem Tax")</f>
        <v>Amount of  -1 Ad Valorem Tax</v>
      </c>
      <c r="D80" s="798"/>
      <c r="E80" s="46">
        <f>E78+E79</f>
        <v>0</v>
      </c>
      <c r="G80" s="582"/>
      <c r="H80" s="582"/>
      <c r="I80" s="582"/>
      <c r="J80" s="582"/>
      <c r="K80" s="582"/>
    </row>
    <row r="81" spans="2:11" ht="15.75">
      <c r="B81" s="52" t="s">
        <v>9</v>
      </c>
      <c r="C81" s="65"/>
      <c r="D81" s="14"/>
      <c r="E81" s="14"/>
      <c r="G81" s="816" t="s">
        <v>825</v>
      </c>
      <c r="H81" s="817"/>
      <c r="I81" s="817"/>
      <c r="J81" s="818"/>
      <c r="K81" s="582"/>
    </row>
    <row r="82" spans="2:11" ht="15.75">
      <c r="B82" s="80"/>
      <c r="G82" s="655"/>
      <c r="H82" s="632"/>
      <c r="I82" s="656"/>
      <c r="J82" s="657"/>
      <c r="K82" s="582"/>
    </row>
    <row r="83" spans="7:11" ht="15.75">
      <c r="G83" s="658" t="str">
        <f>summ!I27</f>
        <v> </v>
      </c>
      <c r="H83" s="632" t="str">
        <f>CONCATENATE("",E1," Fund Mill Rate")</f>
        <v>0 Fund Mill Rate</v>
      </c>
      <c r="I83" s="656"/>
      <c r="J83" s="657"/>
      <c r="K83" s="582"/>
    </row>
    <row r="84" spans="7:11" ht="15.75">
      <c r="G84" s="659" t="str">
        <f>summ!F27</f>
        <v>  </v>
      </c>
      <c r="H84" s="632" t="str">
        <f>CONCATENATE("",E1-1," Fund Mill Rate")</f>
        <v>-1 Fund Mill Rate</v>
      </c>
      <c r="I84" s="656"/>
      <c r="J84" s="657"/>
      <c r="K84" s="582"/>
    </row>
    <row r="85" spans="7:11" ht="15.75">
      <c r="G85" s="661">
        <f>summ!I32</f>
        <v>0</v>
      </c>
      <c r="H85" s="632" t="str">
        <f>CONCATENATE("Total ",E1," Mill Rate")</f>
        <v>Total 0 Mill Rate</v>
      </c>
      <c r="I85" s="656"/>
      <c r="J85" s="657"/>
      <c r="K85" s="582"/>
    </row>
    <row r="86" spans="7:11" ht="15.75">
      <c r="G86" s="659">
        <f>summ!F32</f>
        <v>0</v>
      </c>
      <c r="H86" s="662" t="str">
        <f>CONCATENATE("Total ",E1-1," Mill Rate")</f>
        <v>Total -1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f>inputPrYr!D2</f>
        <v>0</v>
      </c>
      <c r="C1" s="14"/>
      <c r="D1" s="14"/>
      <c r="E1" s="15">
        <f>inputPrYr!D5</f>
        <v>0</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v>
      </c>
      <c r="D5" s="26" t="str">
        <f>gen!D5</f>
        <v>Estimate for -1</v>
      </c>
      <c r="E5" s="26" t="str">
        <f>gen!E5</f>
        <v>Year for 0</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-2/-1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v>
      </c>
      <c r="D36" s="26" t="str">
        <f>D5</f>
        <v>Estimate for -1</v>
      </c>
      <c r="E36" s="26" t="str">
        <f>E5</f>
        <v>Year for 0</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-2/-1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f>inputPrYr!$D$2</f>
        <v>0</v>
      </c>
      <c r="B1" s="89"/>
      <c r="C1" s="90"/>
      <c r="D1" s="90"/>
      <c r="E1" s="90"/>
      <c r="F1" s="91" t="s">
        <v>325</v>
      </c>
      <c r="G1" s="90"/>
      <c r="H1" s="90"/>
      <c r="I1" s="90"/>
      <c r="J1" s="90"/>
      <c r="K1" s="90">
        <f>inputPrYr!$D$5</f>
        <v>0</v>
      </c>
    </row>
    <row r="2" spans="1:11" ht="15.75">
      <c r="A2" s="90"/>
      <c r="B2" s="90"/>
      <c r="C2" s="90"/>
      <c r="D2" s="90"/>
      <c r="E2" s="90"/>
      <c r="F2" s="92" t="str">
        <f>CONCATENATE("(Only the actual budget year for ",K1-2," is to be shown)")</f>
        <v>(Only the actual budget year for -2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3">
        <f>inputPrYr!B34</f>
        <v>0</v>
      </c>
      <c r="B5" s="824"/>
      <c r="C5" s="823">
        <f>inputPrYr!B35</f>
        <v>0</v>
      </c>
      <c r="D5" s="824"/>
      <c r="E5" s="823">
        <f>inputPrYr!B36</f>
        <v>0</v>
      </c>
      <c r="F5" s="824"/>
      <c r="G5" s="825">
        <f>inputPrYr!B37</f>
        <v>0</v>
      </c>
      <c r="H5" s="824"/>
      <c r="I5" s="825">
        <f>inputPrYr!B38</f>
        <v>0</v>
      </c>
      <c r="J5" s="824"/>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
      <selection activeCell="L11" sqref="L1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c r="E2" s="19"/>
    </row>
    <row r="3" spans="1:5" ht="15.75">
      <c r="A3" s="68" t="s">
        <v>225</v>
      </c>
      <c r="B3" s="14"/>
      <c r="C3" s="14"/>
      <c r="D3" s="378"/>
      <c r="E3" s="19"/>
    </row>
    <row r="4" spans="1:5" ht="15.75">
      <c r="A4" s="14"/>
      <c r="B4" s="14"/>
      <c r="C4" s="14"/>
      <c r="D4" s="14"/>
      <c r="E4" s="14"/>
    </row>
    <row r="5" spans="1:5" ht="15.75">
      <c r="A5" s="17" t="s">
        <v>146</v>
      </c>
      <c r="B5" s="14"/>
      <c r="C5" s="14"/>
      <c r="D5" s="306"/>
      <c r="E5" s="14"/>
    </row>
    <row r="6" spans="1:5" ht="15.75">
      <c r="A6" s="14"/>
      <c r="B6" s="14"/>
      <c r="C6" s="14"/>
      <c r="D6" s="14"/>
      <c r="E6" s="14"/>
    </row>
    <row r="7" spans="1:8" ht="15.75">
      <c r="A7" s="144" t="s">
        <v>148</v>
      </c>
      <c r="B7" s="148"/>
      <c r="C7" s="148"/>
      <c r="D7" s="148"/>
      <c r="E7" s="148"/>
      <c r="F7" s="14"/>
      <c r="G7" s="750" t="s">
        <v>757</v>
      </c>
      <c r="H7" s="751"/>
    </row>
    <row r="8" spans="1:8" ht="15.75">
      <c r="A8" s="144" t="s">
        <v>200</v>
      </c>
      <c r="B8" s="148"/>
      <c r="C8" s="148"/>
      <c r="D8" s="148"/>
      <c r="E8" s="148"/>
      <c r="F8" s="14"/>
      <c r="G8" s="752"/>
      <c r="H8" s="751"/>
    </row>
    <row r="9" spans="1:8" ht="15.75">
      <c r="A9" s="14"/>
      <c r="B9" s="14"/>
      <c r="C9" s="14"/>
      <c r="D9" s="14"/>
      <c r="E9" s="14"/>
      <c r="F9" s="14"/>
      <c r="G9" s="752"/>
      <c r="H9" s="751"/>
    </row>
    <row r="10" spans="1:8" ht="15.75">
      <c r="A10" s="748" t="s">
        <v>158</v>
      </c>
      <c r="B10" s="749"/>
      <c r="C10" s="749"/>
      <c r="D10" s="749"/>
      <c r="E10" s="749"/>
      <c r="F10" s="14"/>
      <c r="G10" s="752"/>
      <c r="H10" s="751"/>
    </row>
    <row r="11" spans="1:8" ht="15.75">
      <c r="A11" s="68"/>
      <c r="B11" s="14"/>
      <c r="C11" s="14"/>
      <c r="D11" s="14"/>
      <c r="E11" s="14"/>
      <c r="F11" s="14"/>
      <c r="G11" s="752"/>
      <c r="H11" s="751"/>
    </row>
    <row r="12" spans="1:8" ht="15.75">
      <c r="A12" s="307" t="s">
        <v>147</v>
      </c>
      <c r="B12" s="293"/>
      <c r="C12" s="14"/>
      <c r="D12" s="49"/>
      <c r="E12" s="308"/>
      <c r="F12" s="14"/>
      <c r="G12" s="752"/>
      <c r="H12" s="751"/>
    </row>
    <row r="13" spans="1:8" ht="15.75">
      <c r="A13" s="309" t="str">
        <f>CONCATENATE("the ",D5-1," Budget, Certificate Page:")</f>
        <v>the -1 Budget, Certificate Page:</v>
      </c>
      <c r="B13" s="310"/>
      <c r="C13" s="49"/>
      <c r="D13" s="14"/>
      <c r="E13" s="14"/>
      <c r="F13" s="14"/>
      <c r="G13" s="19"/>
      <c r="H13" s="129"/>
    </row>
    <row r="14" spans="1:8" ht="15.75">
      <c r="A14" s="309" t="s">
        <v>315</v>
      </c>
      <c r="B14" s="310"/>
      <c r="C14" s="49"/>
      <c r="D14" s="311">
        <f>$D$5-1</f>
        <v>-1</v>
      </c>
      <c r="E14" s="312">
        <f>$D$5-2</f>
        <v>-2</v>
      </c>
      <c r="G14" s="171" t="s">
        <v>758</v>
      </c>
      <c r="H14" s="179" t="s">
        <v>29</v>
      </c>
    </row>
    <row r="15" spans="1:8" ht="15.75">
      <c r="A15" s="22" t="s">
        <v>271</v>
      </c>
      <c r="B15" s="14"/>
      <c r="C15" s="313" t="s">
        <v>270</v>
      </c>
      <c r="D15" s="314" t="s">
        <v>342</v>
      </c>
      <c r="E15" s="315" t="s">
        <v>16</v>
      </c>
      <c r="G15" s="177" t="str">
        <f>CONCATENATE("",E14," Ad Valorem Tax")</f>
        <v>-2 Ad Valorem Tax</v>
      </c>
      <c r="H15" s="731">
        <v>0</v>
      </c>
    </row>
    <row r="16" spans="1:7" ht="15.75">
      <c r="A16" s="14"/>
      <c r="B16" s="72" t="s">
        <v>272</v>
      </c>
      <c r="C16" s="161" t="s">
        <v>273</v>
      </c>
      <c r="D16" s="187"/>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-1 Budgeted Year</v>
      </c>
      <c r="B26" s="20"/>
      <c r="C26" s="267"/>
      <c r="D26" s="317"/>
      <c r="E26" s="318">
        <f>SUM(E16:E25)</f>
        <v>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-1</v>
      </c>
      <c r="B31" s="319"/>
      <c r="C31" s="259"/>
      <c r="D31" s="158">
        <f>SUM(D16:D25,D29:D30)</f>
        <v>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6" t="str">
        <f>CONCATENATE("",D5-3," Tax Rate                    (",D5-2," Column)")</f>
        <v>-3 Tax Rate                    (-2 Column)</v>
      </c>
      <c r="E40" s="14"/>
    </row>
    <row r="41" spans="1:5" ht="15.75">
      <c r="A41" s="309" t="str">
        <f>CONCATENATE("the ",D5-1," Budget, Budget Summary Page:")</f>
        <v>the -1 Budget, Budget Summary Page:</v>
      </c>
      <c r="B41" s="281"/>
      <c r="C41" s="14"/>
      <c r="D41" s="747"/>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-3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 budget column)</v>
      </c>
      <c r="B54" s="326"/>
      <c r="C54" s="20"/>
      <c r="D54" s="259"/>
      <c r="E54" s="187"/>
    </row>
    <row r="55" spans="1:5" ht="15.75">
      <c r="A55" s="327" t="str">
        <f>CONCATENATE("Assessed Valuation (",D5-2," budget column)")</f>
        <v>Assessed Valuation (-2 budget column)</v>
      </c>
      <c r="B55" s="328"/>
      <c r="C55" s="267"/>
      <c r="D55" s="28"/>
      <c r="E55" s="187"/>
    </row>
    <row r="56" spans="1:5" ht="15.75">
      <c r="A56" s="274"/>
      <c r="B56" s="19"/>
      <c r="C56" s="19"/>
      <c r="D56" s="19"/>
      <c r="E56" s="284"/>
    </row>
    <row r="57" spans="1:5" ht="15.75">
      <c r="A57" s="14"/>
      <c r="B57" s="14"/>
      <c r="C57" s="14"/>
      <c r="D57" s="14"/>
      <c r="E57" s="55"/>
    </row>
    <row r="58" spans="1:5" ht="15.75">
      <c r="A58" s="293" t="s">
        <v>201</v>
      </c>
      <c r="B58" s="293"/>
      <c r="C58" s="129"/>
      <c r="D58" s="329">
        <f>D5-3</f>
        <v>-3</v>
      </c>
      <c r="E58" s="329">
        <f>D5-2</f>
        <v>-2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0</v>
      </c>
    </row>
    <row r="2" spans="2:9" ht="15.75">
      <c r="B2" s="784" t="s">
        <v>71</v>
      </c>
      <c r="C2" s="763"/>
      <c r="D2" s="763"/>
      <c r="E2" s="763"/>
      <c r="F2" s="763"/>
      <c r="G2" s="763"/>
      <c r="H2" s="763"/>
      <c r="I2" s="763"/>
    </row>
    <row r="3" spans="2:9" ht="15.75">
      <c r="B3" s="14"/>
      <c r="C3" s="14"/>
      <c r="D3" s="14"/>
      <c r="E3" s="14"/>
      <c r="F3" s="14"/>
      <c r="G3" s="22" t="s">
        <v>37</v>
      </c>
      <c r="H3" s="22" t="s">
        <v>38</v>
      </c>
      <c r="I3" s="14"/>
    </row>
    <row r="4" spans="2:9" ht="15.75">
      <c r="B4" s="773" t="s">
        <v>39</v>
      </c>
      <c r="C4" s="773"/>
      <c r="D4" s="773"/>
      <c r="E4" s="773"/>
      <c r="F4" s="773"/>
      <c r="G4" s="773"/>
      <c r="H4" s="773"/>
      <c r="I4" s="773"/>
    </row>
    <row r="5" spans="2:9" ht="15.75">
      <c r="B5" s="782">
        <f>inputPrYr!D2</f>
        <v>0</v>
      </c>
      <c r="C5" s="782"/>
      <c r="D5" s="782"/>
      <c r="E5" s="782"/>
      <c r="F5" s="782"/>
      <c r="G5" s="782"/>
      <c r="H5" s="782"/>
      <c r="I5" s="782"/>
    </row>
    <row r="6" spans="2:9" ht="15.75">
      <c r="B6" s="782">
        <f>inputPrYr!D3</f>
        <v>0</v>
      </c>
      <c r="C6" s="782"/>
      <c r="D6" s="782"/>
      <c r="E6" s="782"/>
      <c r="F6" s="782"/>
      <c r="G6" s="782"/>
      <c r="H6" s="782"/>
      <c r="I6" s="782"/>
    </row>
    <row r="7" spans="2:9" ht="15.75">
      <c r="B7" s="773" t="str">
        <f>CONCATENATE("will meet on ",inputBudSum!B8," at ",inputBudSum!B10," at ",inputBudSum!B12," for the purpose of hearing and")</f>
        <v>will meet on  at  at  for the purpose of hearing and</v>
      </c>
      <c r="C7" s="773"/>
      <c r="D7" s="773"/>
      <c r="E7" s="773"/>
      <c r="F7" s="773"/>
      <c r="G7" s="773"/>
      <c r="H7" s="773"/>
      <c r="I7" s="773"/>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0 Expenditures and Amount of -1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0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v>
      </c>
      <c r="D14" s="151"/>
      <c r="E14" s="150" t="str">
        <f>CONCATENATE("Current Year Estimate ",I1-1,"")</f>
        <v>Current Year Estimate -1</v>
      </c>
      <c r="F14" s="152"/>
      <c r="G14" s="153" t="str">
        <f>CONCATENATE("Proposed Budget ",I1,"")</f>
        <v>Proposed Budget 0</v>
      </c>
      <c r="H14" s="154"/>
      <c r="I14" s="152"/>
      <c r="J14" s="149"/>
    </row>
    <row r="15" spans="2:10" ht="22.5" customHeight="1">
      <c r="B15" s="14"/>
      <c r="C15" s="69"/>
      <c r="D15" s="23" t="s">
        <v>32</v>
      </c>
      <c r="E15" s="23"/>
      <c r="F15" s="23" t="s">
        <v>32</v>
      </c>
      <c r="G15" s="155"/>
      <c r="H15" s="765" t="str">
        <f>CONCATENATE("Amount of ",I1-1," Ad Valorem Tax")</f>
        <v>Amount of -1 Ad Valorem Tax</v>
      </c>
      <c r="I15" s="23" t="s">
        <v>40</v>
      </c>
      <c r="J15" s="149"/>
    </row>
    <row r="16" spans="2:10" ht="15.75">
      <c r="B16" s="14"/>
      <c r="C16" s="156"/>
      <c r="D16" s="156" t="s">
        <v>41</v>
      </c>
      <c r="E16" s="156"/>
      <c r="F16" s="156" t="s">
        <v>41</v>
      </c>
      <c r="G16" s="156" t="s">
        <v>208</v>
      </c>
      <c r="H16" s="836"/>
      <c r="I16" s="156" t="s">
        <v>41</v>
      </c>
      <c r="J16" s="149"/>
    </row>
    <row r="17" spans="2:10" ht="15.75">
      <c r="B17" s="25" t="s">
        <v>285</v>
      </c>
      <c r="C17" s="26" t="s">
        <v>42</v>
      </c>
      <c r="D17" s="26" t="s">
        <v>43</v>
      </c>
      <c r="E17" s="26" t="s">
        <v>42</v>
      </c>
      <c r="F17" s="26" t="s">
        <v>43</v>
      </c>
      <c r="G17" s="26" t="s">
        <v>719</v>
      </c>
      <c r="H17" s="837"/>
      <c r="I17" s="26" t="s">
        <v>43</v>
      </c>
      <c r="J17" s="149"/>
    </row>
    <row r="18" spans="2:10" ht="15.75">
      <c r="B18" s="85" t="str">
        <f>inputPrYr!B16</f>
        <v>General</v>
      </c>
      <c r="C18" s="63" t="str">
        <f>IF(gen!$C$50&lt;&gt;0,gen!$C$50,"  ")</f>
        <v>  </v>
      </c>
      <c r="D18" s="524" t="str">
        <f>IF(inputPrYr!D42&gt;0,inputPrYr!D42,"  ")</f>
        <v>  </v>
      </c>
      <c r="E18" s="32" t="str">
        <f>IF(gen!$D$50&lt;&gt;0,gen!$D$50,"  ")</f>
        <v>  </v>
      </c>
      <c r="F18" s="235" t="str">
        <f>IF(inputOth!D17&gt;0,inputOth!D17,"  ")</f>
        <v>  </v>
      </c>
      <c r="G18" s="32" t="str">
        <f>IF(gen!$E$50&lt;&gt;0,gen!$E$50,"  ")</f>
        <v>  </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29" t="str">
        <f>CONCATENATE("Estimated Value Of One Mill For ",I1,"")</f>
        <v>Estimated Value Of One Mill For 0</v>
      </c>
      <c r="L21" s="834"/>
      <c r="M21" s="834"/>
      <c r="N21" s="835"/>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0</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9" t="str">
        <f>CONCATENATE("Want The Mill Rate The Same As For ",I1-1,"?")</f>
        <v>Want The Mill Rate The Same As For -1?</v>
      </c>
      <c r="L25" s="832"/>
      <c r="M25" s="832"/>
      <c r="N25" s="833"/>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-1 Mill Rate Was:</v>
      </c>
      <c r="L27" s="501"/>
      <c r="M27" s="501"/>
      <c r="N27" s="509">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0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0</v>
      </c>
      <c r="D32" s="478">
        <f t="shared" si="0"/>
        <v>0</v>
      </c>
      <c r="E32" s="527">
        <f t="shared" si="0"/>
        <v>0</v>
      </c>
      <c r="F32" s="478">
        <f t="shared" si="0"/>
        <v>0</v>
      </c>
      <c r="G32" s="527">
        <f t="shared" si="0"/>
        <v>0</v>
      </c>
      <c r="H32" s="527">
        <f t="shared" si="0"/>
        <v>0</v>
      </c>
      <c r="I32" s="530">
        <f t="shared" si="0"/>
        <v>0</v>
      </c>
      <c r="K32" s="829" t="str">
        <f>CONCATENATE("Impact On Keeping The Same Mill Rate As For ",I1-1,"")</f>
        <v>Impact On Keeping The Same Mill Rate As For -1</v>
      </c>
      <c r="L32" s="830"/>
      <c r="M32" s="830"/>
      <c r="N32" s="831"/>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0</v>
      </c>
      <c r="D34" s="14"/>
      <c r="E34" s="528">
        <f>E32-E33</f>
        <v>0</v>
      </c>
      <c r="F34" s="14"/>
      <c r="G34" s="528">
        <f>G32-G33</f>
        <v>0</v>
      </c>
      <c r="H34" s="14"/>
      <c r="I34" s="14"/>
      <c r="K34" s="507" t="str">
        <f>CONCATENATE("",I1," Ad Valorem Tax Revenue:")</f>
        <v>0 Ad Valorem Tax Revenue:</v>
      </c>
      <c r="L34" s="501"/>
      <c r="M34" s="501"/>
      <c r="N34" s="502">
        <f>H32</f>
        <v>0</v>
      </c>
    </row>
    <row r="35" spans="2:14" ht="16.5" thickTop="1">
      <c r="B35" s="274" t="s">
        <v>46</v>
      </c>
      <c r="C35" s="529">
        <f>inputPrYr!E54</f>
        <v>0</v>
      </c>
      <c r="D35" s="61"/>
      <c r="E35" s="529">
        <f>inputPrYr!E26</f>
        <v>0</v>
      </c>
      <c r="F35" s="14"/>
      <c r="G35" s="520" t="s">
        <v>289</v>
      </c>
      <c r="H35" s="14"/>
      <c r="I35" s="14"/>
      <c r="K35" s="507" t="str">
        <f>CONCATENATE("",I1-1," Ad Valorem Tax Revenue:")</f>
        <v>-1 Ad Valorem Tax Revenue:</v>
      </c>
      <c r="L35" s="501"/>
      <c r="M35" s="501"/>
      <c r="N35" s="515">
        <f>ROUND(G37*N27/1000,0)</f>
        <v>0</v>
      </c>
    </row>
    <row r="36" spans="2:14" ht="15.75">
      <c r="B36" s="274" t="s">
        <v>47</v>
      </c>
      <c r="C36" s="55"/>
      <c r="D36" s="61"/>
      <c r="E36" s="55"/>
      <c r="F36" s="61"/>
      <c r="G36" s="14"/>
      <c r="H36" s="14"/>
      <c r="I36" s="14"/>
      <c r="K36" s="512" t="s">
        <v>717</v>
      </c>
      <c r="L36" s="513"/>
      <c r="M36" s="513"/>
      <c r="N36" s="505">
        <f>N34-N35</f>
        <v>0</v>
      </c>
    </row>
    <row r="37" spans="2:14" ht="15.75">
      <c r="B37" s="274" t="s">
        <v>48</v>
      </c>
      <c r="C37" s="32">
        <f>inputPrYr!E55</f>
        <v>0</v>
      </c>
      <c r="D37" s="14"/>
      <c r="E37" s="32">
        <f>inputOth!E29</f>
        <v>0</v>
      </c>
      <c r="F37" s="14"/>
      <c r="G37" s="32">
        <f>inputOth!E7</f>
        <v>0</v>
      </c>
      <c r="H37" s="14"/>
      <c r="I37" s="14"/>
      <c r="K37" s="506"/>
      <c r="L37" s="506"/>
      <c r="M37" s="506"/>
      <c r="N37" s="514"/>
    </row>
    <row r="38" spans="2:14" ht="15.75">
      <c r="B38" s="22" t="s">
        <v>49</v>
      </c>
      <c r="C38" s="14"/>
      <c r="D38" s="14"/>
      <c r="E38" s="14"/>
      <c r="F38" s="14"/>
      <c r="G38" s="14"/>
      <c r="H38" s="14"/>
      <c r="I38" s="14"/>
      <c r="K38" s="829" t="s">
        <v>718</v>
      </c>
      <c r="L38" s="832"/>
      <c r="M38" s="832"/>
      <c r="N38" s="833"/>
    </row>
    <row r="39" spans="2:14" ht="15.75">
      <c r="B39" s="22" t="s">
        <v>50</v>
      </c>
      <c r="C39" s="160">
        <f>I1-3</f>
        <v>-3</v>
      </c>
      <c r="D39" s="14"/>
      <c r="E39" s="160">
        <f>I1-2</f>
        <v>-2</v>
      </c>
      <c r="F39" s="14"/>
      <c r="G39" s="160">
        <f>I1-1</f>
        <v>-1</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0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0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0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0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28">
        <f>inputBudSum!B4</f>
        <v>0</v>
      </c>
      <c r="C46" s="828"/>
      <c r="D46" s="14"/>
      <c r="E46" s="14"/>
      <c r="F46" s="14"/>
      <c r="G46" s="14"/>
      <c r="H46" s="14"/>
      <c r="I46" s="14"/>
    </row>
    <row r="47" spans="2:9" ht="15.75">
      <c r="B47" s="826">
        <f>inputBudSum!B6</f>
        <v>0</v>
      </c>
      <c r="C47" s="827"/>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f>inputPrYr!D2</f>
        <v>0</v>
      </c>
      <c r="B1" s="14"/>
      <c r="C1" s="14"/>
      <c r="D1" s="14"/>
      <c r="E1" s="14"/>
      <c r="F1" s="14">
        <f>inputPrYr!D5</f>
        <v>0</v>
      </c>
    </row>
    <row r="2" spans="1:6" ht="15.75">
      <c r="A2" s="14"/>
      <c r="B2" s="14"/>
      <c r="C2" s="14"/>
      <c r="D2" s="14"/>
      <c r="E2" s="14"/>
      <c r="F2" s="14"/>
    </row>
    <row r="3" spans="1:6" ht="15.75">
      <c r="A3" s="14"/>
      <c r="B3" s="764" t="str">
        <f>CONCATENATE("",F1," Neighborhood Revitalization Rebate")</f>
        <v>0 Neighborhood Revitalization Rebate</v>
      </c>
      <c r="C3" s="772"/>
      <c r="D3" s="772"/>
      <c r="E3" s="772"/>
      <c r="F3" s="14"/>
    </row>
    <row r="4" spans="1:6" ht="15.75">
      <c r="A4" s="14"/>
      <c r="B4" s="14"/>
      <c r="C4" s="14"/>
      <c r="D4" s="14"/>
      <c r="E4" s="14"/>
      <c r="F4" s="14"/>
    </row>
    <row r="5" spans="1:6" ht="51" customHeight="1">
      <c r="A5" s="14"/>
      <c r="B5" s="126" t="str">
        <f>CONCATENATE("Budgeted Funds                            for ",F1,"")</f>
        <v>Budgeted Funds                            for 0</v>
      </c>
      <c r="C5" s="126" t="str">
        <f>CONCATENATE("",F1-1," Ad Valorem before Rebate**")</f>
        <v>-1 Ad Valorem before Rebate**</v>
      </c>
      <c r="D5" s="127" t="str">
        <f>CONCATENATE("",F1-1," Mil Rate before Rebate")</f>
        <v>-1 Mil Rate before Rebate</v>
      </c>
      <c r="E5" s="128" t="str">
        <f>CONCATENATE("Estimate ",F1," NR Rebate")</f>
        <v>Estimate 0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0" t="str">
        <f>CONCATENATE("",F1-1," July 1 Valuation:")</f>
        <v>-1 July 1 Valuation:</v>
      </c>
      <c r="B19" s="839"/>
      <c r="C19" s="840"/>
      <c r="D19" s="136">
        <f>inputOth!E7</f>
        <v>0</v>
      </c>
      <c r="E19" s="14"/>
      <c r="F19" s="129"/>
    </row>
    <row r="20" spans="1:6" ht="15.75">
      <c r="A20" s="14"/>
      <c r="B20" s="14"/>
      <c r="C20" s="14"/>
      <c r="D20" s="14"/>
      <c r="E20" s="14"/>
      <c r="F20" s="129"/>
    </row>
    <row r="21" spans="1:6" ht="15.75">
      <c r="A21" s="14"/>
      <c r="B21" s="840" t="s">
        <v>365</v>
      </c>
      <c r="C21" s="840"/>
      <c r="D21" s="137">
        <f>IF(D19&gt;0,(D19*0.001),"")</f>
      </c>
      <c r="E21" s="14"/>
      <c r="F21" s="129"/>
    </row>
    <row r="22" spans="1:6" ht="15.75">
      <c r="A22" s="14"/>
      <c r="B22" s="48"/>
      <c r="C22" s="48"/>
      <c r="D22" s="138"/>
      <c r="E22" s="14"/>
      <c r="F22" s="129"/>
    </row>
    <row r="23" spans="1:6" ht="15.75">
      <c r="A23" s="838" t="s">
        <v>367</v>
      </c>
      <c r="B23" s="763"/>
      <c r="C23" s="763"/>
      <c r="D23" s="139">
        <f>inputOth!E13</f>
        <v>0</v>
      </c>
      <c r="E23" s="140"/>
      <c r="F23" s="140"/>
    </row>
    <row r="24" spans="1:6" ht="15.75">
      <c r="A24" s="140"/>
      <c r="B24" s="140"/>
      <c r="C24" s="140"/>
      <c r="D24" s="141"/>
      <c r="E24" s="140"/>
      <c r="F24" s="140"/>
    </row>
    <row r="25" spans="1:6" ht="15.75">
      <c r="A25" s="140"/>
      <c r="B25" s="838" t="s">
        <v>368</v>
      </c>
      <c r="C25" s="839"/>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0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4" t="s">
        <v>129</v>
      </c>
      <c r="B1" s="844"/>
      <c r="C1" s="844"/>
      <c r="D1" s="844"/>
      <c r="E1" s="844"/>
      <c r="F1" s="844"/>
      <c r="G1" s="844"/>
    </row>
    <row r="2" ht="15.75">
      <c r="A2" s="1"/>
    </row>
    <row r="3" spans="1:7" ht="15.75">
      <c r="A3" s="845" t="s">
        <v>130</v>
      </c>
      <c r="B3" s="845"/>
      <c r="C3" s="845"/>
      <c r="D3" s="845"/>
      <c r="E3" s="845"/>
      <c r="F3" s="845"/>
      <c r="G3" s="845"/>
    </row>
    <row r="4" ht="15.75">
      <c r="A4" s="2"/>
    </row>
    <row r="5" ht="15.75">
      <c r="A5" s="2"/>
    </row>
    <row r="6" spans="1:9" ht="15.75">
      <c r="A6" s="8" t="str">
        <f>CONCATENATE("A resolution expressing the property taxation policy of the Board of ",(inputPrYr!D2)," ")</f>
        <v>A resolution expressing the property taxation policy of the Board of  </v>
      </c>
      <c r="I6">
        <f>CONCATENATE(I7)</f>
      </c>
    </row>
    <row r="7" spans="1:7" ht="15.75">
      <c r="A7" s="846" t="str">
        <f>CONCATENATE("   with respect to financing the ",inputPrYr!D5," annual budget for ",(inputPrYr!D2)," , ",(inputPrYr!D3)," , Kansas.")</f>
        <v>   with respect to financing the  annual budget for  ,  , Kansas.</v>
      </c>
      <c r="B7" s="842"/>
      <c r="C7" s="842"/>
      <c r="D7" s="842"/>
      <c r="E7" s="842"/>
      <c r="F7" s="842"/>
      <c r="G7" s="842"/>
    </row>
    <row r="8" spans="1:7" ht="15.75">
      <c r="A8" s="842"/>
      <c r="B8" s="842"/>
      <c r="C8" s="842"/>
      <c r="D8" s="842"/>
      <c r="E8" s="842"/>
      <c r="F8" s="842"/>
      <c r="G8" s="842"/>
    </row>
    <row r="9" ht="15.75">
      <c r="A9" s="1"/>
    </row>
    <row r="10" ht="15.75">
      <c r="A10" s="9" t="s">
        <v>131</v>
      </c>
    </row>
    <row r="11" ht="15.75">
      <c r="A11" s="7" t="str">
        <f>CONCATENATE("to finance the ",inputPrYr!D5," ",(inputPrYr!D2)," budget exceed the amount levied to finance the ",inputPrYr!D5-1,"")</f>
        <v>to finance the   budget exceed the amount levied to finance the -1</v>
      </c>
    </row>
    <row r="12" spans="1:7" ht="15.75">
      <c r="A12" s="841" t="str">
        <f>CONCATENATE((inputPrYr!D2)," Township budget, except with regard to revenue produced and attributable to the taxation of 1) new improvements to real property; 2) increased personal property valuation, other than increased")</f>
        <v> Township budget, except with regard to revenue produced and attributable to the taxation of 1) new improvements to real property; 2) increased personal property valuation, other than increased</v>
      </c>
      <c r="B12" s="842"/>
      <c r="C12" s="842"/>
      <c r="D12" s="842"/>
      <c r="E12" s="842"/>
      <c r="F12" s="842"/>
      <c r="G12" s="842"/>
    </row>
    <row r="13" spans="1:7" ht="15.75">
      <c r="A13" s="842"/>
      <c r="B13" s="842"/>
      <c r="C13" s="842"/>
      <c r="D13" s="842"/>
      <c r="E13" s="842"/>
      <c r="F13" s="842"/>
      <c r="G13" s="842"/>
    </row>
    <row r="14" spans="1:7" ht="15.75">
      <c r="A14" s="841" t="s">
        <v>136</v>
      </c>
      <c r="B14" s="842"/>
      <c r="C14" s="842"/>
      <c r="D14" s="842"/>
      <c r="E14" s="842"/>
      <c r="F14" s="842"/>
      <c r="G14" s="842"/>
    </row>
    <row r="15" spans="1:7" ht="15.75">
      <c r="A15" s="842"/>
      <c r="B15" s="842"/>
      <c r="C15" s="842"/>
      <c r="D15" s="842"/>
      <c r="E15" s="842"/>
      <c r="F15" s="842"/>
      <c r="G15" s="842"/>
    </row>
    <row r="16" spans="1:7" ht="15.75">
      <c r="A16" s="843"/>
      <c r="B16" s="843"/>
      <c r="C16" s="843"/>
      <c r="D16" s="843"/>
      <c r="E16" s="843"/>
      <c r="F16" s="843"/>
      <c r="G16" s="843"/>
    </row>
    <row r="17" ht="15.75">
      <c r="A17" s="2"/>
    </row>
    <row r="18" spans="1:7" ht="15.75">
      <c r="A18" s="847" t="s">
        <v>132</v>
      </c>
      <c r="B18" s="842"/>
      <c r="C18" s="842"/>
      <c r="D18" s="842"/>
      <c r="E18" s="842"/>
      <c r="F18" s="842"/>
      <c r="G18" s="842"/>
    </row>
    <row r="19" spans="1:7" ht="15.75">
      <c r="A19" s="842"/>
      <c r="B19" s="842"/>
      <c r="C19" s="842"/>
      <c r="D19" s="842"/>
      <c r="E19" s="842"/>
      <c r="F19" s="842"/>
      <c r="G19" s="842"/>
    </row>
    <row r="20" ht="15.75">
      <c r="A20" s="2"/>
    </row>
    <row r="21" spans="1:7" ht="15.75">
      <c r="A21" s="847" t="str">
        <f>CONCATENATE("Whereas, ",(inputPrYr!D2)," provides essential services to protect the safety and well being of the citizens of the township; and")</f>
        <v>Whereas,  provides essential services to protect the safety and well being of the citizens of the township; and</v>
      </c>
      <c r="B21" s="842"/>
      <c r="C21" s="842"/>
      <c r="D21" s="842"/>
      <c r="E21" s="842"/>
      <c r="F21" s="842"/>
      <c r="G21" s="842"/>
    </row>
    <row r="22" spans="1:7" ht="15.75">
      <c r="A22" s="842"/>
      <c r="B22" s="842"/>
      <c r="C22" s="842"/>
      <c r="D22" s="842"/>
      <c r="E22" s="842"/>
      <c r="F22" s="842"/>
      <c r="G22" s="842"/>
    </row>
    <row r="23" ht="15.75">
      <c r="A23" s="4"/>
    </row>
    <row r="24" ht="15.75">
      <c r="A24" s="3" t="s">
        <v>133</v>
      </c>
    </row>
    <row r="25" ht="15.75">
      <c r="A25" s="4"/>
    </row>
    <row r="26" spans="1:7" ht="15.7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of , Kansas that is our desire to notify the public of increased property taxes to finance the    budget as defined above.</v>
      </c>
      <c r="B26" s="842"/>
      <c r="C26" s="842"/>
      <c r="D26" s="842"/>
      <c r="E26" s="842"/>
      <c r="F26" s="842"/>
      <c r="G26" s="842"/>
    </row>
    <row r="27" spans="1:7" ht="15.75">
      <c r="A27" s="842"/>
      <c r="B27" s="842"/>
      <c r="C27" s="842"/>
      <c r="D27" s="842"/>
      <c r="E27" s="842"/>
      <c r="F27" s="842"/>
      <c r="G27" s="842"/>
    </row>
    <row r="28" spans="1:7" ht="15.75">
      <c r="A28" s="842"/>
      <c r="B28" s="842"/>
      <c r="C28" s="842"/>
      <c r="D28" s="842"/>
      <c r="E28" s="842"/>
      <c r="F28" s="842"/>
      <c r="G28" s="842"/>
    </row>
    <row r="29" ht="15.75">
      <c r="A29" s="4"/>
    </row>
    <row r="30" spans="1:7" ht="15.75">
      <c r="A30" s="850" t="str">
        <f>CONCATENATE("Adopted this _________ day of ___________, ",inputPrYr!D5-1," by the ",(inputPrYr!D2)," Board, ",(inputPrYr!D3),", Kansas.")</f>
        <v>Adopted this _________ day of ___________, -1 by the  Board, , Kansas.</v>
      </c>
      <c r="B30" s="842"/>
      <c r="C30" s="842"/>
      <c r="D30" s="842"/>
      <c r="E30" s="842"/>
      <c r="F30" s="842"/>
      <c r="G30" s="842"/>
    </row>
    <row r="31" spans="1:7" ht="15.75">
      <c r="A31" s="842"/>
      <c r="B31" s="842"/>
      <c r="C31" s="842"/>
      <c r="D31" s="842"/>
      <c r="E31" s="842"/>
      <c r="F31" s="842"/>
      <c r="G31" s="842"/>
    </row>
    <row r="32" ht="15.75">
      <c r="A32" s="4"/>
    </row>
    <row r="33" spans="4:7" ht="15.75">
      <c r="D33" s="848" t="str">
        <f>CONCATENATE((inputPrYr!D2)," Board")</f>
        <v> Board</v>
      </c>
      <c r="E33" s="848"/>
      <c r="F33" s="848"/>
      <c r="G33" s="848"/>
    </row>
    <row r="35" spans="4:7" ht="15.75">
      <c r="D35" s="849" t="s">
        <v>134</v>
      </c>
      <c r="E35" s="849"/>
      <c r="F35" s="849"/>
      <c r="G35" s="849"/>
    </row>
    <row r="36" spans="1:7" ht="15.75">
      <c r="A36" s="5"/>
      <c r="D36" s="849" t="s">
        <v>138</v>
      </c>
      <c r="E36" s="849"/>
      <c r="F36" s="849"/>
      <c r="G36" s="849"/>
    </row>
    <row r="37" spans="4:7" ht="15.75">
      <c r="D37" s="849"/>
      <c r="E37" s="849"/>
      <c r="F37" s="849"/>
      <c r="G37" s="849"/>
    </row>
    <row r="38" spans="4:7" ht="15.75">
      <c r="D38" s="849" t="s">
        <v>134</v>
      </c>
      <c r="E38" s="849"/>
      <c r="F38" s="849"/>
      <c r="G38" s="849"/>
    </row>
    <row r="39" spans="1:7" ht="15.75">
      <c r="A39" s="4"/>
      <c r="D39" s="849" t="s">
        <v>139</v>
      </c>
      <c r="E39" s="849"/>
      <c r="F39" s="849"/>
      <c r="G39" s="849"/>
    </row>
    <row r="40" spans="4:7" ht="15.75">
      <c r="D40" s="849"/>
      <c r="E40" s="849"/>
      <c r="F40" s="849"/>
      <c r="G40" s="849"/>
    </row>
    <row r="41" spans="4:7" ht="15.75">
      <c r="D41" s="849" t="s">
        <v>137</v>
      </c>
      <c r="E41" s="849"/>
      <c r="F41" s="849"/>
      <c r="G41" s="849"/>
    </row>
    <row r="42" spans="1:7" ht="15.75">
      <c r="A42" s="4"/>
      <c r="D42" s="849" t="s">
        <v>140</v>
      </c>
      <c r="E42" s="849"/>
      <c r="F42" s="849"/>
      <c r="G42" s="849"/>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 'total expenditures' exceed your -2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 budget was amended, did you</v>
      </c>
    </row>
    <row r="26" ht="15.75">
      <c r="A26" s="351" t="s">
        <v>394</v>
      </c>
    </row>
    <row r="27" ht="15.75">
      <c r="A27" s="351"/>
    </row>
    <row r="28" ht="15.75">
      <c r="A28" s="351" t="str">
        <f>CONCATENATE("Next, look to see if any of your ",inputPrYr!D5-2," expenditures can be")</f>
        <v>Next, look to see if any of your -2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 financial records have been closed?</v>
      </c>
    </row>
    <row r="76" ht="15.75">
      <c r="A76" s="351" t="s">
        <v>429</v>
      </c>
    </row>
    <row r="77" ht="15.75">
      <c r="A77" s="351" t="str">
        <f>CONCATENATE("(i.e. an audit for ",inputPrYr!D5-2," has been completed, or the ",inputPrYr!D5)</f>
        <v>(i.e. an audit for -2 has been completed, or the </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 are not closed</v>
      </c>
      <c r="B33" s="351"/>
      <c r="C33" s="351"/>
      <c r="D33" s="351"/>
      <c r="E33" s="351"/>
      <c r="F33" s="351"/>
      <c r="G33" s="351"/>
      <c r="H33" s="351"/>
    </row>
    <row r="34" spans="1:8" ht="15.75">
      <c r="A34" s="351" t="str">
        <f>CONCATENATE("(i.e. an audit has not been completed, or the ",inputPrYr!D5," adopted ")</f>
        <v>(i.e. an audit has not been completed, or the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-1 'total expenditures' exceed your -1</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-1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-1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-1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-1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-1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'total expenditures' exceed your </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1" t="s">
        <v>626</v>
      </c>
      <c r="C6" s="852"/>
      <c r="D6" s="852"/>
      <c r="E6" s="852"/>
      <c r="F6" s="852"/>
      <c r="G6" s="852"/>
      <c r="H6" s="852"/>
      <c r="I6" s="852"/>
      <c r="J6" s="852"/>
      <c r="K6" s="852"/>
      <c r="L6" s="405"/>
    </row>
    <row r="7" spans="1:12" ht="40.5" customHeight="1">
      <c r="A7" s="402"/>
      <c r="B7" s="853" t="s">
        <v>627</v>
      </c>
      <c r="C7" s="854"/>
      <c r="D7" s="854"/>
      <c r="E7" s="854"/>
      <c r="F7" s="854"/>
      <c r="G7" s="854"/>
      <c r="H7" s="854"/>
      <c r="I7" s="854"/>
      <c r="J7" s="854"/>
      <c r="K7" s="854"/>
      <c r="L7" s="402"/>
    </row>
    <row r="8" spans="1:12" ht="14.25">
      <c r="A8" s="402"/>
      <c r="B8" s="855" t="s">
        <v>628</v>
      </c>
      <c r="C8" s="855"/>
      <c r="D8" s="855"/>
      <c r="E8" s="855"/>
      <c r="F8" s="855"/>
      <c r="G8" s="855"/>
      <c r="H8" s="855"/>
      <c r="I8" s="855"/>
      <c r="J8" s="855"/>
      <c r="K8" s="855"/>
      <c r="L8" s="402"/>
    </row>
    <row r="9" spans="1:12" ht="14.25">
      <c r="A9" s="402"/>
      <c r="L9" s="402"/>
    </row>
    <row r="10" spans="1:12" ht="14.25">
      <c r="A10" s="402"/>
      <c r="B10" s="855" t="s">
        <v>629</v>
      </c>
      <c r="C10" s="855"/>
      <c r="D10" s="855"/>
      <c r="E10" s="855"/>
      <c r="F10" s="855"/>
      <c r="G10" s="855"/>
      <c r="H10" s="855"/>
      <c r="I10" s="855"/>
      <c r="J10" s="855"/>
      <c r="K10" s="855"/>
      <c r="L10" s="402"/>
    </row>
    <row r="11" spans="1:12" ht="14.25">
      <c r="A11" s="402"/>
      <c r="B11" s="541"/>
      <c r="C11" s="541"/>
      <c r="D11" s="541"/>
      <c r="E11" s="541"/>
      <c r="F11" s="541"/>
      <c r="G11" s="541"/>
      <c r="H11" s="541"/>
      <c r="I11" s="541"/>
      <c r="J11" s="541"/>
      <c r="K11" s="541"/>
      <c r="L11" s="402"/>
    </row>
    <row r="12" spans="1:12" ht="32.25" customHeight="1">
      <c r="A12" s="402"/>
      <c r="B12" s="856" t="s">
        <v>630</v>
      </c>
      <c r="C12" s="856"/>
      <c r="D12" s="856"/>
      <c r="E12" s="856"/>
      <c r="F12" s="856"/>
      <c r="G12" s="856"/>
      <c r="H12" s="856"/>
      <c r="I12" s="856"/>
      <c r="J12" s="856"/>
      <c r="K12" s="856"/>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7">
        <v>312000000</v>
      </c>
      <c r="G23" s="857"/>
      <c r="L23" s="402"/>
    </row>
    <row r="24" spans="1:12" ht="14.25">
      <c r="A24" s="402"/>
      <c r="L24" s="402"/>
    </row>
    <row r="25" spans="1:12" ht="14.25">
      <c r="A25" s="402"/>
      <c r="C25" s="858">
        <f>F23</f>
        <v>312000000</v>
      </c>
      <c r="D25" s="858"/>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59" t="s">
        <v>627</v>
      </c>
      <c r="C30" s="859"/>
      <c r="D30" s="859"/>
      <c r="E30" s="859"/>
      <c r="F30" s="859"/>
      <c r="G30" s="859"/>
      <c r="H30" s="859"/>
      <c r="I30" s="859"/>
      <c r="J30" s="859"/>
      <c r="K30" s="859"/>
      <c r="L30" s="402"/>
    </row>
    <row r="31" spans="1:12" ht="14.25">
      <c r="A31" s="402"/>
      <c r="B31" s="855" t="s">
        <v>639</v>
      </c>
      <c r="C31" s="855"/>
      <c r="D31" s="855"/>
      <c r="E31" s="855"/>
      <c r="F31" s="855"/>
      <c r="G31" s="855"/>
      <c r="H31" s="855"/>
      <c r="I31" s="855"/>
      <c r="J31" s="855"/>
      <c r="K31" s="855"/>
      <c r="L31" s="402"/>
    </row>
    <row r="32" spans="1:12" ht="14.25">
      <c r="A32" s="402"/>
      <c r="L32" s="402"/>
    </row>
    <row r="33" spans="1:12" ht="14.25">
      <c r="A33" s="402"/>
      <c r="B33" s="855" t="s">
        <v>640</v>
      </c>
      <c r="C33" s="855"/>
      <c r="D33" s="855"/>
      <c r="E33" s="855"/>
      <c r="F33" s="855"/>
      <c r="G33" s="855"/>
      <c r="H33" s="855"/>
      <c r="I33" s="855"/>
      <c r="J33" s="855"/>
      <c r="K33" s="855"/>
      <c r="L33" s="402"/>
    </row>
    <row r="34" spans="1:12" ht="14.25">
      <c r="A34" s="402"/>
      <c r="L34" s="402"/>
    </row>
    <row r="35" spans="1:12" ht="89.25" customHeight="1">
      <c r="A35" s="402"/>
      <c r="B35" s="856" t="s">
        <v>641</v>
      </c>
      <c r="C35" s="860"/>
      <c r="D35" s="860"/>
      <c r="E35" s="860"/>
      <c r="F35" s="860"/>
      <c r="G35" s="860"/>
      <c r="H35" s="860"/>
      <c r="I35" s="860"/>
      <c r="J35" s="860"/>
      <c r="K35" s="860"/>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1">
        <v>312000000</v>
      </c>
      <c r="D41" s="86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2">
        <v>312000000</v>
      </c>
      <c r="C48" s="857"/>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3" t="s">
        <v>649</v>
      </c>
      <c r="H50" s="864"/>
      <c r="I50" s="546" t="s">
        <v>635</v>
      </c>
      <c r="J50" s="422">
        <f>B50/F50</f>
        <v>0.16025641025641027</v>
      </c>
      <c r="K50" s="414"/>
      <c r="L50" s="402"/>
    </row>
    <row r="51" spans="1:15" ht="15" thickBot="1">
      <c r="A51" s="402"/>
      <c r="B51" s="415"/>
      <c r="C51" s="416"/>
      <c r="D51" s="416"/>
      <c r="E51" s="416"/>
      <c r="F51" s="416"/>
      <c r="G51" s="416"/>
      <c r="H51" s="416"/>
      <c r="I51" s="865" t="s">
        <v>650</v>
      </c>
      <c r="J51" s="865"/>
      <c r="K51" s="866"/>
      <c r="L51" s="402"/>
      <c r="O51" s="423"/>
    </row>
    <row r="52" spans="1:12" ht="40.5" customHeight="1">
      <c r="A52" s="402"/>
      <c r="B52" s="859" t="s">
        <v>627</v>
      </c>
      <c r="C52" s="859"/>
      <c r="D52" s="859"/>
      <c r="E52" s="859"/>
      <c r="F52" s="859"/>
      <c r="G52" s="859"/>
      <c r="H52" s="859"/>
      <c r="I52" s="859"/>
      <c r="J52" s="859"/>
      <c r="K52" s="859"/>
      <c r="L52" s="402"/>
    </row>
    <row r="53" spans="1:12" ht="14.25">
      <c r="A53" s="402"/>
      <c r="B53" s="855" t="s">
        <v>651</v>
      </c>
      <c r="C53" s="855"/>
      <c r="D53" s="855"/>
      <c r="E53" s="855"/>
      <c r="F53" s="855"/>
      <c r="G53" s="855"/>
      <c r="H53" s="855"/>
      <c r="I53" s="855"/>
      <c r="J53" s="855"/>
      <c r="K53" s="855"/>
      <c r="L53" s="402"/>
    </row>
    <row r="54" spans="1:12" ht="14.25">
      <c r="A54" s="402"/>
      <c r="B54" s="541"/>
      <c r="C54" s="541"/>
      <c r="D54" s="541"/>
      <c r="E54" s="541"/>
      <c r="F54" s="541"/>
      <c r="G54" s="541"/>
      <c r="H54" s="541"/>
      <c r="I54" s="541"/>
      <c r="J54" s="541"/>
      <c r="K54" s="541"/>
      <c r="L54" s="402"/>
    </row>
    <row r="55" spans="1:12" ht="14.25">
      <c r="A55" s="402"/>
      <c r="B55" s="851" t="s">
        <v>652</v>
      </c>
      <c r="C55" s="851"/>
      <c r="D55" s="851"/>
      <c r="E55" s="851"/>
      <c r="F55" s="851"/>
      <c r="G55" s="851"/>
      <c r="H55" s="851"/>
      <c r="I55" s="851"/>
      <c r="J55" s="851"/>
      <c r="K55" s="851"/>
      <c r="L55" s="402"/>
    </row>
    <row r="56" spans="1:12" ht="15" customHeight="1">
      <c r="A56" s="402"/>
      <c r="L56" s="402"/>
    </row>
    <row r="57" spans="1:24" ht="74.25" customHeight="1">
      <c r="A57" s="402"/>
      <c r="B57" s="856" t="s">
        <v>653</v>
      </c>
      <c r="C57" s="860"/>
      <c r="D57" s="860"/>
      <c r="E57" s="860"/>
      <c r="F57" s="860"/>
      <c r="G57" s="860"/>
      <c r="H57" s="860"/>
      <c r="I57" s="860"/>
      <c r="J57" s="860"/>
      <c r="K57" s="860"/>
      <c r="L57" s="402"/>
      <c r="M57" s="424"/>
      <c r="N57" s="425"/>
      <c r="O57" s="425"/>
      <c r="P57" s="425"/>
      <c r="Q57" s="425"/>
      <c r="R57" s="425"/>
      <c r="S57" s="425"/>
      <c r="T57" s="425"/>
      <c r="U57" s="425"/>
      <c r="V57" s="425"/>
      <c r="W57" s="425"/>
      <c r="X57" s="425"/>
    </row>
    <row r="58" spans="1:24" ht="15" customHeight="1">
      <c r="A58" s="402"/>
      <c r="B58" s="856"/>
      <c r="C58" s="860"/>
      <c r="D58" s="860"/>
      <c r="E58" s="860"/>
      <c r="F58" s="860"/>
      <c r="G58" s="860"/>
      <c r="H58" s="860"/>
      <c r="I58" s="860"/>
      <c r="J58" s="860"/>
      <c r="K58" s="860"/>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7">
        <v>312000000</v>
      </c>
      <c r="D74" s="857"/>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7">
        <v>50000</v>
      </c>
      <c r="D77" s="857"/>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7">
        <v>100000</v>
      </c>
      <c r="D80" s="857"/>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7">
        <f>H80</f>
        <v>11500</v>
      </c>
      <c r="D83" s="867"/>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59" t="s">
        <v>627</v>
      </c>
      <c r="C85" s="859"/>
      <c r="D85" s="859"/>
      <c r="E85" s="859"/>
      <c r="F85" s="859"/>
      <c r="G85" s="859"/>
      <c r="H85" s="859"/>
      <c r="I85" s="859"/>
      <c r="J85" s="859"/>
      <c r="K85" s="859"/>
      <c r="L85" s="402"/>
    </row>
    <row r="86" spans="1:12" ht="14.25">
      <c r="A86" s="402"/>
      <c r="B86" s="851" t="s">
        <v>669</v>
      </c>
      <c r="C86" s="851"/>
      <c r="D86" s="851"/>
      <c r="E86" s="851"/>
      <c r="F86" s="851"/>
      <c r="G86" s="851"/>
      <c r="H86" s="851"/>
      <c r="I86" s="851"/>
      <c r="J86" s="851"/>
      <c r="K86" s="851"/>
      <c r="L86" s="402"/>
    </row>
    <row r="87" spans="1:12" ht="14.25">
      <c r="A87" s="402"/>
      <c r="B87" s="436"/>
      <c r="C87" s="436"/>
      <c r="D87" s="436"/>
      <c r="E87" s="436"/>
      <c r="F87" s="436"/>
      <c r="G87" s="436"/>
      <c r="H87" s="436"/>
      <c r="I87" s="436"/>
      <c r="J87" s="436"/>
      <c r="K87" s="436"/>
      <c r="L87" s="402"/>
    </row>
    <row r="88" spans="1:12" ht="14.25">
      <c r="A88" s="402"/>
      <c r="B88" s="851" t="s">
        <v>670</v>
      </c>
      <c r="C88" s="851"/>
      <c r="D88" s="851"/>
      <c r="E88" s="851"/>
      <c r="F88" s="851"/>
      <c r="G88" s="851"/>
      <c r="H88" s="851"/>
      <c r="I88" s="851"/>
      <c r="J88" s="851"/>
      <c r="K88" s="851"/>
      <c r="L88" s="402"/>
    </row>
    <row r="89" spans="1:12" ht="14.25">
      <c r="A89" s="402"/>
      <c r="B89" s="540"/>
      <c r="C89" s="540"/>
      <c r="D89" s="540"/>
      <c r="E89" s="540"/>
      <c r="F89" s="540"/>
      <c r="G89" s="540"/>
      <c r="H89" s="540"/>
      <c r="I89" s="540"/>
      <c r="J89" s="540"/>
      <c r="K89" s="540"/>
      <c r="L89" s="402"/>
    </row>
    <row r="90" spans="1:12" ht="45" customHeight="1">
      <c r="A90" s="402"/>
      <c r="B90" s="856" t="s">
        <v>671</v>
      </c>
      <c r="C90" s="856"/>
      <c r="D90" s="856"/>
      <c r="E90" s="856"/>
      <c r="F90" s="856"/>
      <c r="G90" s="856"/>
      <c r="H90" s="856"/>
      <c r="I90" s="856"/>
      <c r="J90" s="856"/>
      <c r="K90" s="856"/>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7">
        <v>312000000</v>
      </c>
      <c r="D94" s="857"/>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7">
        <v>50000</v>
      </c>
      <c r="D97" s="857"/>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7">
        <v>2500000</v>
      </c>
      <c r="D100" s="857"/>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7">
        <f>H100</f>
        <v>750000</v>
      </c>
      <c r="D103" s="867"/>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59" t="s">
        <v>627</v>
      </c>
      <c r="C105" s="868"/>
      <c r="D105" s="868"/>
      <c r="E105" s="868"/>
      <c r="F105" s="868"/>
      <c r="G105" s="868"/>
      <c r="H105" s="868"/>
      <c r="I105" s="868"/>
      <c r="J105" s="868"/>
      <c r="K105" s="868"/>
      <c r="L105" s="402"/>
    </row>
    <row r="106" spans="1:12" ht="15" customHeight="1">
      <c r="A106" s="402"/>
      <c r="B106" s="869" t="s">
        <v>673</v>
      </c>
      <c r="C106" s="852"/>
      <c r="D106" s="852"/>
      <c r="E106" s="852"/>
      <c r="F106" s="852"/>
      <c r="G106" s="852"/>
      <c r="H106" s="852"/>
      <c r="I106" s="852"/>
      <c r="J106" s="852"/>
      <c r="K106" s="852"/>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0"/>
      <c r="D108" s="870"/>
      <c r="E108" s="870"/>
      <c r="F108" s="870"/>
      <c r="G108" s="870"/>
      <c r="H108" s="870"/>
      <c r="I108" s="870"/>
      <c r="J108" s="870"/>
      <c r="K108" s="870"/>
      <c r="L108" s="402"/>
    </row>
    <row r="109" spans="1:12" ht="15" customHeight="1">
      <c r="A109" s="402"/>
      <c r="B109" s="544"/>
      <c r="C109" s="447"/>
      <c r="D109" s="447"/>
      <c r="E109" s="546"/>
      <c r="F109" s="422"/>
      <c r="G109" s="546"/>
      <c r="H109" s="546"/>
      <c r="I109" s="546"/>
      <c r="J109" s="549"/>
      <c r="K109" s="544"/>
      <c r="L109" s="402"/>
    </row>
    <row r="110" spans="1:12" ht="59.25" customHeight="1">
      <c r="A110" s="402"/>
      <c r="B110" s="871" t="s">
        <v>675</v>
      </c>
      <c r="C110" s="860"/>
      <c r="D110" s="860"/>
      <c r="E110" s="860"/>
      <c r="F110" s="860"/>
      <c r="G110" s="860"/>
      <c r="H110" s="860"/>
      <c r="I110" s="860"/>
      <c r="J110" s="860"/>
      <c r="K110" s="860"/>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7">
        <v>312000000</v>
      </c>
      <c r="D114" s="857"/>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7">
        <v>50000</v>
      </c>
      <c r="D117" s="857"/>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7">
        <v>2500000</v>
      </c>
      <c r="D120" s="857"/>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7">
        <f>H120</f>
        <v>625000</v>
      </c>
      <c r="D123" s="867"/>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59" t="s">
        <v>627</v>
      </c>
      <c r="C125" s="859"/>
      <c r="D125" s="859"/>
      <c r="E125" s="859"/>
      <c r="F125" s="859"/>
      <c r="G125" s="859"/>
      <c r="H125" s="859"/>
      <c r="I125" s="859"/>
      <c r="J125" s="859"/>
      <c r="K125" s="859"/>
      <c r="L125" s="448"/>
    </row>
    <row r="126" spans="1:12" ht="14.25">
      <c r="A126" s="402"/>
      <c r="B126" s="851" t="s">
        <v>676</v>
      </c>
      <c r="C126" s="851"/>
      <c r="D126" s="851"/>
      <c r="E126" s="851"/>
      <c r="F126" s="851"/>
      <c r="G126" s="851"/>
      <c r="H126" s="851"/>
      <c r="I126" s="851"/>
      <c r="J126" s="851"/>
      <c r="K126" s="851"/>
      <c r="L126" s="448"/>
    </row>
    <row r="127" spans="1:12" ht="14.25">
      <c r="A127" s="402"/>
      <c r="B127" s="541"/>
      <c r="C127" s="541"/>
      <c r="D127" s="541"/>
      <c r="E127" s="541"/>
      <c r="F127" s="541"/>
      <c r="G127" s="541"/>
      <c r="H127" s="541"/>
      <c r="I127" s="541"/>
      <c r="J127" s="541"/>
      <c r="K127" s="541"/>
      <c r="L127" s="448"/>
    </row>
    <row r="128" spans="1:12" ht="14.25">
      <c r="A128" s="402"/>
      <c r="B128" s="851" t="s">
        <v>677</v>
      </c>
      <c r="C128" s="851"/>
      <c r="D128" s="851"/>
      <c r="E128" s="851"/>
      <c r="F128" s="851"/>
      <c r="G128" s="851"/>
      <c r="H128" s="851"/>
      <c r="I128" s="851"/>
      <c r="J128" s="851"/>
      <c r="K128" s="851"/>
      <c r="L128" s="448"/>
    </row>
    <row r="129" spans="1:12" ht="14.25">
      <c r="A129" s="402"/>
      <c r="B129" s="540"/>
      <c r="C129" s="540"/>
      <c r="D129" s="540"/>
      <c r="E129" s="540"/>
      <c r="F129" s="540"/>
      <c r="G129" s="540"/>
      <c r="H129" s="540"/>
      <c r="I129" s="540"/>
      <c r="J129" s="540"/>
      <c r="K129" s="540"/>
      <c r="L129" s="448"/>
    </row>
    <row r="130" spans="1:12" ht="74.25" customHeight="1">
      <c r="A130" s="402"/>
      <c r="B130" s="856" t="s">
        <v>678</v>
      </c>
      <c r="C130" s="856"/>
      <c r="D130" s="856"/>
      <c r="E130" s="856"/>
      <c r="F130" s="856"/>
      <c r="G130" s="856"/>
      <c r="H130" s="856"/>
      <c r="I130" s="856"/>
      <c r="J130" s="856"/>
      <c r="K130" s="856"/>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2" t="s">
        <v>679</v>
      </c>
      <c r="D133" s="872"/>
      <c r="E133" s="412"/>
      <c r="F133" s="546" t="s">
        <v>680</v>
      </c>
      <c r="G133" s="412"/>
      <c r="H133" s="872" t="s">
        <v>665</v>
      </c>
      <c r="I133" s="872"/>
      <c r="J133" s="412"/>
      <c r="K133" s="414"/>
      <c r="L133" s="402"/>
    </row>
    <row r="134" spans="1:12" ht="14.25">
      <c r="A134" s="402"/>
      <c r="B134" s="420" t="s">
        <v>658</v>
      </c>
      <c r="C134" s="857">
        <v>100000</v>
      </c>
      <c r="D134" s="857"/>
      <c r="E134" s="546" t="s">
        <v>289</v>
      </c>
      <c r="F134" s="546">
        <v>0.115</v>
      </c>
      <c r="G134" s="546" t="s">
        <v>635</v>
      </c>
      <c r="H134" s="873">
        <f>C134*F134</f>
        <v>11500</v>
      </c>
      <c r="I134" s="873"/>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4" t="s">
        <v>665</v>
      </c>
      <c r="D136" s="874"/>
      <c r="E136" s="430"/>
      <c r="F136" s="548" t="s">
        <v>681</v>
      </c>
      <c r="G136" s="548"/>
      <c r="H136" s="430"/>
      <c r="I136" s="430"/>
      <c r="J136" s="430" t="s">
        <v>682</v>
      </c>
      <c r="K136" s="431"/>
      <c r="L136" s="402"/>
    </row>
    <row r="137" spans="1:12" ht="14.25">
      <c r="A137" s="402"/>
      <c r="B137" s="420" t="s">
        <v>661</v>
      </c>
      <c r="C137" s="873">
        <f>H134</f>
        <v>11500</v>
      </c>
      <c r="D137" s="873"/>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5" t="s">
        <v>685</v>
      </c>
      <c r="C144" s="876"/>
      <c r="D144" s="876"/>
      <c r="E144" s="876"/>
      <c r="F144" s="876"/>
      <c r="G144" s="876"/>
      <c r="H144" s="876"/>
      <c r="I144" s="876"/>
      <c r="J144" s="876"/>
      <c r="K144" s="87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3" t="s">
        <v>686</v>
      </c>
      <c r="D147" s="873"/>
      <c r="E147" s="546"/>
      <c r="F147" s="466" t="s">
        <v>687</v>
      </c>
      <c r="G147" s="546"/>
      <c r="H147" s="546"/>
      <c r="I147" s="546"/>
      <c r="J147" s="878" t="s">
        <v>688</v>
      </c>
      <c r="K147" s="879"/>
      <c r="L147" s="402"/>
    </row>
    <row r="148" spans="1:12" ht="14.25">
      <c r="A148" s="402"/>
      <c r="B148" s="420"/>
      <c r="C148" s="880">
        <v>52.869</v>
      </c>
      <c r="D148" s="880"/>
      <c r="E148" s="546" t="s">
        <v>289</v>
      </c>
      <c r="F148" s="542">
        <v>312000000</v>
      </c>
      <c r="G148" s="471" t="s">
        <v>636</v>
      </c>
      <c r="H148" s="546">
        <v>1000</v>
      </c>
      <c r="I148" s="546" t="s">
        <v>635</v>
      </c>
      <c r="J148" s="878">
        <f>C148*(F148/1000)</f>
        <v>16495128</v>
      </c>
      <c r="K148" s="88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7" sqref="E7:E1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f>inputPrYr!D2</f>
        <v>0</v>
      </c>
      <c r="B1" s="90"/>
      <c r="C1" s="90"/>
      <c r="D1" s="90"/>
      <c r="E1" s="90">
        <f>inputPrYr!D5</f>
        <v>0</v>
      </c>
    </row>
    <row r="2" spans="1:5" ht="15.75">
      <c r="A2" s="88">
        <f>inputPrYr!D3</f>
        <v>0</v>
      </c>
      <c r="B2" s="90"/>
      <c r="C2" s="90"/>
      <c r="D2" s="90"/>
      <c r="E2" s="90"/>
    </row>
    <row r="3" spans="1:5" ht="15.75">
      <c r="A3" s="90"/>
      <c r="B3" s="90"/>
      <c r="C3" s="90"/>
      <c r="D3" s="90"/>
      <c r="E3" s="90"/>
    </row>
    <row r="4" spans="1:5" ht="15.75">
      <c r="A4" s="748" t="s">
        <v>158</v>
      </c>
      <c r="B4" s="749"/>
      <c r="C4" s="749"/>
      <c r="D4" s="749"/>
      <c r="E4" s="749"/>
    </row>
    <row r="5" spans="1:5" ht="15.75">
      <c r="A5" s="90"/>
      <c r="B5" s="90"/>
      <c r="C5" s="90"/>
      <c r="D5" s="90"/>
      <c r="E5" s="90"/>
    </row>
    <row r="6" spans="1:5" ht="15.75">
      <c r="A6" s="280" t="str">
        <f>CONCATENATE("From the County Clerks Budget Information for ",E1,":")</f>
        <v>From the County Clerks Budget Information for 0:</v>
      </c>
      <c r="B6" s="281"/>
      <c r="C6" s="281"/>
      <c r="D6" s="14"/>
      <c r="E6" s="55"/>
    </row>
    <row r="7" spans="1:5" ht="15.75">
      <c r="A7" s="22" t="str">
        <f>CONCATENATE("Total Assessed Valuation for ",E1-1,"")</f>
        <v>Total Assessed Valuation for -1</v>
      </c>
      <c r="B7" s="19"/>
      <c r="C7" s="19"/>
      <c r="D7" s="19"/>
      <c r="E7" s="282"/>
    </row>
    <row r="8" spans="1:5" ht="15.75">
      <c r="A8" s="22" t="str">
        <f>CONCATENATE("New Improvements for ",E1-1,"")</f>
        <v>New Improvements for -1</v>
      </c>
      <c r="B8" s="19"/>
      <c r="C8" s="19"/>
      <c r="D8" s="19"/>
      <c r="E8" s="283"/>
    </row>
    <row r="9" spans="1:5" ht="15.75">
      <c r="A9" s="22" t="str">
        <f>CONCATENATE("Personal Property excluding oil, gas, and mobile homes - ",E1-1,"")</f>
        <v>Personal Property excluding oil, gas, and mobile homes - -1</v>
      </c>
      <c r="B9" s="19"/>
      <c r="C9" s="19"/>
      <c r="D9" s="19"/>
      <c r="E9" s="283"/>
    </row>
    <row r="10" spans="1:5" ht="15.75">
      <c r="A10" s="22" t="str">
        <f>CONCATENATE("Property that has changed in use for ",E1-1,"")</f>
        <v>Property that has changed in use for -1</v>
      </c>
      <c r="B10" s="19"/>
      <c r="C10" s="19"/>
      <c r="D10" s="19"/>
      <c r="E10" s="283"/>
    </row>
    <row r="11" spans="1:5" ht="15.75">
      <c r="A11" s="22" t="str">
        <f>CONCATENATE("Personal Property excluding oil, gas, and mobile homes- ",E1-2,"")</f>
        <v>Personal Property excluding oil, gas, and mobile homes- -2</v>
      </c>
      <c r="B11" s="19"/>
      <c r="C11" s="19"/>
      <c r="D11" s="19"/>
      <c r="E11" s="283"/>
    </row>
    <row r="12" spans="1:5" ht="15.75">
      <c r="A12" s="22" t="str">
        <f>CONCATENATE("Gross earnings (intangible) tax estimate for ",E1,"")</f>
        <v>Gross earnings (intangible) tax estimate for 0</v>
      </c>
      <c r="B12" s="19"/>
      <c r="C12" s="19"/>
      <c r="D12" s="19"/>
      <c r="E12" s="283"/>
    </row>
    <row r="13" spans="1:5" ht="15.75">
      <c r="A13" s="22" t="str">
        <f>CONCATENATE("Neighborhood Revitalization - ",E1,"")</f>
        <v>Neighborhood Revitalization - 0</v>
      </c>
      <c r="B13" s="19"/>
      <c r="C13" s="19"/>
      <c r="D13" s="19"/>
      <c r="E13" s="283"/>
    </row>
    <row r="14" spans="1:5" ht="15.75">
      <c r="A14" s="22"/>
      <c r="B14" s="19"/>
      <c r="C14" s="19"/>
      <c r="D14" s="19"/>
      <c r="E14" s="284"/>
    </row>
    <row r="15" spans="1:5" ht="15.75">
      <c r="A15" s="285" t="str">
        <f>CONCATENATE("Actual Tax Rates for the ",E1-1," Budget:")</f>
        <v>Actual Tax Rates for the -1 Budget:</v>
      </c>
      <c r="B15" s="19"/>
      <c r="C15" s="19"/>
      <c r="D15" s="19"/>
      <c r="E15" s="286"/>
    </row>
    <row r="16" spans="1:5" ht="15.75">
      <c r="A16" s="753" t="s">
        <v>285</v>
      </c>
      <c r="B16" s="754"/>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 Abstract:</v>
      </c>
      <c r="B29" s="20"/>
      <c r="C29" s="20"/>
      <c r="D29" s="20"/>
      <c r="E29" s="36"/>
    </row>
    <row r="30" spans="1:5" ht="15.75">
      <c r="A30" s="14"/>
      <c r="B30" s="14"/>
      <c r="C30" s="14"/>
      <c r="D30" s="14"/>
      <c r="E30" s="14"/>
    </row>
    <row r="31" spans="1:5" ht="15.75">
      <c r="A31" s="292" t="str">
        <f>CONCATENATE("From the County Treasurer's Budget Information - ",E1," Budget Year Estimates:")</f>
        <v>From the County Treasurer's Budget Information - 0 Budget Year Estimates:</v>
      </c>
      <c r="B31" s="293"/>
      <c r="C31" s="293"/>
      <c r="D31" s="294"/>
      <c r="E31" s="55"/>
    </row>
    <row r="32" spans="1:5" ht="15.75">
      <c r="A32" s="71" t="s">
        <v>159</v>
      </c>
      <c r="B32" s="20"/>
      <c r="C32" s="20"/>
      <c r="D32" s="295"/>
      <c r="E32" s="34"/>
    </row>
    <row r="33" spans="1:5" ht="15.75">
      <c r="A33" s="296" t="s">
        <v>276</v>
      </c>
      <c r="B33" s="267"/>
      <c r="C33" s="267"/>
      <c r="D33" s="31"/>
      <c r="E33" s="34"/>
    </row>
    <row r="34" spans="1:5" ht="15.75">
      <c r="A34" s="296" t="s">
        <v>160</v>
      </c>
      <c r="B34" s="267"/>
      <c r="C34" s="267"/>
      <c r="D34" s="31"/>
      <c r="E34" s="34"/>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-3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5" t="str">
        <f>CONCATENATE("From the ",E1-2," Budget Certificate Page")</f>
        <v>From the -2 Budget Certificate Page</v>
      </c>
      <c r="B43" s="756"/>
      <c r="C43" s="140"/>
      <c r="D43" s="140"/>
      <c r="E43" s="140"/>
    </row>
    <row r="44" spans="1:5" ht="15.75">
      <c r="A44" s="300"/>
      <c r="B44" s="300" t="str">
        <f>CONCATENATE("",E1-2," Expenditure Amounts")</f>
        <v>-2 Expenditure Amounts</v>
      </c>
      <c r="C44" s="757" t="str">
        <f>CONCATENATE("Note: If the ",E1-2," budget was amended, then the")</f>
        <v>Note: If the -2 budget was amended, then the</v>
      </c>
      <c r="D44" s="758"/>
      <c r="E44" s="758"/>
    </row>
    <row r="45" spans="1:5" ht="15.75">
      <c r="A45" s="301" t="s">
        <v>207</v>
      </c>
      <c r="B45" s="301" t="s">
        <v>208</v>
      </c>
      <c r="C45" s="302" t="s">
        <v>209</v>
      </c>
      <c r="D45" s="303"/>
      <c r="E45" s="303"/>
    </row>
    <row r="46" spans="1:5" ht="15.75">
      <c r="A46" s="304" t="str">
        <f>inputPrYr!B16</f>
        <v>General</v>
      </c>
      <c r="B46" s="36"/>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884" t="s">
        <v>939</v>
      </c>
    </row>
    <row r="2" ht="15.75">
      <c r="A2" s="883"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1" t="s">
        <v>840</v>
      </c>
    </row>
    <row r="2" spans="1:10" ht="54" customHeight="1">
      <c r="A2" s="759" t="s">
        <v>371</v>
      </c>
      <c r="B2" s="760"/>
      <c r="C2" s="760"/>
      <c r="D2" s="760"/>
      <c r="E2" s="760"/>
      <c r="F2" s="760"/>
      <c r="J2" s="711" t="s">
        <v>841</v>
      </c>
    </row>
    <row r="3" ht="15.75">
      <c r="J3" s="711" t="s">
        <v>842</v>
      </c>
    </row>
    <row r="4" spans="1:10" ht="15.75">
      <c r="A4" s="474" t="s">
        <v>838</v>
      </c>
      <c r="B4" s="356"/>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c r="C8" s="357"/>
      <c r="D8" s="354" t="s">
        <v>837</v>
      </c>
      <c r="E8" s="353"/>
      <c r="F8" s="353"/>
      <c r="J8" s="711" t="s">
        <v>847</v>
      </c>
    </row>
    <row r="9" spans="1:10" ht="15.75">
      <c r="A9" s="354"/>
      <c r="B9" s="358"/>
      <c r="C9" s="359"/>
      <c r="D9" s="354">
        <f>IF(B8="","",CONCATENATE("Latest date for notice to be published in your newspaper: ",G19," ",G23,", ",G24))</f>
      </c>
      <c r="E9" s="353"/>
      <c r="F9" s="353"/>
      <c r="J9" s="711" t="s">
        <v>848</v>
      </c>
    </row>
    <row r="10" spans="1:10" ht="15.75">
      <c r="A10" s="354" t="s">
        <v>373</v>
      </c>
      <c r="B10" s="356"/>
      <c r="C10" s="360"/>
      <c r="D10" s="354"/>
      <c r="E10" s="353"/>
      <c r="F10" s="353"/>
      <c r="J10" s="711" t="s">
        <v>849</v>
      </c>
    </row>
    <row r="11" spans="1:10" ht="15.75">
      <c r="A11" s="354"/>
      <c r="B11" s="354"/>
      <c r="C11" s="354"/>
      <c r="D11" s="354"/>
      <c r="E11" s="353"/>
      <c r="F11" s="353"/>
      <c r="J11" s="711" t="s">
        <v>850</v>
      </c>
    </row>
    <row r="12" spans="1:10" ht="15.75">
      <c r="A12" s="354" t="s">
        <v>374</v>
      </c>
      <c r="B12" s="361"/>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c r="C15" s="361"/>
      <c r="D15" s="361"/>
      <c r="E15" s="362"/>
      <c r="F15" s="353"/>
    </row>
    <row r="18" spans="1:6" ht="15.75">
      <c r="A18" s="761" t="s">
        <v>376</v>
      </c>
      <c r="B18" s="761"/>
      <c r="C18" s="354"/>
      <c r="D18" s="354"/>
      <c r="E18" s="354"/>
      <c r="F18" s="353"/>
    </row>
    <row r="19" spans="1:7" ht="15.75">
      <c r="A19" s="354"/>
      <c r="B19" s="354"/>
      <c r="C19" s="354"/>
      <c r="D19" s="354"/>
      <c r="E19" s="354"/>
      <c r="F19" s="353"/>
      <c r="G19" s="711">
        <f ca="1">IF(B8="","",INDIRECT(G20))</f>
      </c>
    </row>
    <row r="20" spans="1:7" ht="15.75">
      <c r="A20" s="354" t="s">
        <v>372</v>
      </c>
      <c r="B20" s="358" t="s">
        <v>377</v>
      </c>
      <c r="C20" s="354"/>
      <c r="D20" s="354"/>
      <c r="E20" s="354"/>
      <c r="G20" s="712">
        <f>IF(B8="","",CONCATENATE("J",G22))</f>
      </c>
    </row>
    <row r="21" spans="1:7" ht="15.75">
      <c r="A21" s="354"/>
      <c r="B21" s="354"/>
      <c r="C21" s="354"/>
      <c r="D21" s="354"/>
      <c r="E21" s="354"/>
      <c r="G21" s="713">
        <f>B8-10</f>
        <v>-10</v>
      </c>
    </row>
    <row r="22" spans="1:7" ht="15.75">
      <c r="A22" s="354" t="s">
        <v>373</v>
      </c>
      <c r="B22" s="354" t="s">
        <v>378</v>
      </c>
      <c r="C22" s="354"/>
      <c r="D22" s="354"/>
      <c r="E22" s="354"/>
      <c r="G22" s="714">
        <f>IF(B8="","",MONTH(G21))</f>
      </c>
    </row>
    <row r="23" spans="1:7" ht="15.75">
      <c r="A23" s="354"/>
      <c r="B23" s="354"/>
      <c r="C23" s="354"/>
      <c r="D23" s="354"/>
      <c r="E23" s="354"/>
      <c r="G23" s="715">
        <f>IF(B8="","",DAY(G21))</f>
      </c>
    </row>
    <row r="24" spans="1:7" ht="15.75">
      <c r="A24" s="354" t="s">
        <v>374</v>
      </c>
      <c r="B24" s="354" t="s">
        <v>380</v>
      </c>
      <c r="C24" s="354"/>
      <c r="D24" s="354"/>
      <c r="E24" s="354"/>
      <c r="G24" s="716">
        <f>IF(B8="","",YEAR(G21))</f>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4" t="s">
        <v>70</v>
      </c>
      <c r="C1" s="764"/>
      <c r="D1" s="764"/>
      <c r="E1" s="764"/>
      <c r="F1" s="764"/>
      <c r="G1" s="764"/>
      <c r="H1" s="14">
        <f>inputPrYr!D5</f>
        <v>0</v>
      </c>
    </row>
    <row r="2" spans="3:7" s="14" customFormat="1" ht="15.75">
      <c r="C2" s="145"/>
      <c r="D2" s="145"/>
      <c r="E2" s="145"/>
      <c r="F2" s="145"/>
      <c r="G2" s="62"/>
    </row>
    <row r="3" spans="2:8" s="14" customFormat="1" ht="15.75">
      <c r="B3" s="773" t="str">
        <f>CONCATENATE("To the Clerk of ",inputPrYr!D3,", State of Kansas")</f>
        <v>To the Clerk of , State of Kansas</v>
      </c>
      <c r="C3" s="772"/>
      <c r="D3" s="772"/>
      <c r="E3" s="772"/>
      <c r="F3" s="772"/>
      <c r="G3" s="772"/>
      <c r="H3" s="772"/>
    </row>
    <row r="4" spans="2:7" s="14" customFormat="1" ht="15.75">
      <c r="B4" s="773" t="s">
        <v>152</v>
      </c>
      <c r="C4" s="781"/>
      <c r="D4" s="781"/>
      <c r="E4" s="781"/>
      <c r="F4" s="781"/>
      <c r="G4" s="781"/>
    </row>
    <row r="5" spans="2:7" s="14" customFormat="1" ht="15.75">
      <c r="B5" s="782">
        <f>inputPrYr!D2</f>
        <v>0</v>
      </c>
      <c r="C5" s="781"/>
      <c r="D5" s="781"/>
      <c r="E5" s="781"/>
      <c r="F5" s="781"/>
      <c r="G5" s="781"/>
    </row>
    <row r="6" spans="2:7" s="14" customFormat="1" ht="15.75">
      <c r="B6" s="771" t="s">
        <v>150</v>
      </c>
      <c r="C6" s="772"/>
      <c r="D6" s="772"/>
      <c r="E6" s="772"/>
      <c r="F6" s="772"/>
      <c r="G6" s="772"/>
    </row>
    <row r="7" spans="2:7" s="14" customFormat="1" ht="15.75" customHeight="1">
      <c r="B7" s="773" t="s">
        <v>151</v>
      </c>
      <c r="C7" s="774"/>
      <c r="D7" s="774"/>
      <c r="E7" s="774"/>
      <c r="F7" s="774"/>
      <c r="G7" s="774"/>
    </row>
    <row r="8" spans="2:7" s="14" customFormat="1" ht="15.75" customHeight="1">
      <c r="B8" s="773" t="str">
        <f>CONCATENATE("maximum expenditures for the various funds for the year ",H1,"; and (3) the")</f>
        <v>maximum expenditures for the various funds for the year 0; and (3) the</v>
      </c>
      <c r="C8" s="781"/>
      <c r="D8" s="781"/>
      <c r="E8" s="781"/>
      <c r="F8" s="781"/>
      <c r="G8" s="781"/>
    </row>
    <row r="9" spans="2:7" s="14" customFormat="1" ht="15.75" customHeight="1">
      <c r="B9" s="773" t="str">
        <f>CONCATENATE("Amount(s) of ",H1-1," Ad Valorem Tax are within statutory limitations for the ",H1," Budget.")</f>
        <v>Amount(s) of -1 Ad Valorem Tax are within statutory limitations for the 0 Budget.</v>
      </c>
      <c r="C9" s="781"/>
      <c r="D9" s="781"/>
      <c r="E9" s="781"/>
      <c r="F9" s="781"/>
      <c r="G9" s="781"/>
    </row>
    <row r="10" spans="5:7" s="14" customFormat="1" ht="15.75" customHeight="1">
      <c r="E10" s="66"/>
      <c r="F10" s="66"/>
      <c r="G10" s="66"/>
    </row>
    <row r="11" spans="4:7" s="14" customFormat="1" ht="15.75">
      <c r="D11" s="19"/>
      <c r="E11" s="768" t="str">
        <f>CONCATENATE("",H1," Adopted Budget")</f>
        <v>0 Adopted Budget</v>
      </c>
      <c r="F11" s="769"/>
      <c r="G11" s="770"/>
    </row>
    <row r="12" spans="2:7" s="14" customFormat="1" ht="15.75">
      <c r="B12" s="22"/>
      <c r="D12" s="66"/>
      <c r="E12" s="255" t="s">
        <v>277</v>
      </c>
      <c r="F12" s="765" t="str">
        <f>CONCATENATE("Amount of ",H1-1," Ad Valorem Tax")</f>
        <v>Amount of -1 Ad Valorem Tax</v>
      </c>
      <c r="G12" s="23" t="s">
        <v>278</v>
      </c>
    </row>
    <row r="13" spans="4:7" s="14" customFormat="1" ht="15.75">
      <c r="D13" s="23" t="s">
        <v>279</v>
      </c>
      <c r="E13" s="522" t="s">
        <v>208</v>
      </c>
      <c r="F13" s="766"/>
      <c r="G13" s="156" t="s">
        <v>280</v>
      </c>
    </row>
    <row r="14" spans="2:7" s="14" customFormat="1" ht="15.75">
      <c r="B14" s="71" t="s">
        <v>281</v>
      </c>
      <c r="C14" s="20"/>
      <c r="D14" s="26" t="s">
        <v>282</v>
      </c>
      <c r="E14" s="523" t="s">
        <v>719</v>
      </c>
      <c r="F14" s="767"/>
      <c r="G14" s="26" t="s">
        <v>284</v>
      </c>
    </row>
    <row r="15" spans="2:7" s="14" customFormat="1" ht="15.75">
      <c r="B15" s="27" t="str">
        <f>CONCATENATE("Computation to Determine Limit for ",H1,"")</f>
        <v>Computation to Determine Limit for 0</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0</v>
      </c>
      <c r="F35" s="724">
        <f>SUM(F21:F30)</f>
        <v>0</v>
      </c>
      <c r="G35" s="725">
        <f>IF(SUM(G21:G30)&gt;0,SUM(G21:G30),"")</f>
      </c>
    </row>
    <row r="36" spans="2:4" s="14" customFormat="1" ht="16.5" thickTop="1">
      <c r="B36" s="27" t="s">
        <v>168</v>
      </c>
      <c r="C36" s="259"/>
      <c r="D36" s="264">
        <f>summ!D49</f>
        <v>0</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5" t="s">
        <v>124</v>
      </c>
      <c r="D39" s="776"/>
      <c r="E39" s="272"/>
      <c r="G39" s="22" t="s">
        <v>290</v>
      </c>
    </row>
    <row r="40" spans="2:7" s="14" customFormat="1" ht="15.75">
      <c r="B40" s="27" t="s">
        <v>98</v>
      </c>
      <c r="C40" s="777"/>
      <c r="D40" s="778"/>
      <c r="E40" s="273"/>
      <c r="G40" s="22"/>
    </row>
    <row r="41" spans="2:7" s="14" customFormat="1" ht="15.75">
      <c r="B41" s="274"/>
      <c r="C41" s="779" t="str">
        <f>CONCATENATE("Nov. 1, ",H1-1," Valuation")</f>
        <v>Nov. 1, -1 Valuation</v>
      </c>
      <c r="D41" s="780"/>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-1</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2" t="s">
        <v>292</v>
      </c>
      <c r="F54" s="763"/>
      <c r="G54" s="76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f>inputPrYr!D2</f>
        <v>0</v>
      </c>
      <c r="D1" s="14"/>
      <c r="E1" s="14"/>
      <c r="F1" s="14"/>
      <c r="G1" s="14"/>
      <c r="H1" s="14"/>
      <c r="I1" s="14"/>
      <c r="J1" s="14">
        <f>inputPrYr!D5</f>
        <v>0</v>
      </c>
    </row>
    <row r="2" spans="1:10" ht="15.75">
      <c r="A2" s="14"/>
      <c r="B2" s="14"/>
      <c r="C2" s="14"/>
      <c r="D2" s="14"/>
      <c r="E2" s="14"/>
      <c r="F2" s="14"/>
      <c r="G2" s="14"/>
      <c r="H2" s="14"/>
      <c r="I2" s="14"/>
      <c r="J2" s="14"/>
    </row>
    <row r="3" spans="1:10" ht="15.75">
      <c r="A3" s="784" t="str">
        <f>CONCATENATE("Computation to Determine Limit for ",J1,"")</f>
        <v>Computation to Determine Limit for 0</v>
      </c>
      <c r="B3" s="764"/>
      <c r="C3" s="764"/>
      <c r="D3" s="764"/>
      <c r="E3" s="764"/>
      <c r="F3" s="764"/>
      <c r="G3" s="764"/>
      <c r="H3" s="764"/>
      <c r="I3" s="764"/>
      <c r="J3" s="764"/>
    </row>
    <row r="4" spans="1:10" ht="15.75">
      <c r="A4" s="14"/>
      <c r="B4" s="14"/>
      <c r="C4" s="14"/>
      <c r="D4" s="14"/>
      <c r="E4" s="764"/>
      <c r="F4" s="764"/>
      <c r="G4" s="764"/>
      <c r="H4" s="125"/>
      <c r="I4" s="14"/>
      <c r="J4" s="244" t="s">
        <v>79</v>
      </c>
    </row>
    <row r="5" spans="1:10" ht="15.75">
      <c r="A5" s="245" t="s">
        <v>80</v>
      </c>
      <c r="B5" s="14" t="str">
        <f>CONCATENATE("Total Tax Levy Amount in ",J1-1,"")</f>
        <v>Total Tax Levy Amount in -1</v>
      </c>
      <c r="C5" s="14"/>
      <c r="D5" s="14"/>
      <c r="E5" s="55"/>
      <c r="F5" s="55"/>
      <c r="G5" s="55"/>
      <c r="H5" s="246" t="s">
        <v>15</v>
      </c>
      <c r="I5" s="55" t="s">
        <v>2</v>
      </c>
      <c r="J5" s="247">
        <f>inputPrYr!E26</f>
        <v>0</v>
      </c>
    </row>
    <row r="6" spans="1:10" ht="15.75">
      <c r="A6" s="245" t="s">
        <v>81</v>
      </c>
      <c r="B6" s="14" t="str">
        <f>CONCATENATE("Debt Service Levy in ",J1-1,"")</f>
        <v>Debt Service Levy in -1</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0</v>
      </c>
    </row>
    <row r="8" spans="1:10" ht="15.75">
      <c r="A8" s="14"/>
      <c r="B8" s="14"/>
      <c r="C8" s="14"/>
      <c r="D8" s="14"/>
      <c r="E8" s="55"/>
      <c r="F8" s="55"/>
      <c r="G8" s="55"/>
      <c r="H8" s="55"/>
      <c r="I8" s="55"/>
      <c r="J8" s="55"/>
    </row>
    <row r="9" spans="1:10" ht="15.75">
      <c r="A9" s="14"/>
      <c r="B9" s="17" t="str">
        <f>CONCATENATE("",J1-1," Valuation Information for Valuation Adjustments:")</f>
        <v>-1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-1:</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-1:</v>
      </c>
      <c r="C13" s="14"/>
      <c r="D13" s="14"/>
      <c r="E13" s="246"/>
      <c r="F13" s="246"/>
      <c r="G13" s="53"/>
      <c r="H13" s="53"/>
      <c r="I13" s="55"/>
      <c r="J13" s="55"/>
    </row>
    <row r="14" spans="1:10" ht="15.75">
      <c r="A14" s="14"/>
      <c r="B14" s="14" t="s">
        <v>86</v>
      </c>
      <c r="C14" s="14" t="str">
        <f>CONCATENATE("Personal Property ",J1-1,"")</f>
        <v>Personal Property -1</v>
      </c>
      <c r="D14" s="245" t="s">
        <v>15</v>
      </c>
      <c r="E14" s="247">
        <f>inputOth!E9</f>
        <v>0</v>
      </c>
      <c r="F14" s="246"/>
      <c r="G14" s="55"/>
      <c r="H14" s="55"/>
      <c r="I14" s="53"/>
      <c r="J14" s="55"/>
    </row>
    <row r="15" spans="1:10" ht="15.75">
      <c r="A15" s="245"/>
      <c r="B15" s="14" t="s">
        <v>87</v>
      </c>
      <c r="C15" s="14" t="str">
        <f>CONCATENATE("Personal Property ",J1-2,"")</f>
        <v>Personal Property -2</v>
      </c>
      <c r="D15" s="245" t="s">
        <v>82</v>
      </c>
      <c r="E15" s="249">
        <f>inputOth!E11</f>
        <v>0</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-1:</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1,-1</v>
      </c>
      <c r="C22" s="14"/>
      <c r="D22" s="14"/>
      <c r="E22" s="247">
        <f>inputOth!E7</f>
        <v>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0</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3" t="str">
        <f>CONCATENATE("If the ",J1," budget includes tax levies exceeding the total on line 14, you must")</f>
        <v>If the 0 budget includes tax levies exceeding the total on line 14, you must</v>
      </c>
      <c r="B36" s="783"/>
      <c r="C36" s="783"/>
      <c r="D36" s="783"/>
      <c r="E36" s="783"/>
      <c r="F36" s="783"/>
      <c r="G36" s="783"/>
      <c r="H36" s="783"/>
      <c r="I36" s="783"/>
      <c r="J36" s="783"/>
    </row>
    <row r="37" spans="1:10" s="254" customFormat="1" ht="18.75">
      <c r="A37" s="783" t="s">
        <v>113</v>
      </c>
      <c r="B37" s="783"/>
      <c r="C37" s="783"/>
      <c r="D37" s="783"/>
      <c r="E37" s="783"/>
      <c r="F37" s="783"/>
      <c r="G37" s="783"/>
      <c r="H37" s="783"/>
      <c r="I37" s="783"/>
      <c r="J37" s="78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f>inputPrYr!D2</f>
        <v>0</v>
      </c>
      <c r="C1" s="14"/>
      <c r="D1" s="14"/>
      <c r="E1" s="14"/>
      <c r="F1" s="14"/>
      <c r="G1" s="14"/>
      <c r="H1" s="14"/>
      <c r="I1" s="14"/>
      <c r="J1" s="15">
        <f>inputPrYr!D5</f>
        <v>0</v>
      </c>
      <c r="K1" s="15"/>
      <c r="L1" s="90"/>
    </row>
    <row r="2" spans="2:12" ht="15.75">
      <c r="B2" s="13">
        <f>inputPrYr!D3</f>
        <v>0</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0" t="s">
        <v>768</v>
      </c>
      <c r="C6" s="763"/>
      <c r="D6" s="763"/>
      <c r="E6" s="763"/>
      <c r="F6" s="763"/>
      <c r="G6" s="763"/>
      <c r="H6" s="763"/>
      <c r="I6" s="763"/>
      <c r="J6" s="76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5" t="str">
        <f>CONCATENATE("Budget Tax Levy Rate for ",J1-1,"")</f>
        <v>Budget Tax Levy Rate for -1</v>
      </c>
      <c r="F9" s="233"/>
      <c r="G9" s="787" t="str">
        <f>CONCATENATE("Allocation for Proposed Year ",J1,"")</f>
        <v>Allocation for Proposed Year 0</v>
      </c>
      <c r="H9" s="788"/>
      <c r="I9" s="788"/>
      <c r="J9" s="789"/>
      <c r="K9" s="90"/>
      <c r="L9" s="90"/>
      <c r="M9" s="550"/>
    </row>
    <row r="10" spans="2:13" ht="15.75" customHeight="1">
      <c r="B10" s="552" t="str">
        <f>CONCATENATE("for ",J1-1,"")</f>
        <v>for -1</v>
      </c>
      <c r="C10" s="177"/>
      <c r="D10" s="91" t="str">
        <f>CONCATENATE("Amount for ",J1,"")</f>
        <v>Amount for 0</v>
      </c>
      <c r="E10" s="786"/>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0</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0</v>
      </c>
    </row>
    <row r="2" spans="1:6" ht="15.75">
      <c r="A2" s="88">
        <f>inputPrYr!D2</f>
        <v>0</v>
      </c>
      <c r="B2" s="88"/>
      <c r="C2" s="14"/>
      <c r="D2" s="14"/>
      <c r="E2" s="52"/>
      <c r="F2" s="14"/>
    </row>
    <row r="3" spans="1:6" ht="15.75">
      <c r="A3" s="13"/>
      <c r="B3" s="88"/>
      <c r="C3" s="14"/>
      <c r="D3" s="14"/>
      <c r="E3" s="52"/>
      <c r="F3" s="14"/>
    </row>
    <row r="4" spans="1:6" ht="15.75">
      <c r="A4" s="13"/>
      <c r="B4" s="14"/>
      <c r="C4" s="14"/>
      <c r="D4" s="14"/>
      <c r="E4" s="52"/>
      <c r="F4" s="14"/>
    </row>
    <row r="5" spans="1:6" ht="15" customHeight="1">
      <c r="A5" s="764" t="s">
        <v>169</v>
      </c>
      <c r="B5" s="764"/>
      <c r="C5" s="764"/>
      <c r="D5" s="764"/>
      <c r="E5" s="764"/>
      <c r="F5" s="764"/>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v>
      </c>
      <c r="D9" s="219">
        <f>F1-1</f>
        <v>-1</v>
      </c>
      <c r="E9" s="219">
        <f>F1</f>
        <v>0</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-1 and/or 0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2012-02-02T17:28:34Z</cp:lastPrinted>
  <dcterms:created xsi:type="dcterms:W3CDTF">1998-08-26T16:30:41Z</dcterms:created>
  <dcterms:modified xsi:type="dcterms:W3CDTF">2013-03-27T20:17:01Z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