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545" windowWidth="12000" windowHeight="6270" tabRatio="869" activeTab="3"/>
  </bookViews>
  <sheets>
    <sheet name="instructions" sheetId="1" r:id="rId1"/>
    <sheet name="inputPrYr" sheetId="2" r:id="rId2"/>
    <sheet name="inputOth" sheetId="14" r:id="rId3"/>
    <sheet name="cert" sheetId="3" r:id="rId4"/>
    <sheet name="Signed Cert. Page" sheetId="19" r:id="rId5"/>
    <sheet name="computation" sheetId="10" r:id="rId6"/>
    <sheet name="mvalloc" sheetId="7" r:id="rId7"/>
    <sheet name="transfers" sheetId="13" r:id="rId8"/>
    <sheet name="debt" sheetId="9" r:id="rId9"/>
    <sheet name="gen" sheetId="4" r:id="rId10"/>
    <sheet name="debt service" sheetId="15" r:id="rId11"/>
    <sheet name="levypage8" sheetId="5" r:id="rId12"/>
    <sheet name="nolevypage9" sheetId="6" r:id="rId13"/>
    <sheet name="NonBud" sheetId="17" r:id="rId14"/>
    <sheet name="summ" sheetId="8" r:id="rId15"/>
    <sheet name="Nhood" sheetId="16" r:id="rId16"/>
    <sheet name="Resolution" sheetId="12" r:id="rId17"/>
    <sheet name="legend" sheetId="11" r:id="rId18"/>
    <sheet name="CFP Publication" sheetId="18" r:id="rId19"/>
  </sheets>
  <definedNames>
    <definedName name="_xlnm.Print_Area" localSheetId="3">cert!$A$2:$G$65</definedName>
  </definedNames>
  <calcPr calcId="125725"/>
</workbook>
</file>

<file path=xl/calcChain.xml><?xml version="1.0" encoding="utf-8"?>
<calcChain xmlns="http://schemas.openxmlformats.org/spreadsheetml/2006/main">
  <c r="D21" i="2"/>
  <c r="E28"/>
  <c r="D23" i="8" s="1"/>
  <c r="D33" i="6"/>
  <c r="C33"/>
  <c r="D67"/>
  <c r="C67"/>
  <c r="F3"/>
  <c r="A69"/>
  <c r="C65"/>
  <c r="C68"/>
  <c r="C53"/>
  <c r="C54"/>
  <c r="C66"/>
  <c r="D65"/>
  <c r="D68"/>
  <c r="E65"/>
  <c r="D53"/>
  <c r="E53"/>
  <c r="C31"/>
  <c r="C19"/>
  <c r="C20"/>
  <c r="C32"/>
  <c r="A35"/>
  <c r="D31"/>
  <c r="D34"/>
  <c r="C34"/>
  <c r="A34"/>
  <c r="D19"/>
  <c r="E19"/>
  <c r="E31"/>
  <c r="A33"/>
  <c r="C66" i="5"/>
  <c r="C55"/>
  <c r="C56"/>
  <c r="C67"/>
  <c r="E44"/>
  <c r="E55" s="1"/>
  <c r="E66"/>
  <c r="E69" i="14"/>
  <c r="E17" i="7" s="1"/>
  <c r="C11"/>
  <c r="C12"/>
  <c r="C13"/>
  <c r="C14"/>
  <c r="C15"/>
  <c r="E76" i="14"/>
  <c r="E19" i="7" s="1"/>
  <c r="E83" i="14"/>
  <c r="E21" i="7" s="1"/>
  <c r="E90" i="14"/>
  <c r="E23" i="7"/>
  <c r="D10" i="16"/>
  <c r="E10"/>
  <c r="G63" i="5"/>
  <c r="G66" s="1"/>
  <c r="F71"/>
  <c r="G71" s="1"/>
  <c r="C33"/>
  <c r="E9"/>
  <c r="B33"/>
  <c r="E20"/>
  <c r="C20"/>
  <c r="C21"/>
  <c r="C31"/>
  <c r="C32"/>
  <c r="E7"/>
  <c r="E21"/>
  <c r="E32"/>
  <c r="G7" s="1"/>
  <c r="E31"/>
  <c r="D9" i="16"/>
  <c r="E9"/>
  <c r="G28" i="5" s="1"/>
  <c r="G31" s="1"/>
  <c r="F36"/>
  <c r="G36"/>
  <c r="H3"/>
  <c r="A35"/>
  <c r="C68"/>
  <c r="B68"/>
  <c r="D7" i="16"/>
  <c r="E7"/>
  <c r="G39" i="4" s="1"/>
  <c r="G42" s="1"/>
  <c r="G14"/>
  <c r="E9"/>
  <c r="E27" s="1"/>
  <c r="C42"/>
  <c r="C27"/>
  <c r="C28" s="1"/>
  <c r="E42"/>
  <c r="F47"/>
  <c r="G47" s="1"/>
  <c r="D8" i="16"/>
  <c r="E8"/>
  <c r="G51" i="15" s="1"/>
  <c r="G54" s="1"/>
  <c r="E9"/>
  <c r="E30" s="1"/>
  <c r="C54"/>
  <c r="C30"/>
  <c r="C31"/>
  <c r="C55"/>
  <c r="E54"/>
  <c r="F59"/>
  <c r="G59" s="1"/>
  <c r="C56"/>
  <c r="B56"/>
  <c r="G1"/>
  <c r="A58" s="1"/>
  <c r="C60"/>
  <c r="C44" i="4"/>
  <c r="B44"/>
  <c r="H3"/>
  <c r="A46"/>
  <c r="A45"/>
  <c r="A44"/>
  <c r="A29" i="3"/>
  <c r="I5" i="17"/>
  <c r="G5"/>
  <c r="E5"/>
  <c r="C5"/>
  <c r="A5"/>
  <c r="K1"/>
  <c r="F2" s="1"/>
  <c r="J6" i="10"/>
  <c r="J5"/>
  <c r="D40" i="2"/>
  <c r="E21"/>
  <c r="D32"/>
  <c r="A32"/>
  <c r="A28"/>
  <c r="A49"/>
  <c r="A50"/>
  <c r="J28" i="17"/>
  <c r="H28"/>
  <c r="F28"/>
  <c r="D29" i="3"/>
  <c r="A1" i="17"/>
  <c r="K7"/>
  <c r="B17"/>
  <c r="D17"/>
  <c r="D18"/>
  <c r="F17"/>
  <c r="H17"/>
  <c r="H18"/>
  <c r="H29"/>
  <c r="H30"/>
  <c r="J17"/>
  <c r="K17"/>
  <c r="B28"/>
  <c r="D28"/>
  <c r="K28"/>
  <c r="J18"/>
  <c r="J29"/>
  <c r="J30"/>
  <c r="F18"/>
  <c r="F29"/>
  <c r="F30"/>
  <c r="B18"/>
  <c r="B29"/>
  <c r="C72" i="5"/>
  <c r="C69"/>
  <c r="B69"/>
  <c r="C37"/>
  <c r="B35"/>
  <c r="C34"/>
  <c r="B34"/>
  <c r="C57" i="15"/>
  <c r="B57"/>
  <c r="C48" i="4"/>
  <c r="C45"/>
  <c r="B45"/>
  <c r="G6"/>
  <c r="E6"/>
  <c r="C6"/>
  <c r="G6" i="15"/>
  <c r="E6"/>
  <c r="C6"/>
  <c r="E6" i="6"/>
  <c r="D6"/>
  <c r="C6"/>
  <c r="G6" i="5"/>
  <c r="E6"/>
  <c r="C6"/>
  <c r="E12" i="16"/>
  <c r="E11"/>
  <c r="E19" i="14"/>
  <c r="G11" i="10" s="1"/>
  <c r="E26" i="14"/>
  <c r="E14" i="10" s="1"/>
  <c r="E40" i="14"/>
  <c r="E15" i="10" s="1"/>
  <c r="E33" i="14"/>
  <c r="G18" i="10" s="1"/>
  <c r="E12" i="14"/>
  <c r="E22" i="10" s="1"/>
  <c r="J7"/>
  <c r="A34" i="14"/>
  <c r="A20"/>
  <c r="A89"/>
  <c r="A88"/>
  <c r="A87"/>
  <c r="A86"/>
  <c r="A85"/>
  <c r="D33" i="3"/>
  <c r="D32"/>
  <c r="D24"/>
  <c r="E40"/>
  <c r="J1" i="10"/>
  <c r="B18" s="1"/>
  <c r="D16" i="16"/>
  <c r="D18" s="1"/>
  <c r="D20"/>
  <c r="D22" s="1"/>
  <c r="F1"/>
  <c r="D6" s="1"/>
  <c r="B10"/>
  <c r="B9"/>
  <c r="B8"/>
  <c r="B7"/>
  <c r="E18" i="6"/>
  <c r="D18"/>
  <c r="C18"/>
  <c r="E30"/>
  <c r="D30"/>
  <c r="C30"/>
  <c r="E52"/>
  <c r="D52"/>
  <c r="C52"/>
  <c r="E64"/>
  <c r="D64"/>
  <c r="C64"/>
  <c r="E19" i="5"/>
  <c r="C19"/>
  <c r="E30"/>
  <c r="C30"/>
  <c r="C54"/>
  <c r="E65"/>
  <c r="C65"/>
  <c r="C29" i="15"/>
  <c r="E53"/>
  <c r="C53"/>
  <c r="C26" i="4"/>
  <c r="E41"/>
  <c r="C41"/>
  <c r="A1" i="16"/>
  <c r="A16"/>
  <c r="E13"/>
  <c r="D11"/>
  <c r="D12"/>
  <c r="D13" s="1"/>
  <c r="C13"/>
  <c r="E6"/>
  <c r="A114" i="14"/>
  <c r="A113"/>
  <c r="A112"/>
  <c r="A111"/>
  <c r="A110"/>
  <c r="A109"/>
  <c r="E1"/>
  <c r="A106"/>
  <c r="B107"/>
  <c r="A95"/>
  <c r="A42"/>
  <c r="J2" i="7"/>
  <c r="B24" i="8"/>
  <c r="E60" i="14"/>
  <c r="D24" i="8" s="1"/>
  <c r="A19"/>
  <c r="A49" i="14"/>
  <c r="A48"/>
  <c r="A59"/>
  <c r="A58"/>
  <c r="A57"/>
  <c r="A56"/>
  <c r="A55"/>
  <c r="A54"/>
  <c r="A5"/>
  <c r="E52" i="2"/>
  <c r="D52"/>
  <c r="D31" i="3"/>
  <c r="F24" i="8"/>
  <c r="D19"/>
  <c r="B19"/>
  <c r="B20" s="1"/>
  <c r="B23"/>
  <c r="D31"/>
  <c r="B31"/>
  <c r="D30"/>
  <c r="D29"/>
  <c r="B30"/>
  <c r="B29"/>
  <c r="D28"/>
  <c r="B28"/>
  <c r="D52" i="14"/>
  <c r="A27"/>
  <c r="A13"/>
  <c r="A6"/>
  <c r="A44"/>
  <c r="A40"/>
  <c r="A33"/>
  <c r="A26"/>
  <c r="A19"/>
  <c r="A12"/>
  <c r="B31" i="12"/>
  <c r="B27"/>
  <c r="B23"/>
  <c r="B19"/>
  <c r="B10"/>
  <c r="B9"/>
  <c r="B5"/>
  <c r="J6"/>
  <c r="F41" i="9"/>
  <c r="F31" i="8"/>
  <c r="E20" i="9"/>
  <c r="F30" i="8"/>
  <c r="E16" i="9"/>
  <c r="F29" i="8"/>
  <c r="E12" i="9"/>
  <c r="F28" i="8"/>
  <c r="E24" i="13"/>
  <c r="E26"/>
  <c r="F21" i="8"/>
  <c r="D24" i="13"/>
  <c r="D26"/>
  <c r="D21" i="8"/>
  <c r="C24" i="13"/>
  <c r="C26"/>
  <c r="B21" i="8"/>
  <c r="E19"/>
  <c r="E20" s="1"/>
  <c r="C19"/>
  <c r="C20" s="1"/>
  <c r="I3"/>
  <c r="D27" s="1"/>
  <c r="A5"/>
  <c r="A4"/>
  <c r="F33"/>
  <c r="D33"/>
  <c r="B33"/>
  <c r="F27"/>
  <c r="D20"/>
  <c r="D22" s="1"/>
  <c r="F16"/>
  <c r="A13"/>
  <c r="B45" i="2"/>
  <c r="B44"/>
  <c r="B43"/>
  <c r="C24" i="3"/>
  <c r="G3"/>
  <c r="C48"/>
  <c r="A18"/>
  <c r="A10"/>
  <c r="A4"/>
  <c r="G41" i="5"/>
  <c r="E41"/>
  <c r="C41"/>
  <c r="E40" i="6"/>
  <c r="D40"/>
  <c r="C40"/>
  <c r="F1" i="13"/>
  <c r="E9" s="1"/>
  <c r="A3"/>
  <c r="A2"/>
  <c r="D9"/>
  <c r="B14" i="7"/>
  <c r="B13"/>
  <c r="B12"/>
  <c r="B11"/>
  <c r="B2"/>
  <c r="B1"/>
  <c r="D9"/>
  <c r="C9"/>
  <c r="B9"/>
  <c r="A1" i="15"/>
  <c r="C2" i="10"/>
  <c r="C1"/>
  <c r="A36"/>
  <c r="B32"/>
  <c r="B22"/>
  <c r="C15"/>
  <c r="C14"/>
  <c r="B13"/>
  <c r="B11"/>
  <c r="B9"/>
  <c r="B6"/>
  <c r="B5"/>
  <c r="A3"/>
  <c r="A2" i="9"/>
  <c r="A1"/>
  <c r="K1"/>
  <c r="H28" s="1"/>
  <c r="H41"/>
  <c r="G41"/>
  <c r="K12"/>
  <c r="K21"/>
  <c r="K16"/>
  <c r="K20"/>
  <c r="J12"/>
  <c r="J21"/>
  <c r="J16"/>
  <c r="J20"/>
  <c r="I12"/>
  <c r="I21"/>
  <c r="I16"/>
  <c r="I20"/>
  <c r="H12"/>
  <c r="H21"/>
  <c r="H16"/>
  <c r="H20"/>
  <c r="E21"/>
  <c r="A1" i="14"/>
  <c r="A39"/>
  <c r="A38"/>
  <c r="A37"/>
  <c r="A36"/>
  <c r="A35"/>
  <c r="A32"/>
  <c r="A31"/>
  <c r="A30"/>
  <c r="A29"/>
  <c r="A28"/>
  <c r="A25"/>
  <c r="A24"/>
  <c r="A23"/>
  <c r="A22"/>
  <c r="A21"/>
  <c r="A18"/>
  <c r="A17"/>
  <c r="A16"/>
  <c r="A15"/>
  <c r="A14"/>
  <c r="A11"/>
  <c r="A10"/>
  <c r="A9"/>
  <c r="A8"/>
  <c r="A7"/>
  <c r="A20" i="2"/>
  <c r="C101" i="14"/>
  <c r="D101"/>
  <c r="A100"/>
  <c r="A99"/>
  <c r="A98"/>
  <c r="A97"/>
  <c r="A96"/>
  <c r="A82"/>
  <c r="A81"/>
  <c r="A80"/>
  <c r="A79"/>
  <c r="A78"/>
  <c r="A75"/>
  <c r="A74"/>
  <c r="A73"/>
  <c r="A72"/>
  <c r="A71"/>
  <c r="A68"/>
  <c r="A67"/>
  <c r="A66"/>
  <c r="A65"/>
  <c r="A64"/>
  <c r="A41" i="2"/>
  <c r="A39" i="3"/>
  <c r="A38"/>
  <c r="A37"/>
  <c r="A36"/>
  <c r="A35"/>
  <c r="D46" i="2"/>
  <c r="D28" i="3"/>
  <c r="D27"/>
  <c r="D26"/>
  <c r="D25"/>
  <c r="C26"/>
  <c r="C25"/>
  <c r="A28"/>
  <c r="A27"/>
  <c r="A26"/>
  <c r="A25"/>
  <c r="C23"/>
  <c r="A6"/>
  <c r="E27"/>
  <c r="E28"/>
  <c r="A6" i="4"/>
  <c r="A2"/>
  <c r="A1"/>
  <c r="B42" i="2"/>
  <c r="A41" i="5"/>
  <c r="A6"/>
  <c r="A2"/>
  <c r="A1"/>
  <c r="A40" i="6"/>
  <c r="A6"/>
  <c r="A2"/>
  <c r="A1"/>
  <c r="E8" i="9"/>
  <c r="F28"/>
  <c r="C9" i="13"/>
  <c r="A11" i="3"/>
  <c r="F14"/>
  <c r="C6" i="16"/>
  <c r="A57" i="15"/>
  <c r="A68" i="5"/>
  <c r="A34"/>
  <c r="F31" i="7"/>
  <c r="A68" i="6"/>
  <c r="B30" i="17"/>
  <c r="E7" i="15"/>
  <c r="B58"/>
  <c r="D29" i="17"/>
  <c r="D30"/>
  <c r="K18"/>
  <c r="G14" i="7"/>
  <c r="G49" i="5" s="1"/>
  <c r="G12" i="7"/>
  <c r="G14" i="15" s="1"/>
  <c r="G13" i="7"/>
  <c r="G14" i="5" s="1"/>
  <c r="G11" i="7"/>
  <c r="G15" s="1"/>
  <c r="E42" i="5"/>
  <c r="B70"/>
  <c r="C35" i="6"/>
  <c r="D7"/>
  <c r="D20"/>
  <c r="D32"/>
  <c r="E7"/>
  <c r="E20"/>
  <c r="E32"/>
  <c r="E33"/>
  <c r="D41"/>
  <c r="C69"/>
  <c r="K30" i="17"/>
  <c r="D54" i="6"/>
  <c r="D66"/>
  <c r="E41"/>
  <c r="E54"/>
  <c r="E66"/>
  <c r="E67"/>
  <c r="B6" i="16"/>
  <c r="A56" i="15"/>
  <c r="A69" i="5"/>
  <c r="A33"/>
  <c r="A67" i="6"/>
  <c r="G15" i="4"/>
  <c r="K29" i="17"/>
  <c r="B16" i="8"/>
  <c r="B27"/>
  <c r="J7" i="9"/>
  <c r="H7"/>
  <c r="G28"/>
  <c r="A14" i="8"/>
  <c r="D16"/>
  <c r="G17"/>
  <c r="A62" i="14"/>
  <c r="A60"/>
  <c r="A94"/>
  <c r="C107"/>
  <c r="B4" i="16"/>
  <c r="A70" i="5"/>
  <c r="E13" i="3"/>
  <c r="B22" i="8" l="1"/>
  <c r="C43" i="4"/>
  <c r="B46" s="1"/>
  <c r="E29" i="7"/>
  <c r="F14" s="1"/>
  <c r="G48" i="5" s="1"/>
  <c r="D27" i="7"/>
  <c r="E12" s="1"/>
  <c r="E13"/>
  <c r="G12" i="5" s="1"/>
  <c r="C25" i="7"/>
  <c r="D13" s="1"/>
  <c r="G11" i="5" s="1"/>
  <c r="G16" i="10"/>
  <c r="G20" s="1"/>
  <c r="G24" s="1"/>
  <c r="G26" s="1"/>
  <c r="J28" s="1"/>
  <c r="J30" s="1"/>
  <c r="H56" i="15"/>
  <c r="G53"/>
  <c r="G57"/>
  <c r="E24" i="3"/>
  <c r="G65" i="5"/>
  <c r="G69"/>
  <c r="E26" i="3"/>
  <c r="H68" i="5"/>
  <c r="E54"/>
  <c r="E56"/>
  <c r="E67" s="1"/>
  <c r="G42" s="1"/>
  <c r="E29" i="15"/>
  <c r="E31"/>
  <c r="E55" s="1"/>
  <c r="G7" s="1"/>
  <c r="E26" i="4"/>
  <c r="G45"/>
  <c r="G41"/>
  <c r="E23" i="3"/>
  <c r="H44" i="4"/>
  <c r="F19" i="8"/>
  <c r="G34" i="5"/>
  <c r="E25" i="3"/>
  <c r="H33" i="5"/>
  <c r="G30"/>
  <c r="E7" i="4" l="1"/>
  <c r="E28" s="1"/>
  <c r="E43" s="1"/>
  <c r="G7" s="1"/>
  <c r="F13" i="7"/>
  <c r="G13" i="5" s="1"/>
  <c r="F12" i="7"/>
  <c r="G20" i="5"/>
  <c r="E14" i="7"/>
  <c r="G47" i="5" s="1"/>
  <c r="G12" i="15"/>
  <c r="E11" i="7"/>
  <c r="G19" i="5"/>
  <c r="G21"/>
  <c r="G55"/>
  <c r="G56" s="1"/>
  <c r="G70" s="1"/>
  <c r="G72" s="1"/>
  <c r="D14" i="7"/>
  <c r="G46" i="5" s="1"/>
  <c r="G35"/>
  <c r="G37" s="1"/>
  <c r="G25" i="3" s="1"/>
  <c r="D12" i="7"/>
  <c r="F20" i="8"/>
  <c r="F22" s="1"/>
  <c r="E30" i="3"/>
  <c r="G13" i="15" l="1"/>
  <c r="F11" i="7"/>
  <c r="E15"/>
  <c r="G12" i="4"/>
  <c r="F25" i="3"/>
  <c r="G11" i="15"/>
  <c r="G30" s="1"/>
  <c r="D11" i="7"/>
  <c r="F26" i="3"/>
  <c r="G26"/>
  <c r="G54" i="5"/>
  <c r="G13" i="4" l="1"/>
  <c r="F15" i="7"/>
  <c r="G29" i="15"/>
  <c r="G31"/>
  <c r="G58" s="1"/>
  <c r="G60" s="1"/>
  <c r="G11" i="4"/>
  <c r="G27" s="1"/>
  <c r="D15" i="7"/>
  <c r="G28" i="4" l="1"/>
  <c r="G46" s="1"/>
  <c r="G48" s="1"/>
  <c r="G26" s="1"/>
  <c r="J32" i="10"/>
  <c r="J34" s="1"/>
  <c r="F24" i="3"/>
  <c r="G24"/>
  <c r="F23" l="1"/>
  <c r="G23" s="1"/>
  <c r="G30" s="1"/>
  <c r="G19" i="8"/>
  <c r="G20" s="1"/>
  <c r="F30" i="3" l="1"/>
  <c r="F32" s="1"/>
  <c r="H19" i="8"/>
  <c r="H20" s="1"/>
</calcChain>
</file>

<file path=xl/sharedStrings.xml><?xml version="1.0" encoding="utf-8"?>
<sst xmlns="http://schemas.openxmlformats.org/spreadsheetml/2006/main" count="615" uniqueCount="391">
  <si>
    <r>
      <t>10g.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Neg Bal</t>
    </r>
    <r>
      <rPr>
        <sz val="12"/>
        <rFont val="Times New Roman"/>
        <family val="1"/>
      </rPr>
      <t xml:space="preserve">' under the unencumbered cash balance. </t>
    </r>
    <r>
      <rPr>
        <u/>
        <sz val="12"/>
        <rFont val="Times New Roman"/>
        <family val="1"/>
      </rPr>
      <t>No correction is needed</t>
    </r>
    <r>
      <rPr>
        <sz val="12"/>
        <rFont val="Times New Roman"/>
        <family val="1"/>
      </rPr>
      <t xml:space="preserve">, as the negative balance represents the actual ending balance that occurred. This is only to be used to prevent future negative cash balances so as to not to incur a Cash Basis Violation. </t>
    </r>
  </si>
  <si>
    <r>
      <t>10h. All no-tax levy fund pages for the proposed budget year will have an edit on the unencumbered cash balance. If the cash balance is negative, then the block turns red and statement '</t>
    </r>
    <r>
      <rPr>
        <sz val="12"/>
        <color indexed="10"/>
        <rFont val="Times New Roman"/>
        <family val="1"/>
      </rPr>
      <t>Budget Violation</t>
    </r>
    <r>
      <rPr>
        <sz val="12"/>
        <rFont val="Times New Roman"/>
        <family val="1"/>
      </rPr>
      <t>' will appear. To correct this violation, either the receipts need to be increased or the expenditures must be decreased and the block will no longer be red and the statement will be gone.</t>
    </r>
  </si>
  <si>
    <t xml:space="preserve">11.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</si>
  <si>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11a.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</si>
  <si>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11b.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</si>
  <si>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11c. </t>
    </r>
    <r>
      <rPr>
        <b/>
        <sz val="12"/>
        <rFont val="Times New Roman"/>
        <family val="1"/>
      </rPr>
      <t>Note: If you do not have Neighborhood Revitalization, this step is not done.</t>
    </r>
  </si>
  <si>
    <t>General Instructions</t>
  </si>
  <si>
    <t>Special District Computer Spreadsheet Preparation</t>
  </si>
  <si>
    <t>Input sheet for Special District budget form</t>
  </si>
  <si>
    <t>Fund Names:</t>
  </si>
  <si>
    <t>Statute</t>
  </si>
  <si>
    <t>General</t>
  </si>
  <si>
    <t>Fund name for all funds with a tax levy:</t>
  </si>
  <si>
    <t>Other (non-tax levy) fund names:</t>
  </si>
  <si>
    <t>Total</t>
  </si>
  <si>
    <t>certify that: (1) the hearing mentioned in the attached publication was held;</t>
  </si>
  <si>
    <t>(2) after the Budget Hearing this budget was duly approved and adopted</t>
  </si>
  <si>
    <t xml:space="preserve"> </t>
  </si>
  <si>
    <t>County</t>
  </si>
  <si>
    <t>Page</t>
  </si>
  <si>
    <t>Clerk's</t>
  </si>
  <si>
    <t>Table of Contents:</t>
  </si>
  <si>
    <t>No.</t>
  </si>
  <si>
    <t>Expenditure</t>
  </si>
  <si>
    <t>Use Only</t>
  </si>
  <si>
    <t>Fund</t>
  </si>
  <si>
    <t>K.S.A.</t>
  </si>
  <si>
    <t>x</t>
  </si>
  <si>
    <t xml:space="preserve">         </t>
  </si>
  <si>
    <t>State Use Only</t>
  </si>
  <si>
    <t xml:space="preserve">  Assisted by:</t>
  </si>
  <si>
    <t>Governing Body</t>
  </si>
  <si>
    <t>County Clerk</t>
  </si>
  <si>
    <t>Amount</t>
  </si>
  <si>
    <t>Adopted Budget</t>
  </si>
  <si>
    <t>Ad Valorem Tax</t>
  </si>
  <si>
    <t>Delinquent Tax</t>
  </si>
  <si>
    <t>Motor Vehicle Tax</t>
  </si>
  <si>
    <t>Recreational Vehicle Tax</t>
  </si>
  <si>
    <t>In Lieu of Taxes</t>
  </si>
  <si>
    <t>Interest on Idle Funds</t>
  </si>
  <si>
    <t>Total Receipts</t>
  </si>
  <si>
    <t>Resources Available:</t>
  </si>
  <si>
    <t>Expenditures:</t>
  </si>
  <si>
    <t>Total Expenditures</t>
  </si>
  <si>
    <t>Tax Required</t>
  </si>
  <si>
    <t>%</t>
  </si>
  <si>
    <t>Page No.</t>
  </si>
  <si>
    <t>MVT</t>
  </si>
  <si>
    <t>RVT</t>
  </si>
  <si>
    <t>County Treas MVT Estimate</t>
  </si>
  <si>
    <t>County Treas RVT Estimate</t>
  </si>
  <si>
    <t>MVT Factor</t>
  </si>
  <si>
    <t>RVT Factor</t>
  </si>
  <si>
    <t>hearing and answering objections of taxpayers relating  to the proposed use of all funds and the amount</t>
  </si>
  <si>
    <t>of tax to be levied.</t>
  </si>
  <si>
    <t>and will be available at this hearing.</t>
  </si>
  <si>
    <t>Actual</t>
  </si>
  <si>
    <t>FUND</t>
  </si>
  <si>
    <t>Expenditures</t>
  </si>
  <si>
    <t>Total Tax Levied</t>
  </si>
  <si>
    <t>Outstanding Indebtedness,</t>
  </si>
  <si>
    <t>G.O. Bonds</t>
  </si>
  <si>
    <t>Revenue Bonds</t>
  </si>
  <si>
    <t xml:space="preserve">     Total</t>
  </si>
  <si>
    <t xml:space="preserve">  *Tax rates are expressed in mills.</t>
  </si>
  <si>
    <t>Date</t>
  </si>
  <si>
    <t xml:space="preserve">   Amount Due</t>
  </si>
  <si>
    <t>of</t>
  </si>
  <si>
    <t>Rate</t>
  </si>
  <si>
    <t xml:space="preserve">  Date Due</t>
  </si>
  <si>
    <t>Type of Debt</t>
  </si>
  <si>
    <t>Issue</t>
  </si>
  <si>
    <t>Issued</t>
  </si>
  <si>
    <t>Term</t>
  </si>
  <si>
    <t>Interest</t>
  </si>
  <si>
    <t>Principal</t>
  </si>
  <si>
    <t>Payments</t>
  </si>
  <si>
    <t xml:space="preserve">  Contract</t>
  </si>
  <si>
    <t>Contract</t>
  </si>
  <si>
    <t>Financed</t>
  </si>
  <si>
    <t>Due</t>
  </si>
  <si>
    <t>Item Purchased</t>
  </si>
  <si>
    <t>(Months)</t>
  </si>
  <si>
    <t>To print the spreadsheets, you can either print one sheet or all of the sheets at once.</t>
  </si>
  <si>
    <t>Enter the following information from the sources shown.  This information will be  entered</t>
  </si>
  <si>
    <t xml:space="preserve">on the budget forms in the appropriate locations.  If any of the numbers are wrong, change  </t>
  </si>
  <si>
    <t>CERTIFICATE</t>
  </si>
  <si>
    <t>STATEMENT OF CONDITIONAL LEASE-PURCHASE AND CERTIFICATE OF PARTICIPATION*</t>
  </si>
  <si>
    <t>FUND PAGE - GENERAL</t>
  </si>
  <si>
    <t>FUND PAGE FOR FUNDS WITH A TAX LEVY</t>
  </si>
  <si>
    <t>FUND PAGE FOR FUNDS WITH NO TAX LEVY</t>
  </si>
  <si>
    <t>NOTICE OF BUDGET HEARING</t>
  </si>
  <si>
    <t>BUDGET SUMMARY</t>
  </si>
  <si>
    <t>STATEMENT OF INDEBTEDNESS</t>
  </si>
  <si>
    <t xml:space="preserve">Total </t>
  </si>
  <si>
    <t>16/20M Veh</t>
  </si>
  <si>
    <t>County Treas 16/20 M Vehicle Tax Estimate</t>
  </si>
  <si>
    <t>16/20M Factor</t>
  </si>
  <si>
    <t>Amount of Levy</t>
  </si>
  <si>
    <t xml:space="preserve"> 1.</t>
  </si>
  <si>
    <t>+</t>
  </si>
  <si>
    <t>$</t>
  </si>
  <si>
    <t xml:space="preserve"> 2.</t>
  </si>
  <si>
    <t>-</t>
  </si>
  <si>
    <t xml:space="preserve"> 4.</t>
  </si>
  <si>
    <t xml:space="preserve"> 5.</t>
  </si>
  <si>
    <t>5a.</t>
  </si>
  <si>
    <t>5b.</t>
  </si>
  <si>
    <t>5c.</t>
  </si>
  <si>
    <t>6.</t>
  </si>
  <si>
    <t>7.</t>
  </si>
  <si>
    <t>8.</t>
  </si>
  <si>
    <t>9.</t>
  </si>
  <si>
    <t>10.</t>
  </si>
  <si>
    <t>11.</t>
  </si>
  <si>
    <t>12.</t>
  </si>
  <si>
    <t>(Use Only if &gt; 0)</t>
  </si>
  <si>
    <t>16/20M Vehicle Tax</t>
  </si>
  <si>
    <t xml:space="preserve">The governing body of </t>
  </si>
  <si>
    <t>*If you are merely leasing/renting with no intent to purchase, do not list--such transactions are not lease-purchases.</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</si>
  <si>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</si>
  <si>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</si>
  <si>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</si>
  <si>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</si>
  <si>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</si>
  <si>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</si>
  <si>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</si>
  <si>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 xml:space="preserve">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</si>
  <si>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</si>
  <si>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</si>
  <si>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</si>
  <si>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</si>
  <si>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</si>
  <si>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 1</t>
  </si>
  <si>
    <t>Unencumbered Cash Balance Dec 31</t>
  </si>
  <si>
    <t>Receipts:</t>
  </si>
  <si>
    <t xml:space="preserve"> Enter information in all areas that are green if they apply to the budget you are preparing.</t>
  </si>
  <si>
    <t xml:space="preserve">The sheet names are in ( ) beside the form name.   </t>
  </si>
  <si>
    <t>The light shaded areas are protected because these contain formulas which should not be changed.  Any errors within a yellow area will need to be corrected on the input sheet or where the information is entered for that formula.</t>
  </si>
  <si>
    <t>Enter Special District Name (Can be Longer than green cell)</t>
  </si>
  <si>
    <t xml:space="preserve">Outstanding </t>
  </si>
  <si>
    <t>(Beginning Principal)</t>
  </si>
  <si>
    <t>Totals</t>
  </si>
  <si>
    <t>Lease Pur. Princ.</t>
  </si>
  <si>
    <t>November 1st Valuation</t>
  </si>
  <si>
    <t>County Clerk's Use Only</t>
  </si>
  <si>
    <t>RESOLUTION NO.__________________</t>
  </si>
  <si>
    <t>___________________________________.</t>
  </si>
  <si>
    <t>(Attach a signed copy to the budget)</t>
  </si>
  <si>
    <t>SPECIAL DISTRICT RESOLUTION</t>
  </si>
  <si>
    <t xml:space="preserve"> , Chair/President</t>
  </si>
  <si>
    <t xml:space="preserve"> , Member</t>
  </si>
  <si>
    <t>, Member</t>
  </si>
  <si>
    <t>Statement of Indebt. &amp; Lease/Purchase</t>
  </si>
  <si>
    <t>Schedule of Transfers</t>
  </si>
  <si>
    <t xml:space="preserve">Fund </t>
  </si>
  <si>
    <t>Current</t>
  </si>
  <si>
    <t>Proposed</t>
  </si>
  <si>
    <t>Allocation of MVT, RVT &amp; 16/20M Veh</t>
  </si>
  <si>
    <t>Total 16\20 M Vehicle Tax Estimate</t>
  </si>
  <si>
    <t>16\20 M Vehicle Tax Estimate:</t>
  </si>
  <si>
    <t>Total Recreational Vehicle Tax Estimate</t>
  </si>
  <si>
    <t>Total Motor Vehicle Tax Estimate</t>
  </si>
  <si>
    <t>Motor Vehicle Tax Estimate:</t>
  </si>
  <si>
    <t>Recreational Vehicle Tax Estimate:</t>
  </si>
  <si>
    <t>Average Delinquency Rate</t>
  </si>
  <si>
    <t>Final Assessed Valuation:</t>
  </si>
  <si>
    <t>Total Assessed Valuation</t>
  </si>
  <si>
    <t>Received_______________</t>
  </si>
  <si>
    <t>Reviewed by____________</t>
  </si>
  <si>
    <t>Follow-up: Yes___No___</t>
  </si>
  <si>
    <t xml:space="preserve">  Address:</t>
  </si>
  <si>
    <t>Whereas, budgeting, taxing and service level decisions for all district services are the responsibility of the district board; and</t>
  </si>
  <si>
    <t>Whereas, the cost of provision of these services continues to increase.</t>
  </si>
  <si>
    <t>10-113</t>
  </si>
  <si>
    <t>Bond &amp; Interest</t>
  </si>
  <si>
    <t xml:space="preserve">The input for the following comes directly from </t>
  </si>
  <si>
    <t>Enter Other Supporting Counties' Name:</t>
  </si>
  <si>
    <t>Note:  All amounts are to be entered in as whole numbers only.</t>
  </si>
  <si>
    <t>General Obligation:</t>
  </si>
  <si>
    <t>Total G.O.</t>
  </si>
  <si>
    <t>Revenue Bonds:</t>
  </si>
  <si>
    <t>Total Revenue</t>
  </si>
  <si>
    <t>Other:</t>
  </si>
  <si>
    <t>Total Other</t>
  </si>
  <si>
    <t>In Lieu of Tax (IRB)</t>
  </si>
  <si>
    <t>Transfers</t>
  </si>
  <si>
    <t xml:space="preserve">Transferred </t>
  </si>
  <si>
    <t>Transferred</t>
  </si>
  <si>
    <t>Amount for</t>
  </si>
  <si>
    <t>Authorized by</t>
  </si>
  <si>
    <t>From:</t>
  </si>
  <si>
    <t>To:</t>
  </si>
  <si>
    <t xml:space="preserve"> Statute</t>
  </si>
  <si>
    <t>Adjustments</t>
  </si>
  <si>
    <t>Adjusted Totals</t>
  </si>
  <si>
    <r>
      <t xml:space="preserve">Note: Adjustments are only required if the transfer expenditure </t>
    </r>
    <r>
      <rPr>
        <u/>
        <sz val="12"/>
        <rFont val="Times New Roman"/>
        <family val="1"/>
      </rPr>
      <t>is not</t>
    </r>
    <r>
      <rPr>
        <sz val="12"/>
        <rFont val="Times New Roman"/>
        <family val="1"/>
      </rPr>
      <t xml:space="preserve"> shown in the Budget Summary total.</t>
    </r>
  </si>
  <si>
    <t>LAVTR</t>
  </si>
  <si>
    <t>Slider</t>
  </si>
  <si>
    <t>We, the undersigned, officers of</t>
  </si>
  <si>
    <t>Attest: _________________,</t>
  </si>
  <si>
    <t>Tax Rate*</t>
  </si>
  <si>
    <t>Read these instructions carefully.  If after reviewing them you still have questions, call Municipal Services at 785-296-2311 or e-mail : armunis@da.ks.gov</t>
  </si>
  <si>
    <t>The blue areas indicated where the information comes from to complete the section input.</t>
  </si>
  <si>
    <t>The yellow area indicates that statement requires action taken.</t>
  </si>
  <si>
    <t>Special District1 Instructions</t>
  </si>
  <si>
    <t>Less: Transfers</t>
  </si>
  <si>
    <t>Net Expenditures</t>
  </si>
  <si>
    <t>xxxxxxxxxxxxxxxx</t>
  </si>
  <si>
    <t xml:space="preserve">  Jan 1,</t>
  </si>
  <si>
    <t>Whereas, K.S.A. 79-2925b provides that a resolution be adopted if property taxes levied to finance the</t>
  </si>
  <si>
    <t>taxation of 1) new improvements to real property; 2) increased personal property valuation, other than increased valuation of oil and gas leaseholds and mobile homes; and 3) property which has changed in use during the past year, or with regard to revenue produced for the purpose of repaying the principal of and interest upon bonded indebtedness, temporary notes, or no-fund warrants; and</t>
  </si>
  <si>
    <t>The following were changed to this spreadsheet on 8/06/2007</t>
  </si>
  <si>
    <t>1. All dates are linked to the inputpryr page</t>
  </si>
  <si>
    <t>2. Instruction page changed the POC, electronic submission, blue area, and transfers expended</t>
  </si>
  <si>
    <t>3. Split the input page to inputpryr and inputoth</t>
  </si>
  <si>
    <t>4. Moved the mil rates from prior budget to Clerk info section</t>
  </si>
  <si>
    <t>5. Added the Outstanding Indebtedness info to the input page and link to Budget Summary page</t>
  </si>
  <si>
    <t>6. Added note about Delinquency Rate on input and changed all computation on the fund pages</t>
  </si>
  <si>
    <t>7. Added debt links to the Computation Determine Limit</t>
  </si>
  <si>
    <t>8. Transfers page added links to the Budget Summary page and allows for adjustments to the transfers</t>
  </si>
  <si>
    <t>9. Added links from the indebtedness page to the Budget Summary page by separating bonds</t>
  </si>
  <si>
    <t xml:space="preserve">10. Hard coded the Bond &amp; Interest fund to the Certificate and Budget Summary pages. Also made the </t>
  </si>
  <si>
    <t>Bond &amp; Interest its own fund page</t>
  </si>
  <si>
    <t>11. Budget Summary added transfers adjustments and linked them along with the indebtedness info</t>
  </si>
  <si>
    <t>12. Added "is a resolution required" statement with either yes or no automatic shown on Certificate</t>
  </si>
  <si>
    <t>13. moved the assisted blocks from center to left side on Certificate</t>
  </si>
  <si>
    <t xml:space="preserve">  G.O. Bonds</t>
  </si>
  <si>
    <t xml:space="preserve">  Revenue Bonds</t>
  </si>
  <si>
    <t xml:space="preserve">  Lease Purchase Principal</t>
  </si>
  <si>
    <r>
      <t>**</t>
    </r>
    <r>
      <rPr>
        <b/>
        <u/>
        <sz val="12"/>
        <rFont val="Times New Roman"/>
        <family val="1"/>
      </rPr>
      <t>Note</t>
    </r>
    <r>
      <rPr>
        <sz val="12"/>
        <rFont val="Times New Roman"/>
        <family val="1"/>
      </rPr>
      <t>: The delinquency rate can be up to 5% more than the actual delinquency rate from the previous year.</t>
    </r>
  </si>
  <si>
    <t>Budget Summary</t>
  </si>
  <si>
    <t>Resolution</t>
  </si>
  <si>
    <t>Is a Resolution required?</t>
  </si>
  <si>
    <t>Other</t>
  </si>
  <si>
    <t>14. Added another space for "assisted by" on Certificate allowing two lines for name of company</t>
  </si>
  <si>
    <t xml:space="preserve"> Other</t>
  </si>
  <si>
    <t xml:space="preserve">1.  The used of this spreadsheet is designed for a special district having five county support. </t>
  </si>
  <si>
    <t>Total Tax Rates</t>
  </si>
  <si>
    <t>Rate used in this budget will be shown on all fund pages with a tax levy**</t>
  </si>
  <si>
    <t xml:space="preserve">Enter year being budgeted (YYYY) </t>
  </si>
  <si>
    <t xml:space="preserve">            the information on this input sheet.</t>
  </si>
  <si>
    <t>Outstanding Indebtedness, January 1:</t>
  </si>
  <si>
    <t>Assessed Valuation:</t>
  </si>
  <si>
    <t>15. Added to instructions about non-appropriated funds limit of 5%.</t>
  </si>
  <si>
    <t>16. Added warning "Exceeds 5%" on all fund pages for the non-appropirated balance.</t>
  </si>
  <si>
    <t>TOTAL</t>
  </si>
  <si>
    <t>Computation of Delinquency Taxes:</t>
  </si>
  <si>
    <t>Uncollected</t>
  </si>
  <si>
    <t>Levied</t>
  </si>
  <si>
    <t>County Treas Slider Estimate</t>
  </si>
  <si>
    <t>Slider Factor</t>
  </si>
  <si>
    <t>Funds</t>
  </si>
  <si>
    <t>Budget Authority</t>
  </si>
  <si>
    <t xml:space="preserve">expenditure amounts should reflect the amended </t>
  </si>
  <si>
    <t>expenditure amounts.</t>
  </si>
  <si>
    <t>20. Added to all budgeted fund pages the budget authority for the actual year, budget violation, and cash violation.</t>
  </si>
  <si>
    <t>21. Added instruction on the addition for item 20.</t>
  </si>
  <si>
    <t xml:space="preserve">FUND PAGE </t>
  </si>
  <si>
    <t>Net Valuation Factor:</t>
  </si>
  <si>
    <t>Neighborhood Revitalization Subj to Rebate</t>
  </si>
  <si>
    <t>Neighborhood Revitalization factor</t>
  </si>
  <si>
    <t>Neighborhood Revitalization Rebate</t>
  </si>
  <si>
    <t>Miscellaneous</t>
  </si>
  <si>
    <t>Does miscellaneous exceed 10% of Total Receipts</t>
  </si>
  <si>
    <t>Does miscellaneous exceed 10% of Total Expenditures</t>
  </si>
  <si>
    <r>
      <t xml:space="preserve">2.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 </t>
    </r>
    <r>
      <rPr>
        <b/>
        <sz val="12"/>
        <rFont val="Times New Roman"/>
        <family val="1"/>
      </rPr>
      <t>Do not use the copy and move functions on this page.   Do not add or delete lines on this page</t>
    </r>
    <r>
      <rPr>
        <sz val="12"/>
        <rFont val="Times New Roman"/>
        <family val="1"/>
      </rPr>
      <t>.</t>
    </r>
  </si>
  <si>
    <t>2a. Dates for the entire budget workbook is controlled by the year entered into the "Enter year being budgeted (YYYY)" field.  If you find a date that is not correct for the budget being submitted, please contact us for assistance.</t>
  </si>
  <si>
    <r>
      <t xml:space="preserve">3. The information entered into the Input Other (inputOth) worksheet is obtained from the County Clerk, County Treasurer, and the budget from two years ago(the year for actual year column for the current year budget) .  After the information has been entered, please verify the data is correct. </t>
    </r>
    <r>
      <rPr>
        <b/>
        <sz val="12"/>
        <rFont val="Times New Roman"/>
        <family val="1"/>
      </rPr>
      <t>Do not use the copy and move functions on this page.  Do not add or delete lines on this page.</t>
    </r>
  </si>
  <si>
    <t>3a.  Enter the Computation of Delinquency information. Please note that K.S.A. 79-2930 states that such allowance shall not exceed by more than 5% the percentage of delinquency for the preceding tax year.  Such allowance is not mandatory, but may be used if the municipality wishes.</t>
  </si>
  <si>
    <t xml:space="preserve">4.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</si>
  <si>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t>4a. The Certificate page has a statement 'Is a Resolution required?' which will either show 'Yes' or 'No'. This statement compares the Certificate total Ad Valorem Tax to Computation to Determine Limit line 14. If a 'Yes' appears then a resolution is required to be completed and attached to the budget. No action is required if a 'No' appears.</t>
  </si>
  <si>
    <t xml:space="preserve">4b.  If someone other than a municipal employee assists in preparing the budget, please enter the person's or firm's name and address in the area provided. </t>
  </si>
  <si>
    <t>6.  Motor Vehicle Allocation and Slider (mvalloc) are completed from information entered on the input pages (inputpryr and inputoth).  If figures appear to be wrong, do not correct the figures from here, but go to the input pages. The computed tables are linked to the appropriate funds.</t>
  </si>
  <si>
    <t>7. The Schedule of Transfers (transfers) is completed from the individual completed fund pages and ensure to provide the statute that authorizes the transfer.</t>
  </si>
  <si>
    <t>7a. The adjusted totals of transfers are link to the Budget Summary page 'Less: Transfers'.</t>
  </si>
  <si>
    <t>7b. Adjustment to the transfers occurs only when the transfer expenditure is not shown in the totals of the Budget Summary.</t>
  </si>
  <si>
    <r>
      <t xml:space="preserve">8.  Statement of Indebtedness (debt) must show all the debt owed or proposed to be issued.  The general obligation and revenue bond totals for budget year is entered on the Budget Summary but you must enter the amounts on the (inputpryr) for the other two years from the current year budget. </t>
    </r>
    <r>
      <rPr>
        <b/>
        <sz val="12"/>
        <rFont val="Times New Roman"/>
        <family val="1"/>
      </rPr>
      <t>If the special district does not have any debt, then on the first line enter 'none'.</t>
    </r>
  </si>
  <si>
    <r>
      <t xml:space="preserve">10a.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11 for instructions for the neighborhood revitalization rebate for the proposed budget year. </t>
    </r>
  </si>
  <si>
    <r>
      <t xml:space="preserve">10b. All levy fund pages have a Non-Appropriated Balance block. K.S.A. 79-2927 allows the special district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and the </t>
    </r>
    <r>
      <rPr>
        <sz val="12"/>
        <color indexed="10"/>
        <rFont val="Times New Roman"/>
        <family val="1"/>
      </rPr>
      <t>block turns red</t>
    </r>
    <r>
      <rPr>
        <sz val="12"/>
        <rFont val="Times New Roman"/>
        <family val="1"/>
      </rPr>
      <t xml:space="preserve">.  In order to remove this warning message, you </t>
    </r>
    <r>
      <rPr>
        <u/>
        <sz val="12"/>
        <rFont val="Times New Roman"/>
        <family val="1"/>
      </rPr>
      <t>must reduce</t>
    </r>
    <r>
      <rPr>
        <sz val="12"/>
        <rFont val="Times New Roman"/>
        <family val="1"/>
      </rPr>
      <t xml:space="preserve"> the non-appropriate figure.</t>
    </r>
  </si>
  <si>
    <r>
      <t>10c. Each fund after the "unencumbered cash bal dec31", will show the budget authority expenditure amount, Violation of Budget Law, and Possible Cash Violation.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Yes</t>
    </r>
    <r>
      <rPr>
        <sz val="12"/>
        <rFont val="Times New Roman"/>
        <family val="1"/>
      </rPr>
      <t>" appears to indicate a violation.  Another comparison is made for the unencumbered cash balance dec 31 to determine if the fund ended with a negative cash balance and if so, then a "</t>
    </r>
    <r>
      <rPr>
        <b/>
        <sz val="12"/>
        <color indexed="10"/>
        <rFont val="Times New Roman"/>
        <family val="1"/>
      </rPr>
      <t>Yes</t>
    </r>
    <r>
      <rPr>
        <sz val="12"/>
        <rFont val="Times New Roman"/>
        <family val="1"/>
      </rPr>
      <t xml:space="preserve">" will appear for the violation. </t>
    </r>
    <r>
      <rPr>
        <b/>
        <sz val="12"/>
        <rFont val="Times New Roman"/>
        <family val="1"/>
      </rPr>
      <t>No Action is required at this time to correct the violation.</t>
    </r>
    <r>
      <rPr>
        <sz val="12"/>
        <rFont val="Times New Roman"/>
        <family val="1"/>
      </rPr>
      <t xml:space="preserve"> The purpose of this tool is to make you aware of the violation and corrective action should take place to prevent future occurrences. The actual year receipts and expenditures </t>
    </r>
    <r>
      <rPr>
        <b/>
        <u/>
        <sz val="12"/>
        <rFont val="Times New Roman"/>
        <family val="1"/>
      </rPr>
      <t>should always</t>
    </r>
    <r>
      <rPr>
        <sz val="12"/>
        <rFont val="Times New Roman"/>
        <family val="1"/>
      </rPr>
      <t xml:space="preserve"> reflect the events taking place even if a violation occurs. </t>
    </r>
  </si>
  <si>
    <t>13.  Certificate (cert) form should be reviewed to verify that all amounts agree with the fund pages and Budget Summary page.  Ensure the Certificate page is signed by the governing body.</t>
  </si>
  <si>
    <t>14.  Review all forms to see that the amounts match and everything is printed properly.</t>
  </si>
  <si>
    <t>17. Added Neighborhood Revitalization table and linked to the tax levy fund pages.</t>
  </si>
  <si>
    <t>18. Added Neighborhood Revitalization expenditures to all tax levy fund pages.</t>
  </si>
  <si>
    <t>19. Added Neighborhood Revitalization Rebate page number to the Certificate page.</t>
  </si>
  <si>
    <t>22. Added 'miscellaneous' category to the receipt/expenditure for all fund pages and set error message.</t>
  </si>
  <si>
    <t>23. Added to the instruction about correct the error message for the miscellaneous.</t>
  </si>
  <si>
    <t>Enter County Name (Home County) followed by 'County'</t>
  </si>
  <si>
    <t>First</t>
  </si>
  <si>
    <t>Second</t>
  </si>
  <si>
    <t>Third</t>
  </si>
  <si>
    <t>Fourth</t>
  </si>
  <si>
    <t>Page No. 6</t>
  </si>
  <si>
    <t xml:space="preserve">Submitting the Budget </t>
  </si>
  <si>
    <t xml:space="preserve">The Special District1 spreadsheet is designed with having up to five countys providing taxing support. </t>
  </si>
  <si>
    <r>
      <t xml:space="preserve">Budgets are required to be sent to the County Clerk </t>
    </r>
    <r>
      <rPr>
        <b/>
        <sz val="12"/>
        <rFont val="Times New Roman"/>
        <family val="1"/>
      </rPr>
      <t>by August 25</t>
    </r>
    <r>
      <rPr>
        <sz val="12"/>
        <rFont val="Times New Roman"/>
        <family val="1"/>
      </rPr>
      <t xml:space="preserve"> of each year. </t>
    </r>
  </si>
  <si>
    <t>10.  Individual fund sheets (tab names gen, levy pages and nolevy pages) need to be completed, using only those you need and numbering each page used.  When the fund pages are completed, the totals will be shown on the Certificate and Budget Summary pages.</t>
  </si>
  <si>
    <t xml:space="preserve">12.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</si>
  <si>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r>
      <t xml:space="preserve">12a. The first green shaded area, you will need to enter the date, month, change the 'YYYY' to the current year, time, and location of the budget hearing.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</si>
  <si>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12b. The second green shaded area, you will to provide the location where the budget information will be available for review.</t>
  </si>
  <si>
    <t>12c. The third green shaded area, provide the title of person that will be signing the form.</t>
  </si>
  <si>
    <t>12d. The fourth green shaded area, enter the page number.</t>
  </si>
  <si>
    <t xml:space="preserve">12e. Before printing, review the form to ensure all the information is provided and the figures are correct. Print the page, have official sign it, and take to the local newspaper for printing. </t>
  </si>
  <si>
    <t>12f.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</si>
  <si>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t>24. Expanded on the preparation of budget note 12 for instructions for the Notice of Budget Hearing.</t>
  </si>
  <si>
    <t>25. Added to instruction for submission that deadline for submission to clerk Aug 25.</t>
  </si>
  <si>
    <t>Slider Estimate:</t>
  </si>
  <si>
    <t>Total Slider Estimate</t>
  </si>
  <si>
    <t>ALLOCATION OF MOTOR, RECREATIONAL,16/20M VEHICLE TAXES &amp; SLIDER</t>
  </si>
  <si>
    <t>26. Added 'excluding oil, gas, and mobile homes' to lines 20 and 34 on Clerks budget info on tab inputoth.</t>
  </si>
  <si>
    <t>1. Input tab (inputPrYr) added column for the current year expenditures.</t>
  </si>
  <si>
    <t>2. Added to all tax levy fund pages the miscellaneous receipt for the proposed year comparison takes into account the ad valorem taxes for the 10% Rule.</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</si>
  <si>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</si>
  <si>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</si>
  <si>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</si>
  <si>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</si>
  <si>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4. All tax levy fund pages abbreviated the non-appropriated, total expenditures/non-appropriated, and delinquency computation rate.</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</si>
  <si>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</si>
  <si>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</si>
  <si>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</si>
  <si>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</si>
  <si>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</si>
  <si>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</si>
  <si>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</si>
  <si>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12. Added instruction lines 9g to 9l for additional edits for budget authority.</t>
  </si>
  <si>
    <t>13. Added Non-budgeted fund form and link to certificate and summary pages.</t>
  </si>
  <si>
    <t>The following were changed to this spreadsheet on 10/24/2008</t>
  </si>
  <si>
    <t xml:space="preserve">Prior Year </t>
  </si>
  <si>
    <t>Prior Year</t>
  </si>
  <si>
    <t xml:space="preserve">Current Year </t>
  </si>
  <si>
    <t xml:space="preserve">Proposed Budget </t>
  </si>
  <si>
    <t>Proposed Budget</t>
  </si>
  <si>
    <t>Non-Appr Bal</t>
  </si>
  <si>
    <t>Tot Exp/Non-Appr Bal</t>
  </si>
  <si>
    <t>Del Comp Rate:</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</si>
  <si>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</si>
  <si>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</si>
  <si>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</si>
  <si>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</si>
  <si>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</si>
  <si>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</si>
  <si>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</si>
  <si>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</si>
  <si>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</si>
  <si>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</si>
  <si>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</si>
  <si>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</si>
  <si>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</si>
  <si>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5.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</si>
  <si>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This spreadsheet has tabs for General Fund (gen), Debt Service (DebtService), two tax levy pages (levypage8), two non-budgeted levy pages (nolevypage9), one non-budgeted pages which holds five funds (NonBud), Budget Summary page (summ), and Resolution page (Resolution).</t>
  </si>
  <si>
    <t>3b. If the special district chooses not to use the delinquency rate for all tax levy funds, then the township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</si>
  <si>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t>5b. Print the Resolution page (resolution) if the max levy is exceeded.  Complete the printed resolution and ensure to attached it to the budget.</t>
  </si>
  <si>
    <r>
      <t xml:space="preserve">9.  Statement of Conditional Lease, Lease-Purchases and Certificate of Participation (lpform) must be completed for all transactions which at the end of the least period the item will be owned by the special district.  Principal Balance Due for the actual year is shown on the Budget Summary page and prior years are linked from the input page (inputpryr). </t>
    </r>
    <r>
      <rPr>
        <b/>
        <sz val="12"/>
        <rFont val="Times New Roman"/>
        <family val="1"/>
      </rPr>
      <t>If the special district does not have any leases, then on the first line enter 'none'.</t>
    </r>
  </si>
  <si>
    <r>
      <t>10d. A comparison is made between the budget authority for the current year and total expenditures for the current budget expenditures as shown in the budget. If the current year adjusted expenditures are more than the budget authority, then a violation has occurred and red '</t>
    </r>
    <r>
      <rPr>
        <sz val="12"/>
        <color indexed="10"/>
        <rFont val="Times New Roman"/>
        <family val="1"/>
      </rPr>
      <t>Yes</t>
    </r>
    <r>
      <rPr>
        <sz val="12"/>
        <rFont val="Times New Roman"/>
        <family val="1"/>
      </rPr>
      <t>' will appear and expenditure block turns red. Corrective action is to lower the expenditures to bring within the budget authority amount, unless the budget is amended before the proposed budget is approved. If amended, then the inputoth tab should be corrected for the new expenditures budget authority. If a violation does not occur, then a red '</t>
    </r>
    <r>
      <rPr>
        <sz val="12"/>
        <color indexed="10"/>
        <rFont val="Times New Roman"/>
        <family val="1"/>
      </rPr>
      <t>No</t>
    </r>
    <r>
      <rPr>
        <sz val="12"/>
        <rFont val="Times New Roman"/>
        <family val="1"/>
      </rPr>
      <t>' will appear.</t>
    </r>
  </si>
  <si>
    <r>
      <t xml:space="preserve">10e.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In order to remove the statement and return the block to normal, you must reduce the amount to either 10% or less.</t>
    </r>
  </si>
  <si>
    <t>10f. The Debt Service fund page (DebtService) can contain all debts owe by the special district and the amounts should agree with the Statement of Indebtedness amounts.  Debts that are not from a tax levy fund should have enough funds transferred into the Debt Service fund to cover the bond principle and interest for these debts.</t>
  </si>
  <si>
    <t>5a. The information for Computation to Determine Limit page (computation) comes from data on the input pages (inputpryr and inputoth). If a error is found, please correct the information from the input pages.</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</si>
  <si>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</si>
  <si>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</si>
  <si>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</si>
  <si>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106 change from Budget Summary to Budget Certificate.</t>
  </si>
  <si>
    <t>Debt Service</t>
  </si>
  <si>
    <t>The following were changed to this spreadsheet on 3/19/09</t>
  </si>
  <si>
    <t>1. Certificate page change fund name Bond &amp; Interest to Debt Service</t>
  </si>
  <si>
    <t>2. Debt Service fund page name from Bond &amp; Interest to Debt Service</t>
  </si>
  <si>
    <t>3. Budget Summary page fund name from Bond &amp; Interest to Debt Service</t>
  </si>
  <si>
    <t>The following were changed to this spreadsheet on 5/08/09</t>
  </si>
  <si>
    <t xml:space="preserve">1. InputPrYr tab, cell d21, changed from d11 to d11-1 in order to correct date </t>
  </si>
  <si>
    <t>Fairview</t>
  </si>
  <si>
    <t>Thomas</t>
  </si>
  <si>
    <t>Sheridan</t>
  </si>
  <si>
    <t>80-92</t>
  </si>
  <si>
    <t>Shelly A. Harms</t>
  </si>
  <si>
    <t>Thomas County Clerk</t>
  </si>
  <si>
    <t>300 N. Court Ave.</t>
  </si>
  <si>
    <t>Colby, KS  67701</t>
  </si>
  <si>
    <t>Sheridan County</t>
  </si>
  <si>
    <t>Transfer of Funds</t>
  </si>
  <si>
    <t>Sale of Lots</t>
  </si>
  <si>
    <t>Operations/Equipment</t>
  </si>
  <si>
    <t>Repairs</t>
  </si>
  <si>
    <t>Registry building and lot markers</t>
  </si>
  <si>
    <t>Supplies</t>
  </si>
  <si>
    <t>Utilities/Weed Treatment</t>
  </si>
  <si>
    <t>Svc chg/bond/budget/safety deposit box/bookkeeping</t>
  </si>
  <si>
    <t xml:space="preserve">Detailed budget information is available at the Jack Steiger residence at 3526 County Rd O, Menlo, KS) </t>
  </si>
  <si>
    <t>will meet on the 4th day of August, 2009, at  7:00 p.m. at the Jack Steiger residence (3526 Co Rd O, Menlo, KS) for the purpose of</t>
  </si>
  <si>
    <t>Leona Steiger</t>
  </si>
  <si>
    <t>Treasurer</t>
  </si>
</sst>
</file>

<file path=xl/styles.xml><?xml version="1.0" encoding="utf-8"?>
<styleSheet xmlns="http://schemas.openxmlformats.org/spreadsheetml/2006/main">
  <numFmts count="13">
    <numFmt numFmtId="43" formatCode="_(* #,##0.00_);_(* \(#,##0.00\);_(* &quot;-&quot;??_);_(@_)"/>
    <numFmt numFmtId="164" formatCode="0.000_)"/>
    <numFmt numFmtId="165" formatCode="0_)"/>
    <numFmt numFmtId="166" formatCode="0.00000_)"/>
    <numFmt numFmtId="167" formatCode="#,##0.00000_);\(#,##0.00000\)"/>
    <numFmt numFmtId="168" formatCode="0.00000"/>
    <numFmt numFmtId="169" formatCode="_(* #,##0_);_(* \(#,##0\);_(* &quot;-&quot;??_);_(@_)"/>
    <numFmt numFmtId="170" formatCode="m/d/yy"/>
    <numFmt numFmtId="171" formatCode="m/d"/>
    <numFmt numFmtId="172" formatCode="#,##0.000_);\(#,##0.000\)"/>
    <numFmt numFmtId="173" formatCode="0.000%"/>
    <numFmt numFmtId="174" formatCode="0.000"/>
    <numFmt numFmtId="175" formatCode="#,##0.000"/>
  </numFmts>
  <fonts count="26">
    <font>
      <sz val="12"/>
      <name val="Courier"/>
    </font>
    <font>
      <b/>
      <sz val="12"/>
      <name val="Courier"/>
    </font>
    <font>
      <sz val="12"/>
      <name val="Courier"/>
    </font>
    <font>
      <sz val="12"/>
      <name val="Times New Roman"/>
      <family val="1"/>
    </font>
    <font>
      <b/>
      <sz val="12"/>
      <name val="Times New Roman"/>
      <family val="1"/>
    </font>
    <font>
      <u/>
      <sz val="12"/>
      <name val="Times New Roman"/>
      <family val="1"/>
    </font>
    <font>
      <sz val="11"/>
      <name val="Times New Roman"/>
      <family val="1"/>
    </font>
    <font>
      <sz val="10"/>
      <name val="Times New Roman"/>
      <family val="1"/>
    </font>
    <font>
      <sz val="14"/>
      <name val="Times New Roman"/>
      <family val="1"/>
    </font>
    <font>
      <sz val="12"/>
      <name val="Courier New"/>
    </font>
    <font>
      <u/>
      <sz val="12"/>
      <color indexed="12"/>
      <name val="Courier New"/>
    </font>
    <font>
      <sz val="8"/>
      <name val="Courier New"/>
    </font>
    <font>
      <i/>
      <sz val="11"/>
      <name val="Times New Roman"/>
      <family val="1"/>
    </font>
    <font>
      <b/>
      <sz val="11"/>
      <name val="Times New Roman"/>
      <family val="1"/>
    </font>
    <font>
      <b/>
      <sz val="8"/>
      <name val="Times New Roman"/>
      <family val="1"/>
    </font>
    <font>
      <sz val="8"/>
      <name val="Courier"/>
    </font>
    <font>
      <b/>
      <u/>
      <sz val="12"/>
      <color indexed="10"/>
      <name val="Times New Roman"/>
      <family val="1"/>
    </font>
    <font>
      <b/>
      <u/>
      <sz val="12"/>
      <name val="Courier"/>
    </font>
    <font>
      <sz val="10"/>
      <name val="Courier"/>
    </font>
    <font>
      <b/>
      <u/>
      <sz val="12"/>
      <name val="Times New Roman"/>
      <family val="1"/>
    </font>
    <font>
      <sz val="12"/>
      <color indexed="10"/>
      <name val="Times New Roman"/>
      <family val="1"/>
    </font>
    <font>
      <sz val="12"/>
      <color indexed="10"/>
      <name val="Courier"/>
    </font>
    <font>
      <b/>
      <sz val="12"/>
      <color indexed="10"/>
      <name val="Times New Roman"/>
      <family val="1"/>
    </font>
    <font>
      <i/>
      <sz val="12"/>
      <name val="Times New Roman"/>
      <family val="1"/>
    </font>
    <font>
      <sz val="8"/>
      <name val="Times New Roman"/>
      <family val="1"/>
    </font>
    <font>
      <sz val="8"/>
      <color indexed="10"/>
      <name val="Times New Roman"/>
      <family val="1"/>
    </font>
  </fonts>
  <fills count="12">
    <fill>
      <patternFill patternType="none"/>
    </fill>
    <fill>
      <patternFill patternType="gray125"/>
    </fill>
    <fill>
      <patternFill patternType="solid">
        <fgColor indexed="11"/>
      </patternFill>
    </fill>
    <fill>
      <patternFill patternType="solid">
        <fgColor indexed="11"/>
        <bgColor indexed="64"/>
      </patternFill>
    </fill>
    <fill>
      <patternFill patternType="solid">
        <fgColor indexed="26"/>
        <bgColor indexed="64"/>
      </patternFill>
    </fill>
    <fill>
      <patternFill patternType="solid">
        <fgColor indexed="15"/>
        <bgColor indexed="64"/>
      </patternFill>
    </fill>
    <fill>
      <patternFill patternType="solid">
        <fgColor indexed="41"/>
        <bgColor indexed="64"/>
      </patternFill>
    </fill>
    <fill>
      <patternFill patternType="solid">
        <fgColor indexed="35"/>
        <bgColor indexed="64"/>
      </patternFill>
    </fill>
    <fill>
      <patternFill patternType="solid">
        <fgColor indexed="10"/>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ouble">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double">
        <color indexed="64"/>
      </bottom>
      <diagonal/>
    </border>
  </borders>
  <cellStyleXfs count="6">
    <xf numFmtId="0" fontId="0" fillId="0" borderId="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2" fillId="0" borderId="0"/>
    <xf numFmtId="0" fontId="2" fillId="0" borderId="0"/>
    <xf numFmtId="0" fontId="9" fillId="0" borderId="0"/>
  </cellStyleXfs>
  <cellXfs count="510">
    <xf numFmtId="0" fontId="0" fillId="0" borderId="0" xfId="0"/>
    <xf numFmtId="0" fontId="3" fillId="0" borderId="0" xfId="0" applyFont="1"/>
    <xf numFmtId="0" fontId="3" fillId="0" borderId="0" xfId="0" applyFont="1" applyAlignment="1" applyProtection="1">
      <alignment horizontal="left" wrapText="1"/>
    </xf>
    <xf numFmtId="0" fontId="3" fillId="0" borderId="0" xfId="0" applyFont="1" applyAlignment="1" applyProtection="1">
      <alignment wrapText="1"/>
    </xf>
    <xf numFmtId="0" fontId="3" fillId="0" borderId="0" xfId="0" applyFont="1" applyAlignment="1">
      <alignment wrapText="1"/>
    </xf>
    <xf numFmtId="0" fontId="3" fillId="0" borderId="0" xfId="0" applyFont="1" applyProtection="1"/>
    <xf numFmtId="0" fontId="4" fillId="0" borderId="0" xfId="0" applyFont="1" applyAlignment="1" applyProtection="1">
      <alignment horizontal="centerContinuous"/>
    </xf>
    <xf numFmtId="0" fontId="4" fillId="0" borderId="0" xfId="0" applyFont="1"/>
    <xf numFmtId="0" fontId="3" fillId="0" borderId="0" xfId="0" applyFont="1" applyAlignment="1">
      <alignment horizontal="left"/>
    </xf>
    <xf numFmtId="0" fontId="4" fillId="0" borderId="0" xfId="0" applyFont="1" applyAlignment="1" applyProtection="1">
      <alignment horizontal="center"/>
    </xf>
    <xf numFmtId="0" fontId="4" fillId="0" borderId="0" xfId="0" applyFont="1" applyAlignment="1">
      <alignment horizontal="center"/>
    </xf>
    <xf numFmtId="0" fontId="3" fillId="0" borderId="0" xfId="0" applyFont="1" applyAlignment="1" applyProtection="1">
      <alignment vertical="top" wrapText="1"/>
    </xf>
    <xf numFmtId="0" fontId="3" fillId="0" borderId="0" xfId="0" applyFont="1" applyAlignment="1" applyProtection="1">
      <alignment horizontal="left"/>
      <protection locked="0"/>
    </xf>
    <xf numFmtId="0" fontId="3" fillId="0" borderId="0" xfId="0" applyFont="1" applyProtection="1">
      <protection locked="0"/>
    </xf>
    <xf numFmtId="0" fontId="3" fillId="2" borderId="1" xfId="0" applyFont="1" applyFill="1" applyBorder="1" applyProtection="1">
      <protection locked="0"/>
    </xf>
    <xf numFmtId="3" fontId="3" fillId="2" borderId="1" xfId="0" applyNumberFormat="1" applyFont="1" applyFill="1" applyBorder="1" applyProtection="1">
      <protection locked="0"/>
    </xf>
    <xf numFmtId="164" fontId="3" fillId="2" borderId="1" xfId="0" applyNumberFormat="1" applyFont="1" applyFill="1" applyBorder="1" applyProtection="1">
      <protection locked="0"/>
    </xf>
    <xf numFmtId="3" fontId="3" fillId="2" borderId="2" xfId="0" applyNumberFormat="1" applyFont="1" applyFill="1" applyBorder="1" applyProtection="1">
      <protection locked="0"/>
    </xf>
    <xf numFmtId="3" fontId="3" fillId="2" borderId="3" xfId="0" applyNumberFormat="1" applyFont="1" applyFill="1" applyBorder="1" applyProtection="1">
      <protection locked="0"/>
    </xf>
    <xf numFmtId="0" fontId="3" fillId="3" borderId="2" xfId="0" applyFont="1" applyFill="1" applyBorder="1" applyProtection="1">
      <protection locked="0"/>
    </xf>
    <xf numFmtId="0" fontId="3" fillId="3" borderId="0" xfId="0" applyFont="1" applyFill="1" applyProtection="1">
      <protection locked="0"/>
    </xf>
    <xf numFmtId="37" fontId="3" fillId="2" borderId="1" xfId="0" applyNumberFormat="1" applyFont="1" applyFill="1" applyBorder="1" applyProtection="1">
      <protection locked="0"/>
    </xf>
    <xf numFmtId="0" fontId="3" fillId="3" borderId="1" xfId="0" applyFont="1" applyFill="1" applyBorder="1" applyAlignment="1" applyProtection="1">
      <alignment horizontal="left"/>
      <protection locked="0"/>
    </xf>
    <xf numFmtId="0" fontId="3" fillId="3" borderId="1" xfId="0" applyFont="1" applyFill="1" applyBorder="1" applyProtection="1">
      <protection locked="0"/>
    </xf>
    <xf numFmtId="0" fontId="3" fillId="2" borderId="0" xfId="0" applyFont="1" applyFill="1" applyAlignment="1" applyProtection="1">
      <alignment horizontal="centerContinuous"/>
      <protection locked="0"/>
    </xf>
    <xf numFmtId="37" fontId="3" fillId="3" borderId="0" xfId="0" applyNumberFormat="1" applyFont="1" applyFill="1" applyAlignment="1" applyProtection="1">
      <alignment horizontal="centerContinuous"/>
      <protection locked="0"/>
    </xf>
    <xf numFmtId="0" fontId="3" fillId="3" borderId="0" xfId="0" applyFont="1" applyFill="1" applyAlignment="1" applyProtection="1">
      <alignment horizontal="centerContinuous"/>
      <protection locked="0"/>
    </xf>
    <xf numFmtId="2" fontId="3" fillId="2" borderId="1" xfId="0" applyNumberFormat="1" applyFont="1" applyFill="1" applyBorder="1" applyProtection="1">
      <protection locked="0"/>
    </xf>
    <xf numFmtId="0" fontId="3" fillId="0" borderId="0" xfId="3" applyFont="1" applyProtection="1">
      <protection locked="0"/>
    </xf>
    <xf numFmtId="0" fontId="3" fillId="0" borderId="0" xfId="4" applyFont="1"/>
    <xf numFmtId="1" fontId="3" fillId="2" borderId="1" xfId="0" applyNumberFormat="1" applyFont="1" applyFill="1" applyBorder="1" applyProtection="1">
      <protection locked="0"/>
    </xf>
    <xf numFmtId="37" fontId="3" fillId="3" borderId="3" xfId="0" applyNumberFormat="1" applyFont="1" applyFill="1" applyBorder="1" applyProtection="1">
      <protection locked="0"/>
    </xf>
    <xf numFmtId="0" fontId="3" fillId="4" borderId="0" xfId="0" applyFont="1" applyFill="1" applyProtection="1"/>
    <xf numFmtId="37" fontId="3" fillId="4" borderId="0" xfId="0" applyNumberFormat="1" applyFont="1" applyFill="1" applyAlignment="1" applyProtection="1">
      <alignment horizontal="centerContinuous"/>
    </xf>
    <xf numFmtId="0" fontId="3" fillId="4" borderId="0" xfId="0" applyFont="1" applyFill="1" applyAlignment="1" applyProtection="1">
      <alignment horizontal="centerContinuous"/>
    </xf>
    <xf numFmtId="0" fontId="3" fillId="4" borderId="0" xfId="0" applyFont="1" applyFill="1" applyAlignment="1" applyProtection="1">
      <alignment horizontal="left"/>
    </xf>
    <xf numFmtId="0" fontId="3" fillId="4" borderId="0" xfId="0" applyFont="1" applyFill="1" applyAlignment="1" applyProtection="1">
      <alignment horizontal="fill"/>
    </xf>
    <xf numFmtId="0" fontId="3" fillId="4" borderId="2" xfId="0" applyFont="1" applyFill="1" applyBorder="1" applyAlignment="1" applyProtection="1">
      <alignment horizontal="fill"/>
    </xf>
    <xf numFmtId="0" fontId="3" fillId="4" borderId="0" xfId="0" applyFont="1" applyFill="1" applyBorder="1" applyAlignment="1" applyProtection="1">
      <alignment horizontal="fill"/>
    </xf>
    <xf numFmtId="0" fontId="3" fillId="4" borderId="2" xfId="0" applyFont="1" applyFill="1" applyBorder="1" applyProtection="1"/>
    <xf numFmtId="0" fontId="3" fillId="4" borderId="4" xfId="0" applyFont="1" applyFill="1" applyBorder="1" applyAlignment="1" applyProtection="1">
      <alignment horizontal="left"/>
    </xf>
    <xf numFmtId="0" fontId="3" fillId="4" borderId="5" xfId="0" applyFont="1" applyFill="1" applyBorder="1" applyAlignment="1" applyProtection="1">
      <alignment horizontal="center"/>
    </xf>
    <xf numFmtId="0" fontId="3" fillId="4" borderId="6" xfId="0" applyFont="1" applyFill="1" applyBorder="1" applyAlignment="1" applyProtection="1">
      <alignment horizontal="center"/>
    </xf>
    <xf numFmtId="0" fontId="3" fillId="4" borderId="4" xfId="0" applyFont="1" applyFill="1" applyBorder="1" applyAlignment="1" applyProtection="1">
      <alignment horizontal="center"/>
    </xf>
    <xf numFmtId="0" fontId="3" fillId="4" borderId="7" xfId="0" applyFont="1" applyFill="1" applyBorder="1" applyAlignment="1" applyProtection="1">
      <alignment horizontal="fill"/>
    </xf>
    <xf numFmtId="0" fontId="3" fillId="4" borderId="8" xfId="0" applyFont="1" applyFill="1" applyBorder="1" applyAlignment="1" applyProtection="1">
      <alignment horizontal="fill"/>
    </xf>
    <xf numFmtId="0" fontId="5" fillId="4" borderId="9" xfId="0" applyFont="1" applyFill="1" applyBorder="1" applyAlignment="1" applyProtection="1">
      <alignment horizontal="left"/>
    </xf>
    <xf numFmtId="0" fontId="3" fillId="4" borderId="10" xfId="0" applyFont="1" applyFill="1" applyBorder="1" applyProtection="1"/>
    <xf numFmtId="0" fontId="5" fillId="4" borderId="1" xfId="0" applyFont="1" applyFill="1" applyBorder="1" applyAlignment="1" applyProtection="1">
      <alignment horizontal="center"/>
    </xf>
    <xf numFmtId="0" fontId="3" fillId="4" borderId="1" xfId="0" applyFont="1" applyFill="1" applyBorder="1" applyProtection="1"/>
    <xf numFmtId="0" fontId="3" fillId="4" borderId="9" xfId="0" applyFont="1" applyFill="1" applyBorder="1" applyAlignment="1" applyProtection="1">
      <alignment horizontal="left"/>
    </xf>
    <xf numFmtId="3" fontId="3" fillId="4" borderId="1" xfId="0" applyNumberFormat="1" applyFont="1" applyFill="1" applyBorder="1" applyProtection="1"/>
    <xf numFmtId="0" fontId="3" fillId="4" borderId="9" xfId="0" applyFont="1" applyFill="1" applyBorder="1" applyProtection="1"/>
    <xf numFmtId="37" fontId="3" fillId="4" borderId="1" xfId="0" applyNumberFormat="1" applyFont="1" applyFill="1" applyBorder="1" applyProtection="1"/>
    <xf numFmtId="0" fontId="3" fillId="4" borderId="1" xfId="0" applyFont="1" applyFill="1" applyBorder="1" applyAlignment="1" applyProtection="1">
      <alignment horizontal="fill"/>
    </xf>
    <xf numFmtId="3" fontId="3" fillId="4" borderId="11" xfId="0" applyNumberFormat="1" applyFont="1" applyFill="1" applyBorder="1" applyProtection="1"/>
    <xf numFmtId="37" fontId="3" fillId="4" borderId="11" xfId="0" applyNumberFormat="1" applyFont="1" applyFill="1" applyBorder="1" applyProtection="1"/>
    <xf numFmtId="0" fontId="3" fillId="4" borderId="12" xfId="0" applyFont="1" applyFill="1" applyBorder="1" applyAlignment="1" applyProtection="1">
      <alignment horizontal="left"/>
    </xf>
    <xf numFmtId="0" fontId="3" fillId="4" borderId="13" xfId="0" applyFont="1" applyFill="1" applyBorder="1" applyProtection="1"/>
    <xf numFmtId="0" fontId="3" fillId="4" borderId="0" xfId="0" applyFont="1" applyFill="1" applyBorder="1" applyProtection="1"/>
    <xf numFmtId="0" fontId="3" fillId="4" borderId="14" xfId="0" applyFont="1" applyFill="1" applyBorder="1" applyAlignment="1" applyProtection="1">
      <alignment horizontal="left"/>
    </xf>
    <xf numFmtId="0" fontId="3" fillId="4" borderId="5" xfId="0" applyFont="1" applyFill="1" applyBorder="1" applyProtection="1"/>
    <xf numFmtId="0" fontId="3" fillId="4" borderId="8" xfId="0" applyFont="1" applyFill="1" applyBorder="1" applyProtection="1"/>
    <xf numFmtId="0" fontId="3" fillId="4" borderId="0" xfId="0" applyFont="1" applyFill="1"/>
    <xf numFmtId="3" fontId="3" fillId="4" borderId="2" xfId="0" applyNumberFormat="1" applyFont="1" applyFill="1" applyBorder="1" applyProtection="1"/>
    <xf numFmtId="3" fontId="3" fillId="4" borderId="3" xfId="0" applyNumberFormat="1" applyFont="1" applyFill="1" applyBorder="1" applyProtection="1"/>
    <xf numFmtId="3" fontId="3" fillId="4" borderId="0" xfId="0" applyNumberFormat="1" applyFont="1" applyFill="1" applyProtection="1"/>
    <xf numFmtId="0" fontId="3" fillId="4" borderId="0" xfId="0" applyFont="1" applyFill="1" applyProtection="1">
      <protection locked="0"/>
    </xf>
    <xf numFmtId="0" fontId="3" fillId="4" borderId="0" xfId="0" applyFont="1" applyFill="1" applyAlignment="1" applyProtection="1">
      <alignment horizontal="centerContinuous"/>
      <protection locked="0"/>
    </xf>
    <xf numFmtId="0" fontId="3" fillId="4" borderId="4" xfId="0" applyFont="1" applyFill="1" applyBorder="1" applyAlignment="1" applyProtection="1">
      <alignment horizontal="center"/>
      <protection locked="0"/>
    </xf>
    <xf numFmtId="0" fontId="3" fillId="4" borderId="7" xfId="0" applyFont="1" applyFill="1" applyBorder="1" applyAlignment="1" applyProtection="1">
      <alignment horizontal="center"/>
      <protection locked="0"/>
    </xf>
    <xf numFmtId="0" fontId="3" fillId="4" borderId="1" xfId="0" applyFont="1" applyFill="1" applyBorder="1" applyAlignment="1" applyProtection="1">
      <alignment horizontal="center"/>
      <protection locked="0"/>
    </xf>
    <xf numFmtId="0" fontId="3" fillId="4" borderId="0" xfId="0" applyFont="1" applyFill="1" applyBorder="1" applyProtection="1">
      <protection locked="0"/>
    </xf>
    <xf numFmtId="0" fontId="3" fillId="4" borderId="2" xfId="0" applyFont="1" applyFill="1" applyBorder="1" applyAlignment="1" applyProtection="1">
      <alignment horizontal="fill"/>
      <protection locked="0"/>
    </xf>
    <xf numFmtId="0" fontId="4" fillId="4" borderId="0" xfId="0" applyFont="1" applyFill="1" applyProtection="1"/>
    <xf numFmtId="0" fontId="3" fillId="4" borderId="1" xfId="0" applyFont="1" applyFill="1" applyBorder="1" applyAlignment="1" applyProtection="1">
      <alignment horizontal="left"/>
    </xf>
    <xf numFmtId="165" fontId="3" fillId="4" borderId="0" xfId="0" applyNumberFormat="1" applyFont="1" applyFill="1" applyProtection="1">
      <protection locked="0"/>
    </xf>
    <xf numFmtId="1" fontId="3" fillId="4" borderId="6" xfId="0" applyNumberFormat="1" applyFont="1" applyFill="1" applyBorder="1" applyAlignment="1" applyProtection="1">
      <alignment horizontal="center"/>
    </xf>
    <xf numFmtId="37" fontId="3" fillId="4" borderId="6" xfId="0" applyNumberFormat="1" applyFont="1" applyFill="1" applyBorder="1" applyAlignment="1" applyProtection="1">
      <alignment horizontal="center"/>
    </xf>
    <xf numFmtId="37" fontId="3" fillId="4" borderId="0" xfId="0" applyNumberFormat="1" applyFont="1" applyFill="1" applyProtection="1"/>
    <xf numFmtId="0" fontId="3" fillId="4" borderId="0" xfId="0" applyFont="1" applyFill="1" applyAlignment="1" applyProtection="1">
      <alignment horizontal="right"/>
    </xf>
    <xf numFmtId="37" fontId="3" fillId="4" borderId="0" xfId="0" applyNumberFormat="1" applyFont="1" applyFill="1" applyAlignment="1" applyProtection="1">
      <alignment horizontal="right"/>
    </xf>
    <xf numFmtId="37" fontId="3" fillId="4" borderId="0" xfId="0" applyNumberFormat="1" applyFont="1" applyFill="1" applyAlignment="1" applyProtection="1">
      <alignment horizontal="left"/>
    </xf>
    <xf numFmtId="165" fontId="3" fillId="4" borderId="0" xfId="0" applyNumberFormat="1" applyFont="1" applyFill="1" applyProtection="1"/>
    <xf numFmtId="165" fontId="3" fillId="4" borderId="0" xfId="0" quotePrefix="1" applyNumberFormat="1" applyFont="1" applyFill="1" applyAlignment="1" applyProtection="1">
      <alignment horizontal="right"/>
    </xf>
    <xf numFmtId="0" fontId="3" fillId="4" borderId="0" xfId="0" applyFont="1" applyFill="1" applyAlignment="1" applyProtection="1">
      <alignment horizontal="left"/>
      <protection locked="0"/>
    </xf>
    <xf numFmtId="37" fontId="3" fillId="4" borderId="0" xfId="0" applyNumberFormat="1" applyFont="1" applyFill="1" applyProtection="1">
      <protection locked="0"/>
    </xf>
    <xf numFmtId="0" fontId="3" fillId="4" borderId="7" xfId="0" applyFont="1" applyFill="1" applyBorder="1" applyAlignment="1" applyProtection="1">
      <alignment horizontal="center"/>
    </xf>
    <xf numFmtId="0" fontId="3" fillId="4" borderId="7" xfId="0" applyFont="1" applyFill="1" applyBorder="1" applyAlignment="1" applyProtection="1">
      <alignment horizontal="left"/>
    </xf>
    <xf numFmtId="37" fontId="3" fillId="4" borderId="2" xfId="0" applyNumberFormat="1" applyFont="1" applyFill="1" applyBorder="1" applyProtection="1"/>
    <xf numFmtId="166" fontId="3" fillId="4" borderId="0" xfId="0" applyNumberFormat="1" applyFont="1" applyFill="1" applyBorder="1" applyProtection="1"/>
    <xf numFmtId="167" fontId="3" fillId="4" borderId="0" xfId="0" applyNumberFormat="1" applyFont="1" applyFill="1" applyBorder="1" applyProtection="1"/>
    <xf numFmtId="37" fontId="3" fillId="4" borderId="0" xfId="0" applyNumberFormat="1" applyFont="1" applyFill="1" applyAlignment="1" applyProtection="1">
      <alignment horizontal="centerContinuous"/>
      <protection locked="0"/>
    </xf>
    <xf numFmtId="0" fontId="3" fillId="4" borderId="0" xfId="0" applyFont="1" applyFill="1" applyAlignment="1">
      <alignment horizontal="centerContinuous"/>
    </xf>
    <xf numFmtId="164" fontId="3" fillId="4" borderId="1" xfId="0" applyNumberFormat="1" applyFont="1" applyFill="1" applyBorder="1" applyProtection="1"/>
    <xf numFmtId="0" fontId="3" fillId="4" borderId="1" xfId="0" applyFont="1" applyFill="1" applyBorder="1" applyProtection="1">
      <protection locked="0"/>
    </xf>
    <xf numFmtId="164" fontId="3" fillId="4" borderId="11" xfId="0" applyNumberFormat="1" applyFont="1" applyFill="1" applyBorder="1" applyProtection="1"/>
    <xf numFmtId="37" fontId="4" fillId="4" borderId="0" xfId="0" applyNumberFormat="1" applyFont="1" applyFill="1" applyAlignment="1" applyProtection="1">
      <alignment horizontal="centerContinuous" vertical="justify"/>
    </xf>
    <xf numFmtId="0" fontId="3" fillId="4" borderId="0" xfId="0" applyFont="1" applyFill="1" applyAlignment="1" applyProtection="1">
      <alignment horizontal="centerContinuous" vertical="justify"/>
    </xf>
    <xf numFmtId="0" fontId="3" fillId="4" borderId="0" xfId="0" applyFont="1" applyFill="1" applyAlignment="1" applyProtection="1">
      <alignment horizontal="center"/>
    </xf>
    <xf numFmtId="37" fontId="3" fillId="4" borderId="0" xfId="0" applyNumberFormat="1" applyFont="1" applyFill="1" applyBorder="1" applyAlignment="1" applyProtection="1">
      <alignment horizontal="left"/>
    </xf>
    <xf numFmtId="0" fontId="3" fillId="4" borderId="0" xfId="0" applyFont="1" applyFill="1" applyAlignment="1" applyProtection="1">
      <alignment wrapText="1"/>
    </xf>
    <xf numFmtId="0" fontId="3" fillId="3" borderId="0" xfId="0" applyFont="1" applyFill="1" applyProtection="1"/>
    <xf numFmtId="0" fontId="3" fillId="2" borderId="2" xfId="0" applyFont="1" applyFill="1" applyBorder="1" applyAlignment="1" applyProtection="1">
      <alignment horizontal="left"/>
      <protection locked="0"/>
    </xf>
    <xf numFmtId="0" fontId="3" fillId="2" borderId="3" xfId="0" applyFont="1" applyFill="1" applyBorder="1" applyAlignment="1" applyProtection="1">
      <alignment horizontal="left"/>
      <protection locked="0"/>
    </xf>
    <xf numFmtId="0" fontId="3" fillId="0" borderId="0" xfId="0" applyFont="1" applyFill="1"/>
    <xf numFmtId="0" fontId="3" fillId="5" borderId="0" xfId="0" applyFont="1" applyFill="1" applyProtection="1"/>
    <xf numFmtId="37" fontId="4" fillId="6" borderId="0" xfId="0" applyNumberFormat="1" applyFont="1" applyFill="1" applyAlignment="1" applyProtection="1">
      <alignment horizontal="left"/>
    </xf>
    <xf numFmtId="0" fontId="3" fillId="6" borderId="0" xfId="0" applyFont="1" applyFill="1" applyProtection="1"/>
    <xf numFmtId="37" fontId="4" fillId="7" borderId="0" xfId="0" applyNumberFormat="1" applyFont="1" applyFill="1" applyAlignment="1" applyProtection="1">
      <alignment horizontal="left"/>
    </xf>
    <xf numFmtId="0" fontId="3" fillId="7" borderId="0" xfId="0" applyFont="1" applyFill="1" applyProtection="1"/>
    <xf numFmtId="0" fontId="3" fillId="7" borderId="0" xfId="0" applyFont="1" applyFill="1" applyAlignment="1" applyProtection="1">
      <alignment horizontal="centerContinuous"/>
    </xf>
    <xf numFmtId="37" fontId="4" fillId="4" borderId="0" xfId="0" applyNumberFormat="1" applyFont="1" applyFill="1" applyAlignment="1" applyProtection="1">
      <alignment horizontal="centerContinuous"/>
    </xf>
    <xf numFmtId="0" fontId="0" fillId="0" borderId="0" xfId="0" applyAlignment="1">
      <alignment vertical="top"/>
    </xf>
    <xf numFmtId="0" fontId="3" fillId="4" borderId="9" xfId="0" applyFont="1" applyFill="1" applyBorder="1" applyAlignment="1" applyProtection="1">
      <alignment horizontal="fill"/>
    </xf>
    <xf numFmtId="0" fontId="3" fillId="4" borderId="0" xfId="0" applyFont="1" applyFill="1" applyBorder="1" applyAlignment="1" applyProtection="1">
      <alignment horizontal="left"/>
    </xf>
    <xf numFmtId="0" fontId="4" fillId="4" borderId="9" xfId="0" applyFont="1" applyFill="1" applyBorder="1" applyAlignment="1" applyProtection="1">
      <alignment horizontal="left"/>
    </xf>
    <xf numFmtId="170" fontId="3" fillId="3" borderId="1" xfId="0" applyNumberFormat="1" applyFont="1" applyFill="1" applyBorder="1" applyAlignment="1" applyProtection="1">
      <alignment horizontal="left"/>
      <protection locked="0"/>
    </xf>
    <xf numFmtId="170" fontId="3" fillId="2" borderId="1" xfId="0" applyNumberFormat="1" applyFont="1" applyFill="1" applyBorder="1" applyProtection="1">
      <protection locked="0"/>
    </xf>
    <xf numFmtId="171" fontId="3" fillId="3" borderId="1" xfId="0" applyNumberFormat="1" applyFont="1" applyFill="1" applyBorder="1" applyAlignment="1" applyProtection="1">
      <alignment horizontal="left"/>
      <protection locked="0"/>
    </xf>
    <xf numFmtId="171" fontId="3" fillId="2" borderId="1" xfId="0" applyNumberFormat="1" applyFont="1" applyFill="1" applyBorder="1" applyProtection="1">
      <protection locked="0"/>
    </xf>
    <xf numFmtId="0" fontId="3" fillId="4" borderId="0" xfId="4" applyFont="1" applyFill="1" applyAlignment="1" applyProtection="1">
      <alignment horizontal="centerContinuous"/>
    </xf>
    <xf numFmtId="0" fontId="3" fillId="4" borderId="0" xfId="4" applyFont="1" applyFill="1" applyProtection="1"/>
    <xf numFmtId="0" fontId="3" fillId="4" borderId="14" xfId="4" applyFont="1" applyFill="1" applyBorder="1" applyProtection="1"/>
    <xf numFmtId="0" fontId="3" fillId="4" borderId="0" xfId="4" applyFont="1" applyFill="1" applyBorder="1" applyProtection="1"/>
    <xf numFmtId="0" fontId="3" fillId="4" borderId="0" xfId="3" applyFont="1" applyFill="1" applyProtection="1"/>
    <xf numFmtId="0" fontId="0" fillId="4" borderId="0" xfId="0" applyFill="1" applyProtection="1"/>
    <xf numFmtId="0" fontId="4" fillId="5" borderId="0" xfId="0" applyFont="1" applyFill="1" applyAlignment="1" applyProtection="1">
      <alignment horizontal="left"/>
    </xf>
    <xf numFmtId="0" fontId="7" fillId="5" borderId="0" xfId="0" applyFont="1" applyFill="1" applyProtection="1"/>
    <xf numFmtId="0" fontId="7" fillId="5" borderId="0" xfId="0" applyFont="1" applyFill="1" applyAlignment="1" applyProtection="1">
      <alignment horizontal="center"/>
    </xf>
    <xf numFmtId="172" fontId="3" fillId="4" borderId="11" xfId="0" applyNumberFormat="1" applyFont="1" applyFill="1" applyBorder="1" applyProtection="1"/>
    <xf numFmtId="0" fontId="3" fillId="0" borderId="0" xfId="0" applyFont="1" applyAlignment="1">
      <alignment horizontal="center"/>
    </xf>
    <xf numFmtId="0" fontId="9" fillId="0" borderId="0" xfId="5"/>
    <xf numFmtId="0" fontId="6" fillId="0" borderId="0" xfId="5" applyFont="1"/>
    <xf numFmtId="0" fontId="6" fillId="0" borderId="0" xfId="5" applyFont="1" applyAlignment="1">
      <alignment horizontal="left" indent="1"/>
    </xf>
    <xf numFmtId="0" fontId="14" fillId="0" borderId="0" xfId="5" applyFont="1"/>
    <xf numFmtId="0" fontId="12" fillId="0" borderId="0" xfId="0" applyFont="1" applyAlignment="1">
      <alignment horizontal="center"/>
    </xf>
    <xf numFmtId="0" fontId="6" fillId="0" borderId="0" xfId="0" applyFont="1" applyAlignment="1">
      <alignment horizontal="center"/>
    </xf>
    <xf numFmtId="0" fontId="6" fillId="0" borderId="0" xfId="0" applyFont="1"/>
    <xf numFmtId="0" fontId="6" fillId="0" borderId="0" xfId="0" applyFont="1" applyAlignment="1">
      <alignment horizontal="left" indent="9"/>
    </xf>
    <xf numFmtId="0" fontId="14" fillId="0" borderId="0" xfId="0" applyFont="1"/>
    <xf numFmtId="0" fontId="12" fillId="0" borderId="0" xfId="0" applyFont="1" applyAlignment="1">
      <alignment horizontal="left"/>
    </xf>
    <xf numFmtId="0" fontId="6" fillId="0" borderId="0" xfId="0" applyFont="1" applyAlignment="1">
      <alignment horizontal="left"/>
    </xf>
    <xf numFmtId="0" fontId="3" fillId="4" borderId="1" xfId="0" applyFont="1" applyFill="1" applyBorder="1" applyAlignment="1" applyProtection="1">
      <alignment horizontal="center"/>
    </xf>
    <xf numFmtId="3" fontId="3" fillId="4" borderId="1" xfId="0" applyNumberFormat="1" applyFont="1" applyFill="1" applyBorder="1" applyAlignment="1" applyProtection="1">
      <alignment horizontal="center"/>
    </xf>
    <xf numFmtId="0" fontId="3" fillId="4" borderId="0" xfId="0" applyNumberFormat="1" applyFont="1" applyFill="1" applyAlignment="1" applyProtection="1">
      <alignment horizontal="right"/>
    </xf>
    <xf numFmtId="0" fontId="4" fillId="4" borderId="0" xfId="0" applyFont="1" applyFill="1" applyAlignment="1" applyProtection="1">
      <alignment horizontal="center"/>
    </xf>
    <xf numFmtId="37" fontId="3" fillId="4" borderId="0" xfId="0" applyNumberFormat="1" applyFont="1" applyFill="1"/>
    <xf numFmtId="0" fontId="4" fillId="4" borderId="2" xfId="0" applyFont="1" applyFill="1" applyBorder="1" applyAlignment="1" applyProtection="1">
      <alignment horizontal="center"/>
    </xf>
    <xf numFmtId="0" fontId="4" fillId="4" borderId="6" xfId="0" applyFont="1" applyFill="1" applyBorder="1" applyAlignment="1" applyProtection="1">
      <alignment horizontal="center"/>
    </xf>
    <xf numFmtId="0" fontId="3" fillId="0" borderId="0" xfId="0" applyFont="1" applyAlignment="1" applyProtection="1">
      <alignment horizontal="center"/>
      <protection locked="0"/>
    </xf>
    <xf numFmtId="0" fontId="3" fillId="3" borderId="7" xfId="0" applyFont="1" applyFill="1" applyBorder="1" applyProtection="1">
      <protection locked="0"/>
    </xf>
    <xf numFmtId="0" fontId="5" fillId="3" borderId="1" xfId="0" applyFont="1" applyFill="1" applyBorder="1" applyProtection="1">
      <protection locked="0"/>
    </xf>
    <xf numFmtId="37" fontId="3" fillId="4" borderId="9" xfId="0" applyNumberFormat="1" applyFont="1" applyFill="1" applyBorder="1" applyAlignment="1" applyProtection="1">
      <alignment horizontal="left"/>
    </xf>
    <xf numFmtId="0" fontId="3" fillId="4" borderId="0" xfId="0" applyFont="1" applyFill="1" applyBorder="1" applyAlignment="1" applyProtection="1">
      <alignment horizontal="left"/>
      <protection locked="0"/>
    </xf>
    <xf numFmtId="3" fontId="3" fillId="4" borderId="0" xfId="0" applyNumberFormat="1" applyFont="1" applyFill="1" applyBorder="1" applyProtection="1">
      <protection locked="0"/>
    </xf>
    <xf numFmtId="37" fontId="3" fillId="3" borderId="2" xfId="0" applyNumberFormat="1" applyFont="1" applyFill="1" applyBorder="1" applyProtection="1">
      <protection locked="0"/>
    </xf>
    <xf numFmtId="3" fontId="3" fillId="4" borderId="15" xfId="0" applyNumberFormat="1" applyFont="1" applyFill="1" applyBorder="1" applyProtection="1"/>
    <xf numFmtId="10" fontId="3" fillId="4" borderId="0" xfId="0" applyNumberFormat="1" applyFont="1" applyFill="1" applyBorder="1" applyProtection="1">
      <protection locked="0"/>
    </xf>
    <xf numFmtId="0" fontId="3" fillId="4" borderId="5" xfId="0" applyFont="1" applyFill="1" applyBorder="1" applyAlignment="1" applyProtection="1">
      <alignment horizontal="fill"/>
    </xf>
    <xf numFmtId="0" fontId="3" fillId="4" borderId="16" xfId="0" applyFont="1" applyFill="1" applyBorder="1" applyAlignment="1" applyProtection="1">
      <alignment horizontal="left"/>
    </xf>
    <xf numFmtId="0" fontId="3" fillId="4" borderId="0" xfId="0" applyFont="1" applyFill="1" applyAlignment="1" applyProtection="1">
      <alignment horizontal="center"/>
      <protection locked="0"/>
    </xf>
    <xf numFmtId="0" fontId="6" fillId="0" borderId="0" xfId="5" applyFont="1" applyAlignment="1">
      <alignment horizontal="center"/>
    </xf>
    <xf numFmtId="0" fontId="5" fillId="4" borderId="0" xfId="0" applyFont="1" applyFill="1" applyAlignment="1" applyProtection="1">
      <alignment horizontal="center"/>
    </xf>
    <xf numFmtId="3" fontId="3" fillId="4" borderId="1" xfId="1" applyNumberFormat="1" applyFont="1" applyFill="1" applyBorder="1" applyProtection="1">
      <protection locked="0"/>
    </xf>
    <xf numFmtId="0" fontId="4" fillId="7" borderId="0" xfId="0" applyFont="1" applyFill="1" applyProtection="1"/>
    <xf numFmtId="0" fontId="3" fillId="2" borderId="1" xfId="0" applyFont="1" applyFill="1" applyBorder="1" applyAlignment="1" applyProtection="1">
      <alignment horizontal="center"/>
      <protection locked="0"/>
    </xf>
    <xf numFmtId="3" fontId="3" fillId="4" borderId="0" xfId="0" applyNumberFormat="1" applyFont="1" applyFill="1" applyBorder="1" applyProtection="1"/>
    <xf numFmtId="37" fontId="16" fillId="4" borderId="0" xfId="0" applyNumberFormat="1" applyFont="1" applyFill="1" applyAlignment="1" applyProtection="1">
      <alignment horizontal="center" vertical="justify"/>
    </xf>
    <xf numFmtId="0" fontId="4" fillId="4" borderId="0" xfId="4" applyFont="1" applyFill="1" applyAlignment="1" applyProtection="1">
      <alignment horizontal="centerContinuous"/>
    </xf>
    <xf numFmtId="0" fontId="3" fillId="4" borderId="0" xfId="3" applyFont="1" applyFill="1" applyAlignment="1" applyProtection="1">
      <alignment horizontal="centerContinuous"/>
    </xf>
    <xf numFmtId="0" fontId="3" fillId="4" borderId="12" xfId="0" applyFont="1" applyFill="1" applyBorder="1" applyAlignment="1" applyProtection="1">
      <alignment horizontal="centerContinuous"/>
    </xf>
    <xf numFmtId="0" fontId="3" fillId="4" borderId="13" xfId="0" applyFont="1" applyFill="1" applyBorder="1" applyAlignment="1" applyProtection="1">
      <alignment horizontal="centerContinuous"/>
    </xf>
    <xf numFmtId="0" fontId="3" fillId="4" borderId="16" xfId="0" applyFont="1" applyFill="1" applyBorder="1" applyAlignment="1" applyProtection="1">
      <alignment horizontal="centerContinuous"/>
    </xf>
    <xf numFmtId="0" fontId="3" fillId="4" borderId="8" xfId="0" applyFont="1" applyFill="1" applyBorder="1" applyAlignment="1" applyProtection="1">
      <alignment horizontal="centerContinuous"/>
    </xf>
    <xf numFmtId="0" fontId="3" fillId="4" borderId="8" xfId="0" applyFont="1" applyFill="1" applyBorder="1" applyAlignment="1" applyProtection="1">
      <alignment horizontal="left"/>
    </xf>
    <xf numFmtId="14" fontId="3" fillId="4" borderId="7" xfId="0" quotePrefix="1" applyNumberFormat="1" applyFont="1" applyFill="1" applyBorder="1" applyAlignment="1" applyProtection="1">
      <alignment horizontal="center"/>
    </xf>
    <xf numFmtId="170" fontId="3" fillId="4" borderId="1" xfId="0" applyNumberFormat="1" applyFont="1" applyFill="1" applyBorder="1" applyAlignment="1" applyProtection="1">
      <alignment horizontal="left"/>
    </xf>
    <xf numFmtId="171" fontId="3" fillId="4" borderId="1" xfId="0" applyNumberFormat="1" applyFont="1" applyFill="1" applyBorder="1" applyAlignment="1" applyProtection="1">
      <alignment horizontal="left"/>
    </xf>
    <xf numFmtId="37" fontId="3" fillId="2" borderId="1" xfId="0" applyNumberFormat="1" applyFont="1" applyFill="1" applyBorder="1" applyAlignment="1" applyProtection="1">
      <protection locked="0"/>
    </xf>
    <xf numFmtId="170" fontId="3" fillId="4" borderId="1" xfId="0" applyNumberFormat="1" applyFont="1" applyFill="1" applyBorder="1" applyProtection="1">
      <protection locked="0"/>
    </xf>
    <xf numFmtId="2" fontId="3" fillId="4" borderId="1" xfId="0" applyNumberFormat="1" applyFont="1" applyFill="1" applyBorder="1" applyProtection="1">
      <protection locked="0"/>
    </xf>
    <xf numFmtId="3" fontId="3" fillId="4" borderId="1" xfId="0" applyNumberFormat="1" applyFont="1" applyFill="1" applyBorder="1" applyProtection="1">
      <protection locked="0"/>
    </xf>
    <xf numFmtId="37" fontId="3" fillId="4" borderId="1" xfId="0" applyNumberFormat="1" applyFont="1" applyFill="1" applyBorder="1" applyAlignment="1" applyProtection="1"/>
    <xf numFmtId="171" fontId="3" fillId="4" borderId="1" xfId="0" applyNumberFormat="1" applyFont="1" applyFill="1" applyBorder="1" applyProtection="1"/>
    <xf numFmtId="170" fontId="3" fillId="4" borderId="1" xfId="0" applyNumberFormat="1" applyFont="1" applyFill="1" applyBorder="1" applyProtection="1"/>
    <xf numFmtId="2" fontId="3" fillId="4" borderId="1" xfId="0" applyNumberFormat="1" applyFont="1" applyFill="1" applyBorder="1" applyProtection="1"/>
    <xf numFmtId="0" fontId="3" fillId="4" borderId="1" xfId="3" applyFont="1" applyFill="1" applyBorder="1" applyAlignment="1" applyProtection="1">
      <alignment horizontal="left"/>
    </xf>
    <xf numFmtId="0" fontId="3" fillId="4" borderId="12" xfId="3" applyFont="1" applyFill="1" applyBorder="1" applyProtection="1"/>
    <xf numFmtId="0" fontId="3" fillId="4" borderId="17" xfId="3" applyFont="1" applyFill="1" applyBorder="1" applyProtection="1"/>
    <xf numFmtId="3" fontId="3" fillId="4" borderId="13" xfId="3" applyNumberFormat="1" applyFont="1" applyFill="1" applyBorder="1" applyProtection="1"/>
    <xf numFmtId="0" fontId="3" fillId="4" borderId="13" xfId="3" applyFont="1" applyFill="1" applyBorder="1" applyProtection="1"/>
    <xf numFmtId="0" fontId="3" fillId="4" borderId="6" xfId="0" applyFont="1" applyFill="1" applyBorder="1" applyProtection="1"/>
    <xf numFmtId="0" fontId="3" fillId="4" borderId="4" xfId="0" applyFont="1" applyFill="1" applyBorder="1" applyProtection="1"/>
    <xf numFmtId="0" fontId="6" fillId="4" borderId="7" xfId="0" applyFont="1" applyFill="1" applyBorder="1" applyAlignment="1" applyProtection="1">
      <alignment horizontal="center"/>
    </xf>
    <xf numFmtId="0" fontId="4" fillId="4" borderId="0" xfId="0" applyFont="1" applyFill="1" applyAlignment="1" applyProtection="1">
      <alignment horizontal="center" wrapText="1"/>
    </xf>
    <xf numFmtId="0" fontId="3" fillId="4" borderId="0" xfId="0" quotePrefix="1" applyFont="1" applyFill="1" applyProtection="1"/>
    <xf numFmtId="3" fontId="3" fillId="4" borderId="0" xfId="0" quotePrefix="1" applyNumberFormat="1" applyFont="1" applyFill="1" applyProtection="1"/>
    <xf numFmtId="3" fontId="3" fillId="4" borderId="17" xfId="0" applyNumberFormat="1" applyFont="1" applyFill="1" applyBorder="1" applyProtection="1"/>
    <xf numFmtId="168" fontId="3" fillId="4" borderId="2" xfId="0" applyNumberFormat="1" applyFont="1" applyFill="1" applyBorder="1" applyProtection="1"/>
    <xf numFmtId="0" fontId="3" fillId="4" borderId="0" xfId="0" quotePrefix="1" applyFont="1" applyFill="1" applyBorder="1" applyProtection="1"/>
    <xf numFmtId="1" fontId="3" fillId="4" borderId="0" xfId="0" applyNumberFormat="1" applyFont="1" applyFill="1" applyBorder="1" applyAlignment="1" applyProtection="1">
      <alignment horizontal="right"/>
    </xf>
    <xf numFmtId="37" fontId="3" fillId="4" borderId="0" xfId="0" quotePrefix="1" applyNumberFormat="1" applyFont="1" applyFill="1" applyAlignment="1" applyProtection="1">
      <alignment horizontal="right"/>
    </xf>
    <xf numFmtId="37" fontId="3" fillId="4" borderId="0" xfId="0" applyNumberFormat="1" applyFont="1" applyFill="1" applyAlignment="1" applyProtection="1">
      <alignment horizontal="fill"/>
    </xf>
    <xf numFmtId="1" fontId="3" fillId="4" borderId="7" xfId="0" applyNumberFormat="1" applyFont="1" applyFill="1" applyBorder="1" applyAlignment="1" applyProtection="1">
      <alignment horizontal="center"/>
    </xf>
    <xf numFmtId="3" fontId="3" fillId="2" borderId="1" xfId="0" applyNumberFormat="1" applyFont="1" applyFill="1" applyBorder="1" applyAlignment="1" applyProtection="1">
      <alignment horizontal="right"/>
      <protection locked="0"/>
    </xf>
    <xf numFmtId="3" fontId="3" fillId="4" borderId="1" xfId="1" applyNumberFormat="1" applyFont="1" applyFill="1" applyBorder="1" applyAlignment="1" applyProtection="1">
      <alignment horizontal="right"/>
    </xf>
    <xf numFmtId="3" fontId="3" fillId="4" borderId="1" xfId="0" applyNumberFormat="1" applyFont="1" applyFill="1" applyBorder="1" applyAlignment="1" applyProtection="1">
      <alignment horizontal="right"/>
    </xf>
    <xf numFmtId="3" fontId="3" fillId="4" borderId="1" xfId="0" applyNumberFormat="1" applyFont="1" applyFill="1" applyBorder="1" applyAlignment="1" applyProtection="1">
      <alignment horizontal="fill"/>
    </xf>
    <xf numFmtId="3" fontId="3" fillId="3" borderId="1" xfId="0" applyNumberFormat="1" applyFont="1" applyFill="1" applyBorder="1" applyAlignment="1" applyProtection="1">
      <alignment horizontal="right"/>
      <protection locked="0"/>
    </xf>
    <xf numFmtId="37" fontId="4" fillId="4" borderId="9" xfId="0" applyNumberFormat="1" applyFont="1" applyFill="1" applyBorder="1" applyAlignment="1" applyProtection="1">
      <alignment horizontal="left"/>
    </xf>
    <xf numFmtId="0" fontId="3" fillId="3" borderId="0" xfId="0" applyFont="1" applyFill="1" applyAlignment="1" applyProtection="1">
      <alignment horizontal="left"/>
      <protection locked="0"/>
    </xf>
    <xf numFmtId="3" fontId="3" fillId="4" borderId="2" xfId="1" applyNumberFormat="1" applyFont="1" applyFill="1" applyBorder="1" applyProtection="1"/>
    <xf numFmtId="0" fontId="3" fillId="0" borderId="0" xfId="0" applyFont="1" applyFill="1" applyProtection="1">
      <protection locked="0"/>
    </xf>
    <xf numFmtId="0" fontId="4" fillId="4" borderId="4" xfId="0" applyFont="1" applyFill="1" applyBorder="1" applyAlignment="1" applyProtection="1">
      <alignment horizontal="center"/>
    </xf>
    <xf numFmtId="0" fontId="4" fillId="4" borderId="7" xfId="0" applyFont="1" applyFill="1" applyBorder="1" applyAlignment="1" applyProtection="1">
      <alignment horizontal="center"/>
    </xf>
    <xf numFmtId="169" fontId="3" fillId="3" borderId="7" xfId="1" applyNumberFormat="1" applyFont="1" applyFill="1" applyBorder="1" applyAlignment="1" applyProtection="1">
      <protection locked="0"/>
    </xf>
    <xf numFmtId="169" fontId="3" fillId="3" borderId="1" xfId="1" applyNumberFormat="1" applyFont="1" applyFill="1" applyBorder="1" applyAlignment="1" applyProtection="1">
      <protection locked="0"/>
    </xf>
    <xf numFmtId="0" fontId="4" fillId="4" borderId="1" xfId="0" applyFont="1" applyFill="1" applyBorder="1" applyAlignment="1" applyProtection="1">
      <alignment horizontal="center"/>
    </xf>
    <xf numFmtId="37" fontId="4" fillId="4" borderId="1" xfId="0" applyNumberFormat="1" applyFont="1" applyFill="1" applyBorder="1" applyAlignment="1" applyProtection="1">
      <alignment horizontal="center"/>
    </xf>
    <xf numFmtId="0" fontId="3" fillId="4" borderId="1" xfId="0" applyFont="1" applyFill="1" applyBorder="1" applyAlignment="1" applyProtection="1">
      <alignment horizontal="right"/>
    </xf>
    <xf numFmtId="0" fontId="3" fillId="3" borderId="1" xfId="0" applyFont="1" applyFill="1" applyBorder="1" applyAlignment="1" applyProtection="1">
      <alignment horizontal="right"/>
      <protection locked="0"/>
    </xf>
    <xf numFmtId="3" fontId="3" fillId="3" borderId="1" xfId="1" applyNumberFormat="1" applyFont="1" applyFill="1" applyBorder="1" applyProtection="1">
      <protection locked="0"/>
    </xf>
    <xf numFmtId="0" fontId="19" fillId="4" borderId="0" xfId="0" applyFont="1" applyFill="1" applyBorder="1" applyAlignment="1" applyProtection="1">
      <alignment horizontal="center"/>
    </xf>
    <xf numFmtId="37" fontId="3" fillId="4" borderId="2" xfId="0" applyNumberFormat="1" applyFont="1" applyFill="1" applyBorder="1" applyAlignment="1" applyProtection="1">
      <alignment horizontal="left"/>
    </xf>
    <xf numFmtId="37" fontId="3" fillId="4" borderId="3" xfId="0" applyNumberFormat="1" applyFont="1" applyFill="1" applyBorder="1" applyAlignment="1" applyProtection="1">
      <alignment horizontal="left"/>
    </xf>
    <xf numFmtId="0" fontId="3" fillId="4" borderId="3" xfId="0" applyFont="1" applyFill="1" applyBorder="1" applyProtection="1"/>
    <xf numFmtId="0" fontId="3" fillId="5" borderId="0" xfId="0" applyFont="1" applyFill="1" applyAlignment="1">
      <alignment wrapText="1"/>
    </xf>
    <xf numFmtId="0" fontId="3" fillId="4" borderId="9" xfId="0" applyFont="1" applyFill="1" applyBorder="1" applyAlignment="1" applyProtection="1">
      <alignment horizontal="centerContinuous"/>
    </xf>
    <xf numFmtId="0" fontId="3" fillId="4" borderId="10" xfId="0" applyFont="1" applyFill="1" applyBorder="1" applyAlignment="1" applyProtection="1">
      <alignment horizontal="centerContinuous"/>
    </xf>
    <xf numFmtId="0" fontId="3" fillId="4" borderId="1" xfId="0" applyFont="1" applyFill="1" applyBorder="1" applyAlignment="1" applyProtection="1">
      <alignment horizontal="centerContinuous"/>
    </xf>
    <xf numFmtId="0" fontId="3" fillId="4" borderId="3" xfId="0" applyFont="1" applyFill="1" applyBorder="1" applyAlignment="1" applyProtection="1">
      <alignment horizontal="centerContinuous"/>
    </xf>
    <xf numFmtId="0" fontId="3" fillId="4" borderId="2" xfId="0" applyFont="1" applyFill="1" applyBorder="1" applyAlignment="1" applyProtection="1">
      <alignment horizontal="left"/>
    </xf>
    <xf numFmtId="164" fontId="3" fillId="4" borderId="6" xfId="0" applyNumberFormat="1" applyFont="1" applyFill="1" applyBorder="1" applyProtection="1"/>
    <xf numFmtId="37" fontId="3" fillId="4" borderId="10" xfId="0" applyNumberFormat="1" applyFont="1" applyFill="1" applyBorder="1" applyProtection="1"/>
    <xf numFmtId="37" fontId="3" fillId="4" borderId="0" xfId="0" applyNumberFormat="1" applyFont="1" applyFill="1" applyBorder="1" applyProtection="1"/>
    <xf numFmtId="164" fontId="3" fillId="4" borderId="0" xfId="0" applyNumberFormat="1" applyFont="1" applyFill="1" applyBorder="1" applyProtection="1"/>
    <xf numFmtId="164" fontId="3" fillId="4" borderId="4" xfId="0" applyNumberFormat="1" applyFont="1" applyFill="1" applyBorder="1" applyProtection="1"/>
    <xf numFmtId="37" fontId="3" fillId="4" borderId="7" xfId="0" applyNumberFormat="1" applyFont="1" applyFill="1" applyBorder="1" applyProtection="1"/>
    <xf numFmtId="37" fontId="3" fillId="4" borderId="8" xfId="0" applyNumberFormat="1" applyFont="1" applyFill="1" applyBorder="1" applyProtection="1"/>
    <xf numFmtId="37" fontId="3" fillId="4" borderId="1" xfId="0" applyNumberFormat="1" applyFont="1" applyFill="1" applyBorder="1" applyAlignment="1" applyProtection="1">
      <alignment horizontal="center"/>
    </xf>
    <xf numFmtId="37" fontId="3" fillId="4" borderId="1" xfId="0" applyNumberFormat="1" applyFont="1" applyFill="1" applyBorder="1" applyAlignment="1">
      <alignment horizontal="center"/>
    </xf>
    <xf numFmtId="0" fontId="3" fillId="0" borderId="0" xfId="5" applyFont="1" applyAlignment="1">
      <alignment horizontal="right"/>
    </xf>
    <xf numFmtId="37" fontId="3" fillId="7" borderId="0" xfId="0" applyNumberFormat="1" applyFont="1" applyFill="1" applyAlignment="1" applyProtection="1">
      <alignment horizontal="left"/>
    </xf>
    <xf numFmtId="0" fontId="3" fillId="4" borderId="2" xfId="0" applyFont="1" applyFill="1" applyBorder="1" applyAlignment="1" applyProtection="1">
      <alignment horizontal="center"/>
    </xf>
    <xf numFmtId="0" fontId="3" fillId="7" borderId="2" xfId="0" applyFont="1" applyFill="1" applyBorder="1" applyProtection="1"/>
    <xf numFmtId="0" fontId="3" fillId="4" borderId="8" xfId="0" applyFont="1" applyFill="1" applyBorder="1" applyProtection="1">
      <protection locked="0"/>
    </xf>
    <xf numFmtId="3" fontId="3" fillId="3" borderId="1" xfId="0" applyNumberFormat="1" applyFont="1" applyFill="1" applyBorder="1" applyProtection="1">
      <protection locked="0"/>
    </xf>
    <xf numFmtId="0" fontId="3" fillId="7" borderId="3" xfId="0" applyFont="1" applyFill="1" applyBorder="1" applyProtection="1"/>
    <xf numFmtId="0" fontId="3" fillId="4" borderId="10" xfId="0" applyFont="1" applyFill="1" applyBorder="1" applyProtection="1">
      <protection locked="0"/>
    </xf>
    <xf numFmtId="0" fontId="3" fillId="4" borderId="3" xfId="0" applyFont="1" applyFill="1" applyBorder="1" applyProtection="1">
      <protection locked="0"/>
    </xf>
    <xf numFmtId="37" fontId="5" fillId="4" borderId="0" xfId="0" applyNumberFormat="1" applyFont="1" applyFill="1" applyAlignment="1" applyProtection="1">
      <alignment horizontal="left"/>
    </xf>
    <xf numFmtId="0" fontId="5" fillId="4" borderId="0" xfId="0" applyFont="1" applyFill="1" applyAlignment="1" applyProtection="1">
      <alignment horizontal="left"/>
    </xf>
    <xf numFmtId="173" fontId="3" fillId="2" borderId="2" xfId="0" applyNumberFormat="1" applyFont="1" applyFill="1" applyBorder="1" applyProtection="1">
      <protection locked="0"/>
    </xf>
    <xf numFmtId="37" fontId="3" fillId="8" borderId="0" xfId="0" applyNumberFormat="1" applyFont="1" applyFill="1" applyBorder="1" applyAlignment="1" applyProtection="1">
      <alignment horizontal="left"/>
    </xf>
    <xf numFmtId="0" fontId="20" fillId="8" borderId="0" xfId="0" applyFont="1" applyFill="1" applyProtection="1"/>
    <xf numFmtId="0" fontId="3" fillId="3" borderId="3" xfId="0" applyFont="1" applyFill="1" applyBorder="1" applyProtection="1">
      <protection locked="0"/>
    </xf>
    <xf numFmtId="0" fontId="3" fillId="9" borderId="1" xfId="0" applyFont="1" applyFill="1" applyBorder="1" applyAlignment="1">
      <alignment horizontal="center" shrinkToFit="1"/>
    </xf>
    <xf numFmtId="0" fontId="20" fillId="9" borderId="10" xfId="0" applyFont="1" applyFill="1" applyBorder="1" applyAlignment="1" applyProtection="1">
      <alignment horizontal="center"/>
    </xf>
    <xf numFmtId="165" fontId="3" fillId="4" borderId="1" xfId="0" applyNumberFormat="1" applyFont="1" applyFill="1" applyBorder="1" applyAlignment="1" applyProtection="1">
      <alignment horizontal="center"/>
    </xf>
    <xf numFmtId="3" fontId="3" fillId="4" borderId="17" xfId="3" applyNumberFormat="1" applyFont="1" applyFill="1" applyBorder="1" applyProtection="1"/>
    <xf numFmtId="0" fontId="6" fillId="3" borderId="0" xfId="5" applyFont="1" applyFill="1" applyAlignment="1" applyProtection="1">
      <alignment horizontal="center"/>
      <protection locked="0"/>
    </xf>
    <xf numFmtId="37" fontId="3" fillId="10" borderId="1" xfId="0" applyNumberFormat="1" applyFont="1" applyFill="1" applyBorder="1" applyProtection="1"/>
    <xf numFmtId="164" fontId="3" fillId="10" borderId="1" xfId="0" applyNumberFormat="1" applyFont="1" applyFill="1" applyBorder="1" applyProtection="1"/>
    <xf numFmtId="37" fontId="3" fillId="10" borderId="11" xfId="0" applyNumberFormat="1" applyFont="1" applyFill="1" applyBorder="1" applyProtection="1"/>
    <xf numFmtId="37" fontId="3" fillId="10" borderId="18" xfId="0" applyNumberFormat="1" applyFont="1" applyFill="1" applyBorder="1" applyProtection="1"/>
    <xf numFmtId="37" fontId="3" fillId="10" borderId="11" xfId="0" applyNumberFormat="1" applyFont="1" applyFill="1" applyBorder="1" applyAlignment="1" applyProtection="1">
      <alignment horizontal="center"/>
    </xf>
    <xf numFmtId="3" fontId="3" fillId="10" borderId="1" xfId="0" applyNumberFormat="1" applyFont="1" applyFill="1" applyBorder="1" applyProtection="1"/>
    <xf numFmtId="3" fontId="3" fillId="10" borderId="1" xfId="0" applyNumberFormat="1" applyFont="1" applyFill="1" applyBorder="1" applyAlignment="1" applyProtection="1">
      <alignment horizontal="right"/>
    </xf>
    <xf numFmtId="3" fontId="4" fillId="10" borderId="1" xfId="0" applyNumberFormat="1" applyFont="1" applyFill="1" applyBorder="1" applyAlignment="1" applyProtection="1">
      <alignment horizontal="right"/>
    </xf>
    <xf numFmtId="3" fontId="4" fillId="10" borderId="7" xfId="0" applyNumberFormat="1" applyFont="1" applyFill="1" applyBorder="1" applyAlignment="1" applyProtection="1">
      <alignment horizontal="right"/>
    </xf>
    <xf numFmtId="37" fontId="3" fillId="10" borderId="1" xfId="0" applyNumberFormat="1" applyFont="1" applyFill="1" applyBorder="1" applyAlignment="1" applyProtection="1"/>
    <xf numFmtId="37" fontId="4" fillId="10" borderId="1" xfId="3" applyNumberFormat="1" applyFont="1" applyFill="1" applyBorder="1" applyAlignment="1" applyProtection="1"/>
    <xf numFmtId="3" fontId="3" fillId="10" borderId="15" xfId="0" applyNumberFormat="1" applyFont="1" applyFill="1" applyBorder="1" applyProtection="1">
      <protection locked="0"/>
    </xf>
    <xf numFmtId="0" fontId="0" fillId="4" borderId="8" xfId="0" applyFill="1" applyBorder="1" applyProtection="1"/>
    <xf numFmtId="37" fontId="5" fillId="4" borderId="0" xfId="0" applyNumberFormat="1" applyFont="1" applyFill="1" applyBorder="1" applyAlignment="1" applyProtection="1">
      <alignment horizontal="left"/>
    </xf>
    <xf numFmtId="3" fontId="3" fillId="10" borderId="15" xfId="0" applyNumberFormat="1" applyFont="1" applyFill="1" applyBorder="1" applyProtection="1"/>
    <xf numFmtId="37" fontId="3" fillId="10" borderId="15" xfId="0" applyNumberFormat="1" applyFont="1" applyFill="1" applyBorder="1" applyProtection="1"/>
    <xf numFmtId="174" fontId="3" fillId="4" borderId="1" xfId="0" applyNumberFormat="1" applyFont="1" applyFill="1" applyBorder="1" applyProtection="1"/>
    <xf numFmtId="0" fontId="4" fillId="3" borderId="1" xfId="0" applyFont="1" applyFill="1" applyBorder="1" applyAlignment="1" applyProtection="1">
      <alignment horizontal="center"/>
      <protection locked="0"/>
    </xf>
    <xf numFmtId="0" fontId="4" fillId="4" borderId="0" xfId="0" applyFont="1" applyFill="1" applyAlignment="1" applyProtection="1">
      <alignment horizontal="left"/>
    </xf>
    <xf numFmtId="0" fontId="0" fillId="4" borderId="0" xfId="0" applyFill="1" applyBorder="1" applyProtection="1"/>
    <xf numFmtId="0" fontId="5" fillId="4" borderId="0" xfId="0" applyFont="1" applyFill="1" applyBorder="1" applyProtection="1"/>
    <xf numFmtId="3" fontId="0" fillId="4" borderId="0" xfId="0" applyNumberFormat="1" applyFill="1" applyBorder="1" applyProtection="1"/>
    <xf numFmtId="37" fontId="3" fillId="4" borderId="1" xfId="0" applyNumberFormat="1" applyFont="1" applyFill="1" applyBorder="1" applyAlignment="1" applyProtection="1">
      <alignment horizontal="center"/>
      <protection locked="0"/>
    </xf>
    <xf numFmtId="174" fontId="3" fillId="3" borderId="2" xfId="0" applyNumberFormat="1" applyFont="1" applyFill="1" applyBorder="1" applyProtection="1">
      <protection locked="0"/>
    </xf>
    <xf numFmtId="174" fontId="3" fillId="3" borderId="3" xfId="0" applyNumberFormat="1" applyFont="1" applyFill="1" applyBorder="1" applyProtection="1">
      <protection locked="0"/>
    </xf>
    <xf numFmtId="174" fontId="3" fillId="3" borderId="17" xfId="0" applyNumberFormat="1" applyFont="1" applyFill="1" applyBorder="1" applyProtection="1">
      <protection locked="0"/>
    </xf>
    <xf numFmtId="0" fontId="20" fillId="0" borderId="0" xfId="0" applyFont="1"/>
    <xf numFmtId="0" fontId="20" fillId="0" borderId="0" xfId="0" applyFont="1" applyProtection="1"/>
    <xf numFmtId="175" fontId="3" fillId="4" borderId="1" xfId="0" applyNumberFormat="1" applyFont="1" applyFill="1" applyBorder="1" applyAlignment="1" applyProtection="1">
      <alignment horizontal="center"/>
    </xf>
    <xf numFmtId="175" fontId="3" fillId="4" borderId="11" xfId="0" applyNumberFormat="1" applyFont="1" applyFill="1" applyBorder="1" applyAlignment="1" applyProtection="1">
      <alignment horizontal="center"/>
    </xf>
    <xf numFmtId="3" fontId="3" fillId="4" borderId="2" xfId="0" applyNumberFormat="1" applyFont="1" applyFill="1" applyBorder="1" applyAlignment="1" applyProtection="1">
      <alignment horizontal="center"/>
    </xf>
    <xf numFmtId="37" fontId="5" fillId="4" borderId="0" xfId="0" applyNumberFormat="1" applyFont="1" applyFill="1" applyProtection="1"/>
    <xf numFmtId="3" fontId="4" fillId="10" borderId="1" xfId="0" applyNumberFormat="1" applyFont="1" applyFill="1" applyBorder="1" applyProtection="1"/>
    <xf numFmtId="3" fontId="3" fillId="3" borderId="2" xfId="0" applyNumberFormat="1" applyFont="1" applyFill="1" applyBorder="1" applyProtection="1">
      <protection locked="0"/>
    </xf>
    <xf numFmtId="3" fontId="3" fillId="3" borderId="3" xfId="0" applyNumberFormat="1" applyFont="1" applyFill="1" applyBorder="1" applyProtection="1">
      <protection locked="0"/>
    </xf>
    <xf numFmtId="37" fontId="3" fillId="4" borderId="12" xfId="0" applyNumberFormat="1" applyFont="1" applyFill="1" applyBorder="1" applyAlignment="1" applyProtection="1">
      <alignment horizontal="left"/>
    </xf>
    <xf numFmtId="0" fontId="3" fillId="4" borderId="16" xfId="0" applyFont="1" applyFill="1" applyBorder="1" applyProtection="1"/>
    <xf numFmtId="166" fontId="3" fillId="10" borderId="2" xfId="0" applyNumberFormat="1" applyFont="1" applyFill="1" applyBorder="1" applyProtection="1"/>
    <xf numFmtId="167" fontId="3" fillId="10" borderId="2" xfId="0" applyNumberFormat="1" applyFont="1" applyFill="1" applyBorder="1" applyProtection="1"/>
    <xf numFmtId="0" fontId="3" fillId="4" borderId="0" xfId="0" applyFont="1" applyFill="1" applyAlignment="1" applyProtection="1">
      <alignment horizontal="right"/>
      <protection locked="0"/>
    </xf>
    <xf numFmtId="3" fontId="3" fillId="10" borderId="11" xfId="0" applyNumberFormat="1" applyFont="1" applyFill="1" applyBorder="1" applyProtection="1"/>
    <xf numFmtId="0" fontId="20" fillId="4" borderId="0" xfId="0" applyFont="1" applyFill="1"/>
    <xf numFmtId="3" fontId="3" fillId="3" borderId="1" xfId="0" applyNumberFormat="1" applyFont="1" applyFill="1" applyBorder="1" applyAlignment="1" applyProtection="1">
      <protection locked="0"/>
    </xf>
    <xf numFmtId="3" fontId="3" fillId="2" borderId="1" xfId="0" applyNumberFormat="1" applyFont="1" applyFill="1" applyBorder="1" applyAlignment="1" applyProtection="1">
      <protection locked="0"/>
    </xf>
    <xf numFmtId="37" fontId="4" fillId="10" borderId="1" xfId="3" applyNumberFormat="1" applyFont="1" applyFill="1" applyBorder="1" applyProtection="1"/>
    <xf numFmtId="37" fontId="3" fillId="2" borderId="9" xfId="0" applyNumberFormat="1" applyFont="1" applyFill="1" applyBorder="1" applyProtection="1">
      <protection locked="0"/>
    </xf>
    <xf numFmtId="0" fontId="3" fillId="3" borderId="9" xfId="0" applyFont="1" applyFill="1" applyBorder="1" applyAlignment="1" applyProtection="1">
      <alignment horizontal="left"/>
      <protection locked="0"/>
    </xf>
    <xf numFmtId="37" fontId="3" fillId="2" borderId="10" xfId="0" applyNumberFormat="1" applyFont="1" applyFill="1" applyBorder="1" applyProtection="1">
      <protection locked="0"/>
    </xf>
    <xf numFmtId="0" fontId="3" fillId="4" borderId="10" xfId="0" applyFont="1" applyFill="1" applyBorder="1" applyAlignment="1" applyProtection="1">
      <alignment horizontal="left"/>
    </xf>
    <xf numFmtId="0" fontId="3" fillId="3" borderId="10" xfId="0" applyFont="1" applyFill="1" applyBorder="1" applyAlignment="1" applyProtection="1">
      <alignment horizontal="left"/>
    </xf>
    <xf numFmtId="37" fontId="3" fillId="4" borderId="9" xfId="0" applyNumberFormat="1" applyFont="1" applyFill="1" applyBorder="1" applyProtection="1"/>
    <xf numFmtId="0" fontId="3" fillId="4" borderId="13" xfId="0" applyFont="1" applyFill="1" applyBorder="1" applyAlignment="1" applyProtection="1">
      <alignment horizontal="left"/>
    </xf>
    <xf numFmtId="0" fontId="3" fillId="4" borderId="9" xfId="0" applyNumberFormat="1" applyFont="1" applyFill="1" applyBorder="1" applyAlignment="1" applyProtection="1">
      <alignment horizontal="left"/>
    </xf>
    <xf numFmtId="0" fontId="3" fillId="2" borderId="9" xfId="0" applyNumberFormat="1" applyFont="1" applyFill="1" applyBorder="1" applyAlignment="1" applyProtection="1">
      <alignment horizontal="left"/>
      <protection locked="0"/>
    </xf>
    <xf numFmtId="0" fontId="3" fillId="2" borderId="12" xfId="0" applyNumberFormat="1" applyFont="1" applyFill="1" applyBorder="1" applyAlignment="1" applyProtection="1">
      <alignment horizontal="left"/>
      <protection locked="0"/>
    </xf>
    <xf numFmtId="37" fontId="3" fillId="4" borderId="16" xfId="0" applyNumberFormat="1" applyFont="1" applyFill="1" applyBorder="1" applyAlignment="1" applyProtection="1">
      <alignment horizontal="left"/>
    </xf>
    <xf numFmtId="0" fontId="3" fillId="2" borderId="9" xfId="0" applyFont="1" applyFill="1" applyBorder="1" applyProtection="1">
      <protection locked="0"/>
    </xf>
    <xf numFmtId="3" fontId="3" fillId="2" borderId="10" xfId="0" applyNumberFormat="1" applyFont="1" applyFill="1" applyBorder="1" applyAlignment="1" applyProtection="1">
      <alignment horizontal="right"/>
      <protection locked="0"/>
    </xf>
    <xf numFmtId="37" fontId="3" fillId="4" borderId="10" xfId="0" applyNumberFormat="1" applyFont="1" applyFill="1" applyBorder="1" applyAlignment="1" applyProtection="1">
      <alignment horizontal="left"/>
    </xf>
    <xf numFmtId="37" fontId="3" fillId="3" borderId="10" xfId="0" applyNumberFormat="1" applyFont="1" applyFill="1" applyBorder="1" applyAlignment="1" applyProtection="1">
      <alignment horizontal="left"/>
    </xf>
    <xf numFmtId="0" fontId="0" fillId="4" borderId="0" xfId="0" applyFill="1"/>
    <xf numFmtId="0" fontId="3" fillId="5" borderId="6" xfId="0" applyFont="1" applyFill="1" applyBorder="1" applyAlignment="1">
      <alignment horizontal="center"/>
    </xf>
    <xf numFmtId="0" fontId="3" fillId="5" borderId="7" xfId="0" applyFont="1" applyFill="1" applyBorder="1" applyAlignment="1">
      <alignment horizontal="center"/>
    </xf>
    <xf numFmtId="0" fontId="21" fillId="4" borderId="0" xfId="0" applyFont="1" applyFill="1" applyAlignment="1"/>
    <xf numFmtId="37" fontId="3" fillId="4" borderId="1" xfId="0" applyNumberFormat="1" applyFont="1" applyFill="1" applyBorder="1"/>
    <xf numFmtId="0" fontId="21" fillId="4" borderId="0" xfId="0" applyFont="1" applyFill="1"/>
    <xf numFmtId="3" fontId="3" fillId="4" borderId="0" xfId="0" applyNumberFormat="1" applyFont="1" applyFill="1" applyAlignment="1" applyProtection="1">
      <alignment horizontal="center"/>
    </xf>
    <xf numFmtId="0" fontId="16" fillId="4" borderId="0" xfId="0" applyFont="1" applyFill="1" applyAlignment="1" applyProtection="1">
      <alignment horizontal="center"/>
    </xf>
    <xf numFmtId="0" fontId="3" fillId="4" borderId="6" xfId="0" applyFont="1" applyFill="1" applyBorder="1" applyAlignment="1" applyProtection="1">
      <alignment horizontal="center" wrapText="1"/>
    </xf>
    <xf numFmtId="0" fontId="3" fillId="4" borderId="13" xfId="0" applyFont="1" applyFill="1" applyBorder="1" applyAlignment="1" applyProtection="1">
      <alignment horizontal="center" wrapText="1"/>
    </xf>
    <xf numFmtId="0" fontId="3" fillId="4" borderId="1" xfId="0" applyFont="1" applyFill="1" applyBorder="1" applyAlignment="1" applyProtection="1">
      <alignment horizontal="center" wrapText="1"/>
    </xf>
    <xf numFmtId="37" fontId="3" fillId="4" borderId="1" xfId="0" applyNumberFormat="1" applyFont="1" applyFill="1" applyBorder="1" applyAlignment="1" applyProtection="1">
      <alignment horizontal="left"/>
    </xf>
    <xf numFmtId="3" fontId="3" fillId="3" borderId="1" xfId="0" applyNumberFormat="1" applyFont="1" applyFill="1" applyBorder="1" applyAlignment="1" applyProtection="1">
      <alignment horizontal="center"/>
      <protection locked="0"/>
    </xf>
    <xf numFmtId="3" fontId="3" fillId="4" borderId="11" xfId="0" applyNumberFormat="1" applyFont="1" applyFill="1" applyBorder="1" applyAlignment="1" applyProtection="1">
      <alignment horizontal="center"/>
    </xf>
    <xf numFmtId="175" fontId="3" fillId="4" borderId="2" xfId="0" applyNumberFormat="1" applyFont="1" applyFill="1" applyBorder="1" applyAlignment="1" applyProtection="1">
      <alignment horizontal="center"/>
    </xf>
    <xf numFmtId="175" fontId="3" fillId="4" borderId="0" xfId="0" applyNumberFormat="1" applyFont="1" applyFill="1" applyBorder="1" applyAlignment="1" applyProtection="1">
      <alignment horizontal="center"/>
    </xf>
    <xf numFmtId="0" fontId="3" fillId="4" borderId="0" xfId="0" applyFont="1" applyFill="1" applyAlignment="1">
      <alignment horizontal="right"/>
    </xf>
    <xf numFmtId="3" fontId="3" fillId="4" borderId="2" xfId="0" applyNumberFormat="1" applyFont="1" applyFill="1" applyBorder="1" applyAlignment="1">
      <alignment horizontal="center"/>
    </xf>
    <xf numFmtId="0" fontId="0" fillId="4" borderId="0" xfId="0" applyFill="1" applyAlignment="1">
      <alignment horizontal="center"/>
    </xf>
    <xf numFmtId="0" fontId="3" fillId="4" borderId="2" xfId="0" applyFont="1" applyFill="1" applyBorder="1" applyAlignment="1">
      <alignment horizontal="center"/>
    </xf>
    <xf numFmtId="0" fontId="3" fillId="4" borderId="12" xfId="0" applyFont="1" applyFill="1" applyBorder="1" applyProtection="1"/>
    <xf numFmtId="0" fontId="3" fillId="4" borderId="0" xfId="0" applyFont="1" applyFill="1" applyBorder="1" applyAlignment="1">
      <alignment horizontal="center" shrinkToFit="1"/>
    </xf>
    <xf numFmtId="0" fontId="20" fillId="4" borderId="0" xfId="0" applyFont="1" applyFill="1" applyBorder="1" applyAlignment="1" applyProtection="1">
      <alignment horizontal="center"/>
    </xf>
    <xf numFmtId="3" fontId="20" fillId="9" borderId="10" xfId="0" applyNumberFormat="1" applyFont="1" applyFill="1" applyBorder="1" applyAlignment="1" applyProtection="1">
      <alignment horizontal="center"/>
    </xf>
    <xf numFmtId="37" fontId="3" fillId="4" borderId="9" xfId="0" applyNumberFormat="1" applyFont="1" applyFill="1" applyBorder="1" applyAlignment="1" applyProtection="1">
      <alignment horizontal="left"/>
      <protection locked="0"/>
    </xf>
    <xf numFmtId="37" fontId="3" fillId="0" borderId="0" xfId="0" applyNumberFormat="1" applyFont="1" applyFill="1" applyAlignment="1" applyProtection="1">
      <alignment horizontal="left" wrapText="1"/>
    </xf>
    <xf numFmtId="37" fontId="4" fillId="4" borderId="0" xfId="0" applyNumberFormat="1" applyFont="1" applyFill="1" applyBorder="1" applyAlignment="1" applyProtection="1">
      <alignment horizontal="center"/>
    </xf>
    <xf numFmtId="0" fontId="4" fillId="4" borderId="0" xfId="0" applyFont="1" applyFill="1" applyBorder="1" applyAlignment="1" applyProtection="1">
      <alignment horizontal="left"/>
    </xf>
    <xf numFmtId="3" fontId="3" fillId="3" borderId="10" xfId="0" applyNumberFormat="1" applyFont="1" applyFill="1" applyBorder="1" applyProtection="1">
      <protection locked="0"/>
    </xf>
    <xf numFmtId="3" fontId="3" fillId="3" borderId="8" xfId="0" applyNumberFormat="1" applyFont="1" applyFill="1" applyBorder="1" applyProtection="1">
      <protection locked="0"/>
    </xf>
    <xf numFmtId="3" fontId="3" fillId="3" borderId="7" xfId="0" applyNumberFormat="1" applyFont="1" applyFill="1" applyBorder="1" applyProtection="1">
      <protection locked="0"/>
    </xf>
    <xf numFmtId="3" fontId="3" fillId="10" borderId="11" xfId="0" applyNumberFormat="1" applyFont="1" applyFill="1" applyBorder="1" applyProtection="1">
      <protection locked="0"/>
    </xf>
    <xf numFmtId="3" fontId="3" fillId="10" borderId="10" xfId="0" applyNumberFormat="1" applyFont="1" applyFill="1" applyBorder="1" applyProtection="1"/>
    <xf numFmtId="3" fontId="3" fillId="2" borderId="10" xfId="0" applyNumberFormat="1" applyFont="1" applyFill="1" applyBorder="1" applyProtection="1">
      <protection locked="0"/>
    </xf>
    <xf numFmtId="3" fontId="3" fillId="4" borderId="7" xfId="0" applyNumberFormat="1" applyFont="1" applyFill="1" applyBorder="1" applyProtection="1"/>
    <xf numFmtId="164" fontId="3" fillId="4" borderId="7" xfId="0" applyNumberFormat="1" applyFont="1" applyFill="1" applyBorder="1" applyProtection="1"/>
    <xf numFmtId="0" fontId="3" fillId="4" borderId="13" xfId="0" applyFont="1" applyFill="1" applyBorder="1" applyAlignment="1" applyProtection="1">
      <alignment horizontal="fill"/>
    </xf>
    <xf numFmtId="0" fontId="3" fillId="0" borderId="0" xfId="0" applyFont="1" applyAlignment="1">
      <alignment horizontal="left" wrapText="1"/>
    </xf>
    <xf numFmtId="0" fontId="3" fillId="8" borderId="0" xfId="0" applyFont="1" applyFill="1" applyAlignment="1">
      <alignment wrapText="1"/>
    </xf>
    <xf numFmtId="37" fontId="3" fillId="4" borderId="0" xfId="0" applyNumberFormat="1" applyFont="1" applyFill="1" applyAlignment="1" applyProtection="1">
      <alignment horizontal="center"/>
    </xf>
    <xf numFmtId="173" fontId="3" fillId="4" borderId="0" xfId="0" applyNumberFormat="1" applyFont="1" applyFill="1" applyBorder="1" applyAlignment="1">
      <alignment horizontal="center"/>
    </xf>
    <xf numFmtId="0" fontId="3" fillId="4" borderId="0" xfId="0" applyFont="1" applyFill="1" applyAlignment="1">
      <alignment horizontal="center"/>
    </xf>
    <xf numFmtId="0" fontId="4" fillId="4" borderId="0" xfId="0" applyFont="1" applyFill="1" applyAlignment="1">
      <alignment horizontal="center"/>
    </xf>
    <xf numFmtId="0" fontId="23" fillId="4" borderId="0" xfId="0" applyFont="1" applyFill="1" applyAlignment="1">
      <alignment horizontal="center"/>
    </xf>
    <xf numFmtId="0" fontId="3" fillId="4" borderId="2" xfId="0" applyFont="1" applyFill="1" applyBorder="1"/>
    <xf numFmtId="0" fontId="24" fillId="4" borderId="6" xfId="0" applyFont="1" applyFill="1" applyBorder="1"/>
    <xf numFmtId="0" fontId="24" fillId="4" borderId="10" xfId="0" applyFont="1" applyFill="1" applyBorder="1" applyAlignment="1">
      <alignment horizontal="center"/>
    </xf>
    <xf numFmtId="0" fontId="24" fillId="4" borderId="13" xfId="0" applyFont="1" applyFill="1" applyBorder="1"/>
    <xf numFmtId="0" fontId="24" fillId="4" borderId="1" xfId="0" applyFont="1" applyFill="1" applyBorder="1" applyAlignment="1">
      <alignment horizontal="center"/>
    </xf>
    <xf numFmtId="0" fontId="3" fillId="4" borderId="10" xfId="0" applyFont="1" applyFill="1" applyBorder="1" applyAlignment="1">
      <alignment horizontal="center"/>
    </xf>
    <xf numFmtId="0" fontId="3" fillId="4" borderId="10" xfId="0" applyFont="1" applyFill="1" applyBorder="1"/>
    <xf numFmtId="0" fontId="3" fillId="4" borderId="1" xfId="0" applyFont="1" applyFill="1" applyBorder="1" applyAlignment="1">
      <alignment horizontal="center"/>
    </xf>
    <xf numFmtId="0" fontId="24" fillId="4" borderId="16" xfId="0" applyFont="1" applyFill="1" applyBorder="1" applyAlignment="1"/>
    <xf numFmtId="3" fontId="24" fillId="3" borderId="1" xfId="0" applyNumberFormat="1" applyFont="1" applyFill="1" applyBorder="1" applyAlignment="1" applyProtection="1">
      <alignment horizontal="center"/>
      <protection locked="0"/>
    </xf>
    <xf numFmtId="0" fontId="24" fillId="4" borderId="2" xfId="0" applyFont="1" applyFill="1" applyBorder="1" applyAlignment="1"/>
    <xf numFmtId="3" fontId="24" fillId="10" borderId="1" xfId="0" applyNumberFormat="1" applyFont="1" applyFill="1" applyBorder="1" applyAlignment="1">
      <alignment horizontal="center"/>
    </xf>
    <xf numFmtId="0" fontId="24" fillId="4" borderId="0" xfId="0" applyFont="1" applyFill="1"/>
    <xf numFmtId="3" fontId="24" fillId="4" borderId="0" xfId="0" applyNumberFormat="1" applyFont="1" applyFill="1" applyAlignment="1">
      <alignment horizontal="center"/>
    </xf>
    <xf numFmtId="0" fontId="24" fillId="4" borderId="0" xfId="0" applyFont="1" applyFill="1" applyAlignment="1">
      <alignment horizontal="center"/>
    </xf>
    <xf numFmtId="0" fontId="24" fillId="3" borderId="1" xfId="0" applyFont="1" applyFill="1" applyBorder="1" applyProtection="1">
      <protection locked="0"/>
    </xf>
    <xf numFmtId="0" fontId="24" fillId="3" borderId="13" xfId="0" applyFont="1" applyFill="1" applyBorder="1" applyProtection="1">
      <protection locked="0"/>
    </xf>
    <xf numFmtId="3" fontId="24" fillId="3" borderId="13" xfId="0" applyNumberFormat="1" applyFont="1" applyFill="1" applyBorder="1" applyAlignment="1" applyProtection="1">
      <alignment horizontal="center"/>
      <protection locked="0"/>
    </xf>
    <xf numFmtId="0" fontId="24" fillId="3" borderId="0" xfId="0" applyFont="1" applyFill="1" applyProtection="1">
      <protection locked="0"/>
    </xf>
    <xf numFmtId="3" fontId="24" fillId="3" borderId="8" xfId="0" applyNumberFormat="1" applyFont="1" applyFill="1" applyBorder="1" applyAlignment="1" applyProtection="1">
      <alignment horizontal="center"/>
      <protection locked="0"/>
    </xf>
    <xf numFmtId="3" fontId="24" fillId="3" borderId="10" xfId="0" applyNumberFormat="1" applyFont="1" applyFill="1" applyBorder="1" applyAlignment="1" applyProtection="1">
      <alignment horizontal="center"/>
      <protection locked="0"/>
    </xf>
    <xf numFmtId="0" fontId="24" fillId="3" borderId="10" xfId="0" applyFont="1" applyFill="1" applyBorder="1" applyProtection="1">
      <protection locked="0"/>
    </xf>
    <xf numFmtId="0" fontId="24" fillId="3" borderId="7" xfId="0" applyFont="1" applyFill="1" applyBorder="1" applyProtection="1">
      <protection locked="0"/>
    </xf>
    <xf numFmtId="3" fontId="24" fillId="3" borderId="5" xfId="0" applyNumberFormat="1" applyFont="1" applyFill="1" applyBorder="1" applyAlignment="1" applyProtection="1">
      <alignment horizontal="center"/>
      <protection locked="0"/>
    </xf>
    <xf numFmtId="0" fontId="24" fillId="3" borderId="5" xfId="0" applyFont="1" applyFill="1" applyBorder="1" applyProtection="1">
      <protection locked="0"/>
    </xf>
    <xf numFmtId="3" fontId="24" fillId="10" borderId="7" xfId="0" applyNumberFormat="1" applyFont="1" applyFill="1" applyBorder="1" applyAlignment="1">
      <alignment horizontal="center"/>
    </xf>
    <xf numFmtId="0" fontId="24" fillId="10" borderId="1" xfId="0" applyFont="1" applyFill="1" applyBorder="1" applyAlignment="1">
      <alignment horizontal="center"/>
    </xf>
    <xf numFmtId="0" fontId="24" fillId="10" borderId="7" xfId="0" applyFont="1" applyFill="1" applyBorder="1" applyAlignment="1">
      <alignment horizontal="center"/>
    </xf>
    <xf numFmtId="3" fontId="24" fillId="9" borderId="1" xfId="0" applyNumberFormat="1" applyFont="1" applyFill="1" applyBorder="1" applyAlignment="1">
      <alignment horizontal="center"/>
    </xf>
    <xf numFmtId="3" fontId="25" fillId="9" borderId="0" xfId="0" applyNumberFormat="1" applyFont="1" applyFill="1" applyAlignment="1">
      <alignment horizontal="center"/>
    </xf>
    <xf numFmtId="3" fontId="3" fillId="4" borderId="0" xfId="0" applyNumberFormat="1" applyFont="1" applyFill="1"/>
    <xf numFmtId="0" fontId="3" fillId="8" borderId="0" xfId="0" applyFont="1" applyFill="1"/>
    <xf numFmtId="3" fontId="3" fillId="0" borderId="0" xfId="0" applyNumberFormat="1" applyFont="1"/>
    <xf numFmtId="0" fontId="3" fillId="4" borderId="17" xfId="0" applyFont="1" applyFill="1" applyBorder="1" applyProtection="1"/>
    <xf numFmtId="3" fontId="3" fillId="4" borderId="6" xfId="0" applyNumberFormat="1" applyFont="1" applyFill="1" applyBorder="1" applyProtection="1"/>
    <xf numFmtId="37" fontId="3" fillId="4" borderId="6" xfId="0" applyNumberFormat="1" applyFont="1" applyFill="1" applyBorder="1" applyProtection="1"/>
    <xf numFmtId="3" fontId="3" fillId="4" borderId="10" xfId="0" applyNumberFormat="1" applyFont="1" applyFill="1" applyBorder="1" applyAlignment="1" applyProtection="1">
      <alignment horizontal="center"/>
    </xf>
    <xf numFmtId="0" fontId="3" fillId="4" borderId="10" xfId="0" applyFont="1" applyFill="1" applyBorder="1" applyAlignment="1" applyProtection="1">
      <alignment horizontal="center"/>
    </xf>
    <xf numFmtId="3" fontId="3" fillId="4" borderId="10" xfId="0" applyNumberFormat="1" applyFont="1" applyFill="1" applyBorder="1" applyProtection="1"/>
    <xf numFmtId="3" fontId="3" fillId="10" borderId="18" xfId="0" applyNumberFormat="1" applyFont="1" applyFill="1" applyBorder="1" applyProtection="1"/>
    <xf numFmtId="0" fontId="3" fillId="7" borderId="6" xfId="0" applyFont="1" applyFill="1" applyBorder="1" applyAlignment="1" applyProtection="1">
      <alignment horizontal="center"/>
    </xf>
    <xf numFmtId="0" fontId="3" fillId="7" borderId="7" xfId="0" applyFont="1" applyFill="1" applyBorder="1" applyAlignment="1" applyProtection="1">
      <alignment horizontal="center"/>
    </xf>
    <xf numFmtId="2" fontId="3" fillId="10" borderId="11" xfId="0" applyNumberFormat="1" applyFont="1" applyFill="1" applyBorder="1" applyProtection="1">
      <protection locked="0"/>
    </xf>
    <xf numFmtId="0" fontId="3" fillId="10" borderId="1" xfId="0" applyFont="1" applyFill="1" applyBorder="1" applyAlignment="1" applyProtection="1">
      <alignment horizontal="center"/>
    </xf>
    <xf numFmtId="3" fontId="4" fillId="10" borderId="10" xfId="0" applyNumberFormat="1" applyFont="1" applyFill="1" applyBorder="1" applyProtection="1"/>
    <xf numFmtId="3" fontId="20" fillId="4" borderId="0" xfId="0" applyNumberFormat="1" applyFont="1" applyFill="1" applyAlignment="1" applyProtection="1">
      <alignment horizontal="center"/>
    </xf>
    <xf numFmtId="0" fontId="20" fillId="4" borderId="0" xfId="0" applyFont="1" applyFill="1" applyAlignment="1" applyProtection="1">
      <alignment horizontal="center"/>
    </xf>
    <xf numFmtId="165" fontId="3" fillId="2" borderId="0" xfId="0" applyNumberFormat="1" applyFont="1" applyFill="1" applyAlignment="1" applyProtection="1">
      <alignment horizontal="left"/>
      <protection locked="0"/>
    </xf>
    <xf numFmtId="0" fontId="3" fillId="0" borderId="0" xfId="0" applyNumberFormat="1" applyFont="1" applyAlignment="1">
      <alignment wrapText="1"/>
    </xf>
    <xf numFmtId="0" fontId="3" fillId="4" borderId="2" xfId="0" applyFont="1" applyFill="1" applyBorder="1" applyAlignment="1" applyProtection="1">
      <alignment horizontal="left"/>
      <protection locked="0"/>
    </xf>
    <xf numFmtId="37" fontId="3" fillId="7" borderId="0" xfId="0" applyNumberFormat="1" applyFont="1" applyFill="1" applyAlignment="1" applyProtection="1">
      <alignment horizontal="center" wrapText="1"/>
    </xf>
    <xf numFmtId="0" fontId="0" fillId="7" borderId="2" xfId="0" applyFill="1" applyBorder="1" applyAlignment="1">
      <alignment wrapText="1"/>
    </xf>
    <xf numFmtId="37" fontId="16" fillId="4" borderId="0" xfId="0" applyNumberFormat="1" applyFont="1" applyFill="1" applyAlignment="1" applyProtection="1">
      <alignment horizontal="center" vertical="justify"/>
    </xf>
    <xf numFmtId="0" fontId="17" fillId="0" borderId="0" xfId="0" applyFont="1" applyAlignment="1">
      <alignment horizontal="center" vertical="justify"/>
    </xf>
    <xf numFmtId="0" fontId="19" fillId="4" borderId="0" xfId="0" applyFont="1" applyFill="1" applyAlignment="1" applyProtection="1">
      <alignment horizontal="center"/>
    </xf>
    <xf numFmtId="0" fontId="17" fillId="0" borderId="0" xfId="0" applyFont="1" applyAlignment="1">
      <alignment horizontal="center"/>
    </xf>
    <xf numFmtId="0" fontId="3" fillId="7" borderId="6" xfId="0" applyFont="1" applyFill="1" applyBorder="1" applyAlignment="1" applyProtection="1">
      <alignment horizontal="center" wrapText="1"/>
    </xf>
    <xf numFmtId="0" fontId="3" fillId="7" borderId="7" xfId="0" applyFont="1" applyFill="1" applyBorder="1" applyAlignment="1" applyProtection="1">
      <alignment horizontal="center" wrapText="1"/>
    </xf>
    <xf numFmtId="0" fontId="17" fillId="0" borderId="0" xfId="0" applyFont="1" applyAlignment="1" applyProtection="1">
      <alignment horizontal="center" vertical="justify"/>
    </xf>
    <xf numFmtId="37" fontId="19" fillId="4" borderId="0" xfId="0" applyNumberFormat="1" applyFont="1" applyFill="1" applyBorder="1" applyAlignment="1" applyProtection="1">
      <alignment horizontal="center"/>
    </xf>
    <xf numFmtId="0" fontId="0" fillId="0" borderId="0" xfId="0" applyAlignment="1" applyProtection="1">
      <alignment horizontal="center"/>
    </xf>
    <xf numFmtId="0" fontId="4" fillId="5" borderId="0" xfId="0" applyFont="1" applyFill="1" applyBorder="1" applyAlignment="1">
      <alignment horizontal="center"/>
    </xf>
    <xf numFmtId="0" fontId="1" fillId="5" borderId="0" xfId="0" applyFont="1" applyFill="1" applyBorder="1" applyAlignment="1">
      <alignment horizontal="center"/>
    </xf>
    <xf numFmtId="0" fontId="20" fillId="4" borderId="0" xfId="0" applyFont="1" applyFill="1" applyBorder="1" applyAlignment="1"/>
    <xf numFmtId="0" fontId="21" fillId="0" borderId="0" xfId="0" applyFont="1" applyAlignment="1"/>
    <xf numFmtId="0" fontId="8" fillId="11" borderId="0" xfId="0" applyFont="1" applyFill="1" applyAlignment="1">
      <alignment horizontal="right" vertical="center" textRotation="180" wrapText="1"/>
    </xf>
    <xf numFmtId="0" fontId="4" fillId="4" borderId="0" xfId="0" applyFont="1" applyFill="1" applyAlignment="1" applyProtection="1">
      <alignment horizontal="center"/>
    </xf>
    <xf numFmtId="0" fontId="3" fillId="4" borderId="6" xfId="0" applyFont="1" applyFill="1" applyBorder="1" applyAlignment="1" applyProtection="1">
      <alignment horizontal="center" wrapText="1"/>
    </xf>
    <xf numFmtId="0" fontId="3" fillId="4" borderId="4" xfId="0" applyFont="1" applyFill="1" applyBorder="1" applyAlignment="1" applyProtection="1">
      <alignment horizontal="center" wrapText="1"/>
    </xf>
    <xf numFmtId="37" fontId="3" fillId="4" borderId="0" xfId="0" applyNumberFormat="1" applyFont="1" applyFill="1" applyAlignment="1" applyProtection="1">
      <alignment horizontal="center"/>
    </xf>
    <xf numFmtId="0" fontId="5" fillId="4" borderId="0" xfId="0" applyFont="1" applyFill="1" applyAlignment="1" applyProtection="1">
      <alignment horizontal="center"/>
    </xf>
    <xf numFmtId="0" fontId="3" fillId="4" borderId="9" xfId="0" applyFont="1" applyFill="1" applyBorder="1" applyAlignment="1" applyProtection="1">
      <alignment horizontal="center"/>
    </xf>
    <xf numFmtId="0" fontId="0" fillId="0" borderId="3" xfId="0" applyBorder="1" applyAlignment="1"/>
    <xf numFmtId="0" fontId="0" fillId="0" borderId="10" xfId="0" applyBorder="1" applyAlignment="1"/>
    <xf numFmtId="0" fontId="3" fillId="4" borderId="0" xfId="0" applyFont="1" applyFill="1" applyAlignment="1" applyProtection="1">
      <alignment horizontal="center"/>
    </xf>
    <xf numFmtId="37" fontId="4" fillId="4" borderId="0" xfId="0" applyNumberFormat="1" applyFont="1" applyFill="1" applyAlignment="1" applyProtection="1">
      <alignment horizontal="center"/>
    </xf>
    <xf numFmtId="37" fontId="3" fillId="4" borderId="6" xfId="0" applyNumberFormat="1" applyFont="1" applyFill="1" applyBorder="1" applyAlignment="1" applyProtection="1">
      <alignment horizontal="center" wrapText="1"/>
    </xf>
    <xf numFmtId="0" fontId="0" fillId="0" borderId="7" xfId="0" applyBorder="1" applyAlignment="1" applyProtection="1">
      <alignment horizontal="center" wrapText="1"/>
    </xf>
    <xf numFmtId="37" fontId="4" fillId="4" borderId="0" xfId="0" applyNumberFormat="1" applyFont="1" applyFill="1" applyBorder="1" applyAlignment="1" applyProtection="1">
      <alignment horizontal="center"/>
    </xf>
    <xf numFmtId="0" fontId="3" fillId="4" borderId="3" xfId="0" applyFont="1" applyFill="1" applyBorder="1" applyAlignment="1" applyProtection="1">
      <alignment horizontal="center"/>
    </xf>
    <xf numFmtId="37" fontId="3" fillId="4" borderId="0" xfId="0" applyNumberFormat="1" applyFont="1" applyFill="1" applyAlignment="1" applyProtection="1">
      <alignment horizontal="right"/>
    </xf>
    <xf numFmtId="37" fontId="3" fillId="4" borderId="5" xfId="0" applyNumberFormat="1" applyFont="1" applyFill="1" applyBorder="1" applyAlignment="1" applyProtection="1">
      <alignment horizontal="right"/>
    </xf>
    <xf numFmtId="173" fontId="3" fillId="4" borderId="0" xfId="0" applyNumberFormat="1" applyFont="1" applyFill="1" applyBorder="1" applyAlignment="1">
      <alignment horizontal="right"/>
    </xf>
    <xf numFmtId="0" fontId="2" fillId="0" borderId="0" xfId="0" applyFont="1" applyAlignment="1">
      <alignment horizontal="right"/>
    </xf>
    <xf numFmtId="0" fontId="3" fillId="4" borderId="0" xfId="2" applyNumberFormat="1" applyFont="1" applyFill="1" applyBorder="1" applyAlignment="1" applyProtection="1">
      <alignment horizontal="right"/>
    </xf>
    <xf numFmtId="0" fontId="3" fillId="0" borderId="0" xfId="2" applyFont="1" applyAlignment="1" applyProtection="1">
      <alignment horizontal="right"/>
    </xf>
    <xf numFmtId="0" fontId="3" fillId="0" borderId="5" xfId="2" applyFont="1" applyBorder="1" applyAlignment="1" applyProtection="1">
      <alignment horizontal="right"/>
    </xf>
    <xf numFmtId="3" fontId="3" fillId="2" borderId="9" xfId="0" applyNumberFormat="1" applyFont="1" applyFill="1" applyBorder="1" applyAlignment="1" applyProtection="1">
      <protection locked="0"/>
    </xf>
    <xf numFmtId="3" fontId="3" fillId="2" borderId="10" xfId="0" applyNumberFormat="1" applyFont="1" applyFill="1" applyBorder="1" applyAlignment="1" applyProtection="1">
      <protection locked="0"/>
    </xf>
    <xf numFmtId="37" fontId="3" fillId="4" borderId="17" xfId="0" applyNumberFormat="1" applyFont="1" applyFill="1" applyBorder="1" applyAlignment="1" applyProtection="1">
      <alignment horizontal="right"/>
    </xf>
    <xf numFmtId="0" fontId="2" fillId="0" borderId="17" xfId="0" applyFont="1" applyBorder="1" applyAlignment="1"/>
    <xf numFmtId="0" fontId="2" fillId="0" borderId="13" xfId="0" applyFont="1" applyBorder="1" applyAlignment="1"/>
    <xf numFmtId="3" fontId="3" fillId="10" borderId="9" xfId="0" applyNumberFormat="1" applyFont="1" applyFill="1" applyBorder="1" applyAlignment="1" applyProtection="1"/>
    <xf numFmtId="3" fontId="3" fillId="10" borderId="10" xfId="0" applyNumberFormat="1" applyFont="1" applyFill="1" applyBorder="1" applyAlignment="1" applyProtection="1"/>
    <xf numFmtId="37" fontId="3" fillId="2" borderId="9" xfId="0" applyNumberFormat="1" applyFont="1" applyFill="1" applyBorder="1" applyAlignment="1" applyProtection="1">
      <protection locked="0"/>
    </xf>
    <xf numFmtId="37" fontId="3" fillId="2" borderId="10" xfId="0" applyNumberFormat="1" applyFont="1" applyFill="1" applyBorder="1" applyAlignment="1" applyProtection="1">
      <protection locked="0"/>
    </xf>
    <xf numFmtId="3" fontId="20" fillId="9" borderId="9" xfId="0" applyNumberFormat="1" applyFont="1" applyFill="1" applyBorder="1" applyAlignment="1" applyProtection="1">
      <alignment horizontal="center"/>
    </xf>
    <xf numFmtId="3" fontId="20" fillId="9" borderId="10" xfId="0" applyNumberFormat="1" applyFont="1" applyFill="1" applyBorder="1" applyAlignment="1" applyProtection="1">
      <alignment horizontal="center"/>
    </xf>
    <xf numFmtId="3" fontId="4" fillId="10" borderId="9" xfId="0" applyNumberFormat="1" applyFont="1" applyFill="1" applyBorder="1" applyAlignment="1" applyProtection="1"/>
    <xf numFmtId="3" fontId="4" fillId="10" borderId="10" xfId="0" applyNumberFormat="1" applyFont="1" applyFill="1" applyBorder="1" applyAlignment="1" applyProtection="1"/>
    <xf numFmtId="0" fontId="3" fillId="4" borderId="9" xfId="0" applyFont="1" applyFill="1" applyBorder="1" applyAlignment="1" applyProtection="1"/>
    <xf numFmtId="0" fontId="3" fillId="4" borderId="10" xfId="0" applyFont="1" applyFill="1" applyBorder="1" applyAlignment="1" applyProtection="1"/>
    <xf numFmtId="37" fontId="3" fillId="4" borderId="9" xfId="0" applyNumberFormat="1" applyFont="1" applyFill="1" applyBorder="1" applyAlignment="1" applyProtection="1"/>
    <xf numFmtId="37" fontId="3" fillId="4" borderId="10" xfId="0" applyNumberFormat="1" applyFont="1" applyFill="1" applyBorder="1" applyAlignment="1" applyProtection="1"/>
    <xf numFmtId="3" fontId="3" fillId="4" borderId="9" xfId="0" applyNumberFormat="1" applyFont="1" applyFill="1" applyBorder="1" applyAlignment="1" applyProtection="1"/>
    <xf numFmtId="3" fontId="3" fillId="4" borderId="10" xfId="0" applyNumberFormat="1" applyFont="1" applyFill="1" applyBorder="1" applyAlignment="1" applyProtection="1"/>
    <xf numFmtId="1" fontId="3" fillId="4" borderId="12" xfId="0" applyNumberFormat="1" applyFont="1" applyFill="1" applyBorder="1" applyAlignment="1" applyProtection="1">
      <alignment horizontal="center"/>
    </xf>
    <xf numFmtId="1" fontId="3" fillId="4" borderId="13" xfId="0" applyNumberFormat="1" applyFont="1" applyFill="1" applyBorder="1" applyAlignment="1" applyProtection="1">
      <alignment horizontal="center"/>
    </xf>
    <xf numFmtId="1" fontId="3" fillId="4" borderId="16" xfId="0" applyNumberFormat="1" applyFont="1" applyFill="1" applyBorder="1" applyAlignment="1" applyProtection="1">
      <alignment horizontal="center"/>
    </xf>
    <xf numFmtId="1" fontId="3" fillId="4" borderId="8" xfId="0" applyNumberFormat="1" applyFont="1" applyFill="1" applyBorder="1" applyAlignment="1" applyProtection="1">
      <alignment horizontal="center"/>
    </xf>
    <xf numFmtId="37" fontId="3" fillId="4" borderId="12" xfId="0" applyNumberFormat="1" applyFont="1" applyFill="1" applyBorder="1" applyAlignment="1" applyProtection="1">
      <alignment horizontal="center"/>
    </xf>
    <xf numFmtId="37" fontId="3" fillId="4" borderId="13" xfId="0" applyNumberFormat="1" applyFont="1" applyFill="1" applyBorder="1" applyAlignment="1" applyProtection="1">
      <alignment horizontal="center"/>
    </xf>
    <xf numFmtId="3" fontId="3" fillId="2" borderId="9" xfId="0" applyNumberFormat="1" applyFont="1" applyFill="1" applyBorder="1" applyAlignment="1" applyProtection="1">
      <alignment horizontal="right"/>
      <protection locked="0"/>
    </xf>
    <xf numFmtId="3" fontId="3" fillId="2" borderId="10" xfId="0" applyNumberFormat="1" applyFont="1" applyFill="1" applyBorder="1" applyAlignment="1" applyProtection="1">
      <alignment horizontal="right"/>
      <protection locked="0"/>
    </xf>
    <xf numFmtId="3" fontId="4" fillId="10" borderId="9" xfId="0" applyNumberFormat="1" applyFont="1" applyFill="1" applyBorder="1" applyAlignment="1" applyProtection="1">
      <alignment horizontal="right"/>
    </xf>
    <xf numFmtId="0" fontId="0" fillId="0" borderId="10" xfId="0" applyBorder="1" applyAlignment="1">
      <alignment horizontal="right"/>
    </xf>
    <xf numFmtId="3" fontId="3" fillId="10" borderId="9" xfId="0" applyNumberFormat="1" applyFont="1" applyFill="1" applyBorder="1" applyAlignment="1" applyProtection="1">
      <alignment horizontal="right"/>
    </xf>
    <xf numFmtId="3" fontId="3" fillId="10" borderId="10" xfId="0" applyNumberFormat="1" applyFont="1" applyFill="1" applyBorder="1" applyAlignment="1" applyProtection="1">
      <alignment horizontal="right"/>
    </xf>
    <xf numFmtId="3" fontId="4" fillId="10" borderId="10" xfId="0" applyNumberFormat="1" applyFont="1" applyFill="1" applyBorder="1" applyAlignment="1" applyProtection="1">
      <alignment horizontal="right"/>
    </xf>
    <xf numFmtId="3" fontId="3" fillId="4" borderId="9" xfId="0" applyNumberFormat="1" applyFont="1" applyFill="1" applyBorder="1" applyAlignment="1" applyProtection="1">
      <alignment horizontal="right"/>
    </xf>
    <xf numFmtId="3" fontId="3" fillId="4" borderId="10" xfId="0" applyNumberFormat="1" applyFont="1" applyFill="1" applyBorder="1" applyAlignment="1" applyProtection="1">
      <alignment horizontal="right"/>
    </xf>
    <xf numFmtId="3" fontId="3" fillId="4" borderId="9" xfId="1" applyNumberFormat="1" applyFont="1" applyFill="1" applyBorder="1" applyAlignment="1" applyProtection="1">
      <alignment horizontal="right"/>
    </xf>
    <xf numFmtId="3" fontId="3" fillId="4" borderId="10" xfId="1" applyNumberFormat="1" applyFont="1" applyFill="1" applyBorder="1" applyAlignment="1" applyProtection="1">
      <alignment horizontal="right"/>
    </xf>
    <xf numFmtId="0" fontId="3" fillId="4" borderId="9" xfId="0" applyFont="1" applyFill="1" applyBorder="1" applyAlignment="1"/>
    <xf numFmtId="0" fontId="3" fillId="4" borderId="10" xfId="0" applyFont="1" applyFill="1" applyBorder="1" applyAlignment="1"/>
    <xf numFmtId="0" fontId="7" fillId="4" borderId="6" xfId="0" applyFont="1" applyFill="1" applyBorder="1" applyAlignment="1">
      <alignment horizontal="center" wrapText="1" shrinkToFit="1"/>
    </xf>
    <xf numFmtId="0" fontId="18" fillId="0" borderId="7" xfId="0" applyFont="1" applyBorder="1" applyAlignment="1">
      <alignment horizontal="center" wrapText="1" shrinkToFit="1"/>
    </xf>
    <xf numFmtId="37" fontId="3" fillId="3" borderId="0" xfId="0" applyNumberFormat="1" applyFont="1" applyFill="1" applyAlignment="1" applyProtection="1">
      <alignment horizontal="center"/>
      <protection locked="0"/>
    </xf>
    <xf numFmtId="0" fontId="3" fillId="4" borderId="0" xfId="0" applyFont="1" applyFill="1" applyAlignment="1">
      <alignment horizontal="right"/>
    </xf>
    <xf numFmtId="0" fontId="0" fillId="0" borderId="0" xfId="0" applyAlignment="1">
      <alignment horizontal="right"/>
    </xf>
    <xf numFmtId="0" fontId="0" fillId="0" borderId="0" xfId="0" applyAlignment="1" applyProtection="1"/>
    <xf numFmtId="0" fontId="0" fillId="0" borderId="0" xfId="0" applyAlignment="1"/>
    <xf numFmtId="0" fontId="3" fillId="4" borderId="0" xfId="0" applyFont="1" applyFill="1" applyAlignment="1" applyProtection="1">
      <alignment horizontal="right"/>
    </xf>
    <xf numFmtId="0" fontId="6" fillId="0" borderId="0" xfId="5" applyFont="1" applyAlignment="1">
      <alignment horizontal="center"/>
    </xf>
    <xf numFmtId="0" fontId="6" fillId="0" borderId="0" xfId="0" applyFont="1" applyAlignment="1">
      <alignment horizontal="center"/>
    </xf>
    <xf numFmtId="0" fontId="6" fillId="0" borderId="0" xfId="0" applyFont="1" applyAlignment="1">
      <alignment horizontal="left" wrapText="1"/>
    </xf>
    <xf numFmtId="0" fontId="0" fillId="0" borderId="0" xfId="0" applyAlignment="1">
      <alignment wrapText="1"/>
    </xf>
    <xf numFmtId="0" fontId="12" fillId="0" borderId="0" xfId="0" applyFont="1" applyAlignment="1">
      <alignment horizontal="center"/>
    </xf>
    <xf numFmtId="0" fontId="13" fillId="0" borderId="0" xfId="0" applyFont="1" applyAlignment="1">
      <alignment horizontal="center"/>
    </xf>
    <xf numFmtId="0" fontId="12" fillId="0" borderId="0" xfId="0" applyFont="1" applyAlignment="1">
      <alignment horizontal="left" wrapText="1"/>
    </xf>
    <xf numFmtId="0" fontId="6" fillId="0" borderId="0" xfId="0" applyFont="1" applyAlignment="1">
      <alignment horizontal="left" vertical="top" wrapText="1"/>
    </xf>
    <xf numFmtId="0" fontId="0" fillId="0" borderId="0" xfId="0" applyAlignment="1">
      <alignment vertical="top" wrapText="1"/>
    </xf>
    <xf numFmtId="0" fontId="2" fillId="0" borderId="0" xfId="0" applyFont="1" applyAlignment="1">
      <alignment wrapText="1"/>
    </xf>
    <xf numFmtId="0" fontId="2" fillId="0" borderId="0" xfId="0" applyFont="1" applyAlignment="1">
      <alignment vertical="top" wrapText="1"/>
    </xf>
  </cellXfs>
  <cellStyles count="6">
    <cellStyle name="Comma" xfId="1" builtinId="3"/>
    <cellStyle name="Hyperlink" xfId="2" builtinId="8"/>
    <cellStyle name="Normal" xfId="0" builtinId="0"/>
    <cellStyle name="Normal_debt" xfId="3"/>
    <cellStyle name="Normal_lpform" xfId="4"/>
    <cellStyle name="Normal_Township 07" xfId="5"/>
  </cellStyles>
  <dxfs count="56">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oleObject" Target="../embeddings/oleObject1.bin"/><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oleObject" Target="../embeddings/oleObject2.bin"/><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dimension ref="A1:B79"/>
  <sheetViews>
    <sheetView zoomScaleNormal="75" workbookViewId="0">
      <selection activeCell="A13" sqref="A13"/>
    </sheetView>
  </sheetViews>
  <sheetFormatPr defaultRowHeight="15.75"/>
  <cols>
    <col min="1" max="1" width="81.6640625" style="1" customWidth="1"/>
    <col min="2" max="16384" width="8.88671875" style="1"/>
  </cols>
  <sheetData>
    <row r="1" spans="1:2">
      <c r="A1" s="6" t="s">
        <v>206</v>
      </c>
      <c r="B1" s="7"/>
    </row>
    <row r="2" spans="1:2">
      <c r="A2" s="6"/>
      <c r="B2" s="7"/>
    </row>
    <row r="3" spans="1:2" ht="35.25" customHeight="1">
      <c r="A3" s="2" t="s">
        <v>203</v>
      </c>
    </row>
    <row r="4" spans="1:2">
      <c r="A4" s="8"/>
    </row>
    <row r="5" spans="1:2">
      <c r="A5" s="8" t="s">
        <v>296</v>
      </c>
    </row>
    <row r="6" spans="1:2">
      <c r="A6" s="8"/>
    </row>
    <row r="7" spans="1:2" ht="55.5" customHeight="1">
      <c r="A7" s="359" t="s">
        <v>351</v>
      </c>
    </row>
    <row r="8" spans="1:2">
      <c r="A8" s="8"/>
    </row>
    <row r="9" spans="1:2">
      <c r="A9" s="9" t="s">
        <v>295</v>
      </c>
      <c r="B9" s="7"/>
    </row>
    <row r="10" spans="1:2" ht="14.25" customHeight="1">
      <c r="A10" s="5"/>
    </row>
    <row r="11" spans="1:2" ht="20.25" customHeight="1">
      <c r="A11" s="8" t="s">
        <v>297</v>
      </c>
    </row>
    <row r="12" spans="1:2" ht="14.25" customHeight="1">
      <c r="A12" s="5"/>
    </row>
    <row r="13" spans="1:2" s="4" customFormat="1" ht="40.5" customHeight="1">
      <c r="A13" s="3" t="s">
        <v>359</v>
      </c>
    </row>
    <row r="16" spans="1:2">
      <c r="A16" s="9" t="s">
        <v>6</v>
      </c>
    </row>
    <row r="17" spans="1:1">
      <c r="A17" s="5"/>
    </row>
    <row r="18" spans="1:1" ht="17.25" customHeight="1">
      <c r="A18" s="11" t="s">
        <v>138</v>
      </c>
    </row>
    <row r="19" spans="1:1" ht="24.75" customHeight="1">
      <c r="A19" s="102" t="s">
        <v>137</v>
      </c>
    </row>
    <row r="20" spans="1:1" ht="52.5" customHeight="1">
      <c r="A20" s="101" t="s">
        <v>139</v>
      </c>
    </row>
    <row r="21" spans="1:1" ht="20.25" customHeight="1">
      <c r="A21" s="227" t="s">
        <v>204</v>
      </c>
    </row>
    <row r="22" spans="1:1" s="105" customFormat="1" ht="20.25" customHeight="1">
      <c r="A22" s="360" t="s">
        <v>205</v>
      </c>
    </row>
    <row r="23" spans="1:1" ht="21" customHeight="1">
      <c r="A23" s="3" t="s">
        <v>84</v>
      </c>
    </row>
    <row r="24" spans="1:1">
      <c r="A24" s="5"/>
    </row>
    <row r="25" spans="1:1">
      <c r="A25" s="10" t="s">
        <v>7</v>
      </c>
    </row>
    <row r="27" spans="1:1" ht="21" customHeight="1">
      <c r="A27" s="4" t="s">
        <v>238</v>
      </c>
    </row>
    <row r="28" spans="1:1" ht="9" customHeight="1"/>
    <row r="29" spans="1:1" ht="69.75" customHeight="1">
      <c r="A29" s="4" t="s">
        <v>267</v>
      </c>
    </row>
    <row r="30" spans="1:1" ht="51.75" customHeight="1">
      <c r="A30" s="347" t="s">
        <v>268</v>
      </c>
    </row>
    <row r="31" spans="1:1" ht="10.5" customHeight="1"/>
    <row r="32" spans="1:1" ht="66.75" customHeight="1">
      <c r="A32" s="4" t="s">
        <v>269</v>
      </c>
    </row>
    <row r="33" spans="1:1" ht="55.5" customHeight="1">
      <c r="A33" s="4" t="s">
        <v>270</v>
      </c>
    </row>
    <row r="34" spans="1:1" ht="92.25" customHeight="1">
      <c r="A34" s="4" t="s">
        <v>352</v>
      </c>
    </row>
    <row r="35" spans="1:1" ht="7.5" customHeight="1">
      <c r="A35" s="4"/>
    </row>
    <row r="36" spans="1:1" ht="79.5" customHeight="1">
      <c r="A36" s="4" t="s">
        <v>271</v>
      </c>
    </row>
    <row r="37" spans="1:1" ht="60.75" customHeight="1">
      <c r="A37" s="4" t="s">
        <v>272</v>
      </c>
    </row>
    <row r="38" spans="1:1" ht="39.75" customHeight="1">
      <c r="A38" s="4" t="s">
        <v>273</v>
      </c>
    </row>
    <row r="39" spans="1:1" ht="6.75" customHeight="1">
      <c r="A39" s="4"/>
    </row>
    <row r="40" spans="1:1" ht="69.75" customHeight="1">
      <c r="A40" s="4" t="s">
        <v>350</v>
      </c>
    </row>
    <row r="41" spans="1:1" ht="38.25" customHeight="1">
      <c r="A41" s="4" t="s">
        <v>358</v>
      </c>
    </row>
    <row r="42" spans="1:1" ht="44.25" customHeight="1">
      <c r="A42" s="4" t="s">
        <v>353</v>
      </c>
    </row>
    <row r="43" spans="1:1" ht="12" customHeight="1"/>
    <row r="44" spans="1:1" ht="51" customHeight="1">
      <c r="A44" s="4" t="s">
        <v>274</v>
      </c>
    </row>
    <row r="45" spans="1:1" ht="11.25" customHeight="1"/>
    <row r="46" spans="1:1" ht="41.25" customHeight="1">
      <c r="A46" s="4" t="s">
        <v>275</v>
      </c>
    </row>
    <row r="47" spans="1:1" ht="18" customHeight="1">
      <c r="A47" s="1" t="s">
        <v>276</v>
      </c>
    </row>
    <row r="48" spans="1:1" ht="34.5" customHeight="1">
      <c r="A48" s="4" t="s">
        <v>277</v>
      </c>
    </row>
    <row r="49" spans="1:1" ht="11.25" customHeight="1"/>
    <row r="50" spans="1:1" s="4" customFormat="1" ht="69" customHeight="1">
      <c r="A50" s="4" t="s">
        <v>278</v>
      </c>
    </row>
    <row r="51" spans="1:1" ht="9" customHeight="1"/>
    <row r="52" spans="1:1" s="4" customFormat="1" ht="75.75" customHeight="1">
      <c r="A52" s="4" t="s">
        <v>354</v>
      </c>
    </row>
    <row r="53" spans="1:1" ht="11.25" customHeight="1">
      <c r="A53" s="4"/>
    </row>
    <row r="54" spans="1:1" ht="60.75" customHeight="1">
      <c r="A54" s="4" t="s">
        <v>298</v>
      </c>
    </row>
    <row r="55" spans="1:1" ht="69" customHeight="1">
      <c r="A55" s="4" t="s">
        <v>279</v>
      </c>
    </row>
    <row r="56" spans="1:1" ht="94.5" customHeight="1">
      <c r="A56" s="4" t="s">
        <v>280</v>
      </c>
    </row>
    <row r="57" spans="1:1" ht="138" customHeight="1">
      <c r="A57" s="4" t="s">
        <v>281</v>
      </c>
    </row>
    <row r="58" spans="1:1" ht="104.25" customHeight="1">
      <c r="A58" s="414" t="s">
        <v>355</v>
      </c>
    </row>
    <row r="59" spans="1:1" ht="88.5" customHeight="1">
      <c r="A59" s="4" t="s">
        <v>356</v>
      </c>
    </row>
    <row r="60" spans="1:1" ht="63.75" customHeight="1">
      <c r="A60" s="4" t="s">
        <v>357</v>
      </c>
    </row>
    <row r="61" spans="1:1" ht="114" customHeight="1">
      <c r="A61" s="4" t="s">
        <v>0</v>
      </c>
    </row>
    <row r="62" spans="1:1" ht="69.75" customHeight="1">
      <c r="A62" s="4" t="s">
        <v>1</v>
      </c>
    </row>
    <row r="63" spans="1:1" ht="10.5" customHeight="1">
      <c r="A63" s="4"/>
    </row>
    <row r="64" spans="1:1" ht="117" customHeight="1">
      <c r="A64" s="4" t="s">
        <v>2</v>
      </c>
    </row>
    <row r="65" spans="1:1" ht="102" customHeight="1">
      <c r="A65" s="414" t="s">
        <v>3</v>
      </c>
    </row>
    <row r="66" spans="1:1" ht="57" customHeight="1">
      <c r="A66" s="414" t="s">
        <v>4</v>
      </c>
    </row>
    <row r="67" spans="1:1" ht="27.75" customHeight="1">
      <c r="A67" s="4" t="s">
        <v>5</v>
      </c>
    </row>
    <row r="68" spans="1:1" ht="8.25" customHeight="1">
      <c r="A68" s="4"/>
    </row>
    <row r="69" spans="1:1" ht="52.5" customHeight="1">
      <c r="A69" s="4" t="s">
        <v>299</v>
      </c>
    </row>
    <row r="70" spans="1:1" ht="78" customHeight="1">
      <c r="A70" s="4" t="s">
        <v>300</v>
      </c>
    </row>
    <row r="71" spans="1:1" ht="36.75" customHeight="1">
      <c r="A71" s="4" t="s">
        <v>301</v>
      </c>
    </row>
    <row r="72" spans="1:1" ht="25.5" customHeight="1">
      <c r="A72" s="4" t="s">
        <v>302</v>
      </c>
    </row>
    <row r="73" spans="1:1" ht="25.5" customHeight="1">
      <c r="A73" s="4" t="s">
        <v>303</v>
      </c>
    </row>
    <row r="74" spans="1:1" ht="41.25" customHeight="1">
      <c r="A74" s="4" t="s">
        <v>304</v>
      </c>
    </row>
    <row r="75" spans="1:1" ht="53.25" customHeight="1">
      <c r="A75" s="4" t="s">
        <v>305</v>
      </c>
    </row>
    <row r="77" spans="1:1" ht="31.5">
      <c r="A77" s="4" t="s">
        <v>282</v>
      </c>
    </row>
    <row r="79" spans="1:1" ht="24.75" customHeight="1">
      <c r="A79" s="4" t="s">
        <v>283</v>
      </c>
    </row>
  </sheetData>
  <sheetProtection sheet="1" objects="1" scenarios="1"/>
  <phoneticPr fontId="0" type="noConversion"/>
  <pageMargins left="0.5" right="0.5" top="0.5" bottom="0.5" header="0.5" footer="0.5"/>
  <pageSetup orientation="portrait" blackAndWhite="1" horizontalDpi="4294967292" r:id="rId1"/>
  <headerFooter alignWithMargins="0">
    <oddFooter>&amp;Lrevised 2/23/09</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E57"/>
  <sheetViews>
    <sheetView workbookViewId="0">
      <selection activeCell="E51" sqref="E51"/>
    </sheetView>
  </sheetViews>
  <sheetFormatPr defaultRowHeight="15.75"/>
  <cols>
    <col min="1" max="1" width="15.77734375" style="13" customWidth="1"/>
    <col min="2" max="2" width="20.77734375" style="13" customWidth="1"/>
    <col min="3" max="3" width="10.77734375" style="13" customWidth="1"/>
    <col min="4" max="4" width="15.6640625" style="13" customWidth="1"/>
    <col min="5" max="5" width="14.21875" style="13" customWidth="1"/>
    <col min="6" max="16384" width="8.88671875" style="13"/>
  </cols>
  <sheetData>
    <row r="1" spans="1:5">
      <c r="A1" s="420" t="s">
        <v>8</v>
      </c>
      <c r="B1" s="421"/>
      <c r="C1" s="421"/>
      <c r="D1" s="421"/>
      <c r="E1" s="421"/>
    </row>
    <row r="2" spans="1:5">
      <c r="A2" s="35"/>
      <c r="B2" s="32"/>
      <c r="C2" s="32"/>
      <c r="D2" s="32"/>
      <c r="E2" s="32"/>
    </row>
    <row r="3" spans="1:5">
      <c r="A3" s="280" t="s">
        <v>140</v>
      </c>
      <c r="B3" s="32"/>
      <c r="C3" s="32"/>
      <c r="D3" s="103" t="s">
        <v>370</v>
      </c>
      <c r="E3" s="115"/>
    </row>
    <row r="4" spans="1:5">
      <c r="A4" s="280" t="s">
        <v>289</v>
      </c>
      <c r="B4" s="32"/>
      <c r="C4" s="32"/>
      <c r="D4" s="104" t="s">
        <v>371</v>
      </c>
      <c r="E4" s="115"/>
    </row>
    <row r="5" spans="1:5">
      <c r="A5" s="280" t="s">
        <v>178</v>
      </c>
      <c r="B5" s="32"/>
      <c r="C5" s="32"/>
      <c r="D5" s="154"/>
      <c r="E5" s="115"/>
    </row>
    <row r="6" spans="1:5">
      <c r="A6" s="349" t="s">
        <v>290</v>
      </c>
      <c r="B6" s="59"/>
      <c r="C6" s="59"/>
      <c r="D6" s="103" t="s">
        <v>372</v>
      </c>
      <c r="E6" s="115"/>
    </row>
    <row r="7" spans="1:5">
      <c r="A7" s="280" t="s">
        <v>291</v>
      </c>
      <c r="B7" s="32"/>
      <c r="C7" s="32"/>
      <c r="D7" s="104"/>
      <c r="E7" s="115"/>
    </row>
    <row r="8" spans="1:5">
      <c r="A8" s="280" t="s">
        <v>292</v>
      </c>
      <c r="B8" s="32"/>
      <c r="C8" s="32"/>
      <c r="D8" s="104"/>
      <c r="E8" s="115"/>
    </row>
    <row r="9" spans="1:5">
      <c r="A9" s="280" t="s">
        <v>293</v>
      </c>
      <c r="B9" s="32"/>
      <c r="C9" s="32"/>
      <c r="D9" s="104"/>
      <c r="E9" s="115"/>
    </row>
    <row r="10" spans="1:5">
      <c r="A10" s="32"/>
      <c r="B10" s="32"/>
      <c r="C10" s="32"/>
      <c r="D10" s="32"/>
      <c r="E10" s="32"/>
    </row>
    <row r="11" spans="1:5">
      <c r="A11" s="280" t="s">
        <v>241</v>
      </c>
      <c r="B11" s="32"/>
      <c r="C11" s="32"/>
      <c r="D11" s="279">
        <v>2010</v>
      </c>
      <c r="E11" s="32"/>
    </row>
    <row r="12" spans="1:5">
      <c r="A12" s="32"/>
      <c r="B12" s="32"/>
      <c r="C12" s="32"/>
      <c r="D12" s="32"/>
      <c r="E12" s="32"/>
    </row>
    <row r="13" spans="1:5">
      <c r="A13" s="97" t="s">
        <v>85</v>
      </c>
      <c r="B13" s="98"/>
      <c r="C13" s="98"/>
      <c r="D13" s="98"/>
      <c r="E13" s="98"/>
    </row>
    <row r="14" spans="1:5">
      <c r="A14" s="97" t="s">
        <v>86</v>
      </c>
      <c r="B14" s="98"/>
      <c r="C14" s="98"/>
      <c r="D14" s="98"/>
      <c r="E14" s="98"/>
    </row>
    <row r="15" spans="1:5">
      <c r="A15" s="74" t="s">
        <v>242</v>
      </c>
      <c r="B15" s="32"/>
      <c r="C15" s="32"/>
      <c r="D15" s="32"/>
      <c r="E15" s="32"/>
    </row>
    <row r="16" spans="1:5">
      <c r="A16" s="74"/>
      <c r="B16" s="32"/>
      <c r="C16" s="32"/>
      <c r="D16" s="32"/>
      <c r="E16" s="32"/>
    </row>
    <row r="17" spans="1:5">
      <c r="A17" s="418" t="s">
        <v>179</v>
      </c>
      <c r="B17" s="419"/>
      <c r="C17" s="419"/>
      <c r="D17" s="419"/>
      <c r="E17" s="419"/>
    </row>
    <row r="18" spans="1:5">
      <c r="A18" s="168"/>
      <c r="B18" s="168"/>
      <c r="C18" s="168"/>
      <c r="D18" s="168"/>
      <c r="E18" s="168"/>
    </row>
    <row r="19" spans="1:5">
      <c r="A19" s="165" t="s">
        <v>177</v>
      </c>
      <c r="B19" s="110"/>
      <c r="C19" s="32"/>
      <c r="D19" s="32"/>
      <c r="E19" s="32"/>
    </row>
    <row r="20" spans="1:5">
      <c r="A20" s="107" t="str">
        <f>CONCATENATE("the ",D11-1," Budget, Certificate Page:")</f>
        <v>the 2009 Budget, Certificate Page:</v>
      </c>
      <c r="B20" s="108"/>
      <c r="C20" s="32"/>
      <c r="D20" s="32"/>
      <c r="E20" s="32"/>
    </row>
    <row r="21" spans="1:5" ht="15.75" customHeight="1">
      <c r="A21" s="32"/>
      <c r="B21" s="32"/>
      <c r="C21" s="99"/>
      <c r="D21" s="406">
        <f>D11-1</f>
        <v>2009</v>
      </c>
      <c r="E21" s="422" t="str">
        <f>CONCATENATE("Amount of ",D11-2,"     Ad Valorem Tax")</f>
        <v>Amount of 2008     Ad Valorem Tax</v>
      </c>
    </row>
    <row r="22" spans="1:5">
      <c r="A22" s="35" t="s">
        <v>9</v>
      </c>
      <c r="B22" s="32"/>
      <c r="C22" s="99" t="s">
        <v>10</v>
      </c>
      <c r="D22" s="407" t="s">
        <v>59</v>
      </c>
      <c r="E22" s="423"/>
    </row>
    <row r="23" spans="1:5">
      <c r="A23" s="32"/>
      <c r="B23" s="75" t="s">
        <v>11</v>
      </c>
      <c r="C23" s="166" t="s">
        <v>373</v>
      </c>
      <c r="D23" s="15">
        <v>10835</v>
      </c>
      <c r="E23" s="15">
        <v>7826</v>
      </c>
    </row>
    <row r="24" spans="1:5">
      <c r="A24" s="32"/>
      <c r="B24" s="75" t="s">
        <v>176</v>
      </c>
      <c r="C24" s="71" t="s">
        <v>175</v>
      </c>
      <c r="D24" s="15"/>
      <c r="E24" s="15"/>
    </row>
    <row r="25" spans="1:5">
      <c r="A25" s="35" t="s">
        <v>12</v>
      </c>
      <c r="B25" s="32"/>
      <c r="C25" s="32"/>
      <c r="D25" s="66"/>
      <c r="E25" s="32"/>
    </row>
    <row r="26" spans="1:5">
      <c r="A26" s="32"/>
      <c r="B26" s="14"/>
      <c r="C26" s="166"/>
      <c r="D26" s="15"/>
      <c r="E26" s="15"/>
    </row>
    <row r="27" spans="1:5">
      <c r="A27" s="32"/>
      <c r="B27" s="14"/>
      <c r="C27" s="166"/>
      <c r="D27" s="15"/>
      <c r="E27" s="15"/>
    </row>
    <row r="28" spans="1:5" ht="16.5" thickBot="1">
      <c r="A28" s="232" t="str">
        <f>CONCATENATE("Total Ad Valorem Tax for ",D11-1," Budgeted Year")</f>
        <v>Total Ad Valorem Tax for 2009 Budgeted Year</v>
      </c>
      <c r="B28" s="39"/>
      <c r="C28" s="39"/>
      <c r="D28" s="404"/>
      <c r="E28" s="405">
        <f>SUM(E23:E27)</f>
        <v>7826</v>
      </c>
    </row>
    <row r="29" spans="1:5" ht="16.5" thickTop="1">
      <c r="A29" s="82" t="s">
        <v>13</v>
      </c>
      <c r="B29" s="32"/>
      <c r="C29" s="32"/>
      <c r="D29" s="32"/>
      <c r="E29" s="32"/>
    </row>
    <row r="30" spans="1:5">
      <c r="A30" s="32"/>
      <c r="B30" s="14"/>
      <c r="C30" s="32"/>
      <c r="D30" s="15"/>
      <c r="E30" s="32"/>
    </row>
    <row r="31" spans="1:5">
      <c r="A31" s="32"/>
      <c r="B31" s="14"/>
      <c r="C31" s="32"/>
      <c r="D31" s="15"/>
      <c r="E31" s="32"/>
    </row>
    <row r="32" spans="1:5" ht="16.5" thickBot="1">
      <c r="A32" s="39" t="str">
        <f>CONCATENATE("Total Expenditures for ",D11-1," Budgeted Year")</f>
        <v>Total Expenditures for 2009 Budgeted Year</v>
      </c>
      <c r="B32" s="39"/>
      <c r="C32" s="62"/>
      <c r="D32" s="302">
        <f>SUM(D23:D24,D26:D27,D30:D31)</f>
        <v>10835</v>
      </c>
      <c r="E32" s="66"/>
    </row>
    <row r="33" spans="1:5" ht="16.5" thickTop="1">
      <c r="A33" s="32" t="s">
        <v>349</v>
      </c>
      <c r="B33" s="32"/>
      <c r="C33" s="32"/>
      <c r="D33" s="32"/>
      <c r="E33" s="66"/>
    </row>
    <row r="34" spans="1:5">
      <c r="A34" s="32">
        <v>1</v>
      </c>
      <c r="B34" s="23"/>
      <c r="C34" s="32"/>
      <c r="D34" s="32"/>
      <c r="E34" s="66"/>
    </row>
    <row r="35" spans="1:5">
      <c r="A35" s="32">
        <v>2</v>
      </c>
      <c r="B35" s="23"/>
      <c r="C35" s="32"/>
      <c r="D35" s="32"/>
      <c r="E35" s="66"/>
    </row>
    <row r="36" spans="1:5">
      <c r="A36" s="32">
        <v>3</v>
      </c>
      <c r="B36" s="23"/>
      <c r="C36" s="32"/>
      <c r="D36" s="32"/>
      <c r="E36" s="66"/>
    </row>
    <row r="37" spans="1:5">
      <c r="A37" s="32">
        <v>4</v>
      </c>
      <c r="B37" s="23"/>
      <c r="C37" s="32"/>
      <c r="D37" s="32"/>
      <c r="E37" s="66"/>
    </row>
    <row r="38" spans="1:5">
      <c r="A38" s="32">
        <v>5</v>
      </c>
      <c r="B38" s="23"/>
      <c r="C38" s="32"/>
      <c r="D38" s="32"/>
      <c r="E38" s="66"/>
    </row>
    <row r="39" spans="1:5">
      <c r="A39" s="32"/>
      <c r="B39" s="32"/>
      <c r="C39" s="32"/>
      <c r="D39" s="32"/>
      <c r="E39" s="66"/>
    </row>
    <row r="40" spans="1:5" ht="15.75" customHeight="1">
      <c r="A40" s="165" t="s">
        <v>177</v>
      </c>
      <c r="B40" s="110"/>
      <c r="C40" s="32"/>
      <c r="D40" s="416" t="str">
        <f>CONCATENATE("",D11-3," Tax Rate         (",D11-2," Column)")</f>
        <v>2007 Tax Rate         (2008 Column)</v>
      </c>
      <c r="E40" s="66"/>
    </row>
    <row r="41" spans="1:5">
      <c r="A41" s="107" t="str">
        <f>CONCATENATE("the ",D11-1," Budget, Budget Summary Page")</f>
        <v>the 2009 Budget, Budget Summary Page</v>
      </c>
      <c r="B41" s="108"/>
      <c r="C41" s="32"/>
      <c r="D41" s="417"/>
      <c r="E41" s="66"/>
    </row>
    <row r="42" spans="1:5">
      <c r="A42" s="32"/>
      <c r="B42" s="49" t="str">
        <f>B23</f>
        <v>General</v>
      </c>
      <c r="C42" s="32"/>
      <c r="D42" s="16">
        <v>2.3780000000000001</v>
      </c>
      <c r="E42" s="66"/>
    </row>
    <row r="43" spans="1:5">
      <c r="A43" s="32"/>
      <c r="B43" s="49" t="str">
        <f>B24</f>
        <v>Bond &amp; Interest</v>
      </c>
      <c r="C43" s="32"/>
      <c r="D43" s="16"/>
      <c r="E43" s="66"/>
    </row>
    <row r="44" spans="1:5">
      <c r="A44" s="32"/>
      <c r="B44" s="49">
        <f>B26</f>
        <v>0</v>
      </c>
      <c r="C44" s="32"/>
      <c r="D44" s="16"/>
      <c r="E44" s="66"/>
    </row>
    <row r="45" spans="1:5">
      <c r="A45" s="32"/>
      <c r="B45" s="49">
        <f>B27</f>
        <v>0</v>
      </c>
      <c r="C45" s="32"/>
      <c r="D45" s="16"/>
      <c r="E45" s="66"/>
    </row>
    <row r="46" spans="1:5" ht="16.5" thickBot="1">
      <c r="A46" s="35" t="s">
        <v>14</v>
      </c>
      <c r="B46" s="32"/>
      <c r="C46" s="32"/>
      <c r="D46" s="96">
        <f>SUM(D42:D45)</f>
        <v>2.3780000000000001</v>
      </c>
      <c r="E46" s="66"/>
    </row>
    <row r="47" spans="1:5" ht="16.5" thickTop="1">
      <c r="A47" s="32"/>
      <c r="B47" s="32"/>
      <c r="C47" s="32"/>
      <c r="D47" s="32"/>
      <c r="E47" s="66"/>
    </row>
    <row r="48" spans="1:5">
      <c r="A48" s="82"/>
      <c r="B48" s="32"/>
      <c r="C48" s="32"/>
      <c r="D48" s="32"/>
      <c r="E48" s="155"/>
    </row>
    <row r="49" spans="1:5">
      <c r="A49" s="243" t="str">
        <f>CONCATENATE("Total Tax Levied (",D11-2," budget column):")</f>
        <v>Total Tax Levied (2008 budget column):</v>
      </c>
      <c r="B49" s="110"/>
      <c r="C49" s="32"/>
      <c r="D49" s="32"/>
      <c r="E49" s="17">
        <v>7792</v>
      </c>
    </row>
    <row r="50" spans="1:5">
      <c r="A50" s="243" t="str">
        <f>CONCATENATE("Assessed Valuation (",D11-2," budget column):")</f>
        <v>Assessed Valuation (2008 budget column):</v>
      </c>
      <c r="B50" s="110"/>
      <c r="C50" s="32"/>
      <c r="D50" s="32"/>
      <c r="E50" s="17">
        <v>3276533</v>
      </c>
    </row>
    <row r="51" spans="1:5">
      <c r="A51" s="32"/>
      <c r="B51" s="32"/>
      <c r="C51" s="32"/>
      <c r="D51" s="32"/>
      <c r="E51" s="66"/>
    </row>
    <row r="52" spans="1:5">
      <c r="A52" s="110" t="s">
        <v>243</v>
      </c>
      <c r="B52" s="110"/>
      <c r="C52" s="67"/>
      <c r="D52" s="244">
        <f>D11-3</f>
        <v>2007</v>
      </c>
      <c r="E52" s="244">
        <f>D11-2</f>
        <v>2008</v>
      </c>
    </row>
    <row r="53" spans="1:5">
      <c r="A53" s="245" t="s">
        <v>228</v>
      </c>
      <c r="B53" s="245"/>
      <c r="C53" s="246"/>
      <c r="D53" s="247"/>
      <c r="E53" s="247"/>
    </row>
    <row r="54" spans="1:5">
      <c r="A54" s="248" t="s">
        <v>229</v>
      </c>
      <c r="B54" s="248"/>
      <c r="C54" s="249"/>
      <c r="D54" s="247"/>
      <c r="E54" s="247"/>
    </row>
    <row r="55" spans="1:5">
      <c r="A55" s="248" t="s">
        <v>237</v>
      </c>
      <c r="B55" s="248"/>
      <c r="C55" s="249"/>
      <c r="D55" s="247"/>
      <c r="E55" s="247"/>
    </row>
    <row r="56" spans="1:5">
      <c r="A56" s="248" t="s">
        <v>230</v>
      </c>
      <c r="B56" s="248"/>
      <c r="C56" s="249"/>
      <c r="D56" s="247"/>
      <c r="E56" s="247"/>
    </row>
    <row r="57" spans="1:5">
      <c r="A57" s="248"/>
      <c r="B57" s="248"/>
      <c r="C57" s="250"/>
      <c r="D57" s="247"/>
      <c r="E57" s="247"/>
    </row>
  </sheetData>
  <sheetProtection sheet="1" objects="1" scenarios="1"/>
  <mergeCells count="4">
    <mergeCell ref="D40:D41"/>
    <mergeCell ref="A17:E17"/>
    <mergeCell ref="A1:E1"/>
    <mergeCell ref="E21:E22"/>
  </mergeCells>
  <phoneticPr fontId="0" type="noConversion"/>
  <pageMargins left="0.5" right="0.5" top="0.5" bottom="0.5" header="0.5" footer="0.5"/>
  <pageSetup scale="76" orientation="portrait" blackAndWhite="1" horizontalDpi="120" verticalDpi="144" r:id="rId1"/>
  <headerFooter alignWithMargins="0">
    <oddFooter>&amp;Lrevised 5/08/09</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E114"/>
  <sheetViews>
    <sheetView topLeftCell="A91" workbookViewId="0">
      <selection activeCell="B110" sqref="B110"/>
    </sheetView>
  </sheetViews>
  <sheetFormatPr defaultRowHeight="15"/>
  <cols>
    <col min="1" max="1" width="15.77734375" customWidth="1"/>
    <col min="2" max="2" width="20.77734375" customWidth="1"/>
    <col min="3" max="3" width="11.5546875" customWidth="1"/>
    <col min="4" max="4" width="15.6640625" customWidth="1"/>
    <col min="5" max="5" width="14.21875" customWidth="1"/>
  </cols>
  <sheetData>
    <row r="1" spans="1:5" ht="15.75">
      <c r="A1" s="126" t="str">
        <f>inputPrYr!D3</f>
        <v>Fairview</v>
      </c>
      <c r="B1" s="126"/>
      <c r="C1" s="126"/>
      <c r="D1" s="126"/>
      <c r="E1" s="32">
        <f>inputPrYr!D11</f>
        <v>2010</v>
      </c>
    </row>
    <row r="2" spans="1:5">
      <c r="A2" s="126"/>
      <c r="B2" s="126"/>
      <c r="C2" s="126"/>
      <c r="D2" s="126"/>
      <c r="E2" s="126"/>
    </row>
    <row r="3" spans="1:5">
      <c r="A3" s="418" t="s">
        <v>179</v>
      </c>
      <c r="B3" s="424"/>
      <c r="C3" s="424"/>
      <c r="D3" s="424"/>
      <c r="E3" s="424"/>
    </row>
    <row r="4" spans="1:5" ht="15.75">
      <c r="A4" s="168"/>
      <c r="B4" s="168"/>
      <c r="C4" s="168"/>
      <c r="D4" s="168"/>
      <c r="E4" s="168"/>
    </row>
    <row r="5" spans="1:5" ht="15.75">
      <c r="A5" s="127" t="str">
        <f>CONCATENATE("From the County Clerks ",E1," Budget Information:")</f>
        <v>From the County Clerks 2010 Budget Information:</v>
      </c>
      <c r="B5" s="106"/>
      <c r="C5" s="106"/>
      <c r="D5" s="32"/>
      <c r="E5" s="66"/>
    </row>
    <row r="6" spans="1:5" ht="15.75">
      <c r="A6" s="251" t="str">
        <f>CONCATENATE("Assessed Valuation for ",inputPrYr!D11-1,":")</f>
        <v>Assessed Valuation for 2009:</v>
      </c>
      <c r="B6" s="59"/>
      <c r="C6" s="59"/>
      <c r="D6" s="59"/>
      <c r="E6" s="167"/>
    </row>
    <row r="7" spans="1:5" ht="15.75">
      <c r="A7" s="82" t="str">
        <f>inputPrYr!$D$4</f>
        <v>Thomas</v>
      </c>
      <c r="B7" s="59"/>
      <c r="C7" s="59"/>
      <c r="D7" s="17">
        <v>1866963</v>
      </c>
      <c r="E7" s="67"/>
    </row>
    <row r="8" spans="1:5" ht="15.75">
      <c r="A8" s="82" t="str">
        <f>inputPrYr!$D$6</f>
        <v>Sheridan</v>
      </c>
      <c r="B8" s="59"/>
      <c r="C8" s="59"/>
      <c r="D8" s="17">
        <v>1156844</v>
      </c>
      <c r="E8" s="67"/>
    </row>
    <row r="9" spans="1:5" ht="15.75">
      <c r="A9" s="82">
        <f>inputPrYr!$D$7</f>
        <v>0</v>
      </c>
      <c r="B9" s="59"/>
      <c r="C9" s="59"/>
      <c r="D9" s="17"/>
      <c r="E9" s="67"/>
    </row>
    <row r="10" spans="1:5" ht="15.75">
      <c r="A10" s="82">
        <f>inputPrYr!$D$8</f>
        <v>0</v>
      </c>
      <c r="B10" s="59"/>
      <c r="C10" s="59"/>
      <c r="D10" s="17"/>
      <c r="E10" s="67"/>
    </row>
    <row r="11" spans="1:5" ht="15.75">
      <c r="A11" s="82">
        <f>inputPrYr!$D$9</f>
        <v>0</v>
      </c>
      <c r="B11" s="59"/>
      <c r="C11" s="59"/>
      <c r="D11" s="17"/>
      <c r="E11" s="67"/>
    </row>
    <row r="12" spans="1:5" ht="16.5" thickBot="1">
      <c r="A12" s="82" t="str">
        <f>CONCATENATE("Total Assessed Valuation for ",inputPrYr!D11-1,"")</f>
        <v>Total Assessed Valuation for 2009</v>
      </c>
      <c r="B12" s="59"/>
      <c r="C12" s="59"/>
      <c r="D12" s="59"/>
      <c r="E12" s="276">
        <f>SUM(D7:D11)</f>
        <v>3023807</v>
      </c>
    </row>
    <row r="13" spans="1:5" ht="16.5" thickTop="1">
      <c r="A13" s="251" t="str">
        <f>CONCATENATE("New Improvements for ",inputPrYr!D11-1,":")</f>
        <v>New Improvements for 2009:</v>
      </c>
      <c r="B13" s="59"/>
      <c r="C13" s="59"/>
      <c r="D13" s="59"/>
      <c r="E13" s="235"/>
    </row>
    <row r="14" spans="1:5" ht="15.75">
      <c r="A14" s="82" t="str">
        <f>inputPrYr!$D$4</f>
        <v>Thomas</v>
      </c>
      <c r="B14" s="59"/>
      <c r="C14" s="59"/>
      <c r="D14" s="156"/>
      <c r="E14" s="32"/>
    </row>
    <row r="15" spans="1:5" ht="15.75">
      <c r="A15" s="82" t="str">
        <f>inputPrYr!$D$6</f>
        <v>Sheridan</v>
      </c>
      <c r="B15" s="59"/>
      <c r="C15" s="59"/>
      <c r="D15" s="31">
        <v>11586</v>
      </c>
      <c r="E15" s="32"/>
    </row>
    <row r="16" spans="1:5" ht="15.75">
      <c r="A16" s="82">
        <f>inputPrYr!$D$7</f>
        <v>0</v>
      </c>
      <c r="B16" s="59"/>
      <c r="C16" s="59"/>
      <c r="D16" s="31"/>
      <c r="E16" s="32"/>
    </row>
    <row r="17" spans="1:5" ht="15.75">
      <c r="A17" s="82">
        <f>inputPrYr!$D$8</f>
        <v>0</v>
      </c>
      <c r="B17" s="59"/>
      <c r="C17" s="59"/>
      <c r="D17" s="31"/>
      <c r="E17" s="32"/>
    </row>
    <row r="18" spans="1:5" ht="15.75">
      <c r="A18" s="82">
        <f>inputPrYr!$D$9</f>
        <v>0</v>
      </c>
      <c r="B18" s="59"/>
      <c r="C18" s="59"/>
      <c r="D18" s="31"/>
      <c r="E18" s="59"/>
    </row>
    <row r="19" spans="1:5" ht="16.5" thickBot="1">
      <c r="A19" s="82" t="str">
        <f>CONCATENATE("Total New Improvements for ",inputPrYr!D11-1,"")</f>
        <v>Total New Improvements for 2009</v>
      </c>
      <c r="B19" s="59"/>
      <c r="C19" s="59"/>
      <c r="D19" s="59"/>
      <c r="E19" s="277">
        <f>SUM(D14:D18)</f>
        <v>11586</v>
      </c>
    </row>
    <row r="20" spans="1:5" ht="16.5" thickTop="1">
      <c r="A20" s="251" t="str">
        <f>CONCATENATE("Personal Property excluding oil, gas, and mobile homes - ",inputPrYr!D11-1,":")</f>
        <v>Personal Property excluding oil, gas, and mobile homes - 2009:</v>
      </c>
      <c r="B20" s="59"/>
      <c r="C20" s="59"/>
      <c r="D20" s="59"/>
      <c r="E20" s="235"/>
    </row>
    <row r="21" spans="1:5" ht="15.75">
      <c r="A21" s="82" t="str">
        <f>inputPrYr!$D$4</f>
        <v>Thomas</v>
      </c>
      <c r="B21" s="59"/>
      <c r="C21" s="59"/>
      <c r="D21" s="156">
        <v>89059</v>
      </c>
      <c r="E21" s="32"/>
    </row>
    <row r="22" spans="1:5" ht="15.75">
      <c r="A22" s="82" t="str">
        <f>inputPrYr!$D$6</f>
        <v>Sheridan</v>
      </c>
      <c r="B22" s="59"/>
      <c r="C22" s="59"/>
      <c r="D22" s="156">
        <v>94422</v>
      </c>
      <c r="E22" s="32"/>
    </row>
    <row r="23" spans="1:5" ht="15.75">
      <c r="A23" s="82">
        <f>inputPrYr!$D$7</f>
        <v>0</v>
      </c>
      <c r="B23" s="59"/>
      <c r="C23" s="59"/>
      <c r="D23" s="156"/>
      <c r="E23" s="32"/>
    </row>
    <row r="24" spans="1:5" ht="15.75">
      <c r="A24" s="82">
        <f>inputPrYr!$D$8</f>
        <v>0</v>
      </c>
      <c r="B24" s="59"/>
      <c r="C24" s="59"/>
      <c r="D24" s="156"/>
      <c r="E24" s="32"/>
    </row>
    <row r="25" spans="1:5" ht="15.75">
      <c r="A25" s="82">
        <f>inputPrYr!$D$9</f>
        <v>0</v>
      </c>
      <c r="B25" s="59"/>
      <c r="C25" s="59"/>
      <c r="D25" s="156"/>
      <c r="E25" s="32"/>
    </row>
    <row r="26" spans="1:5" ht="16.5" thickBot="1">
      <c r="A26" s="82" t="str">
        <f>CONCATENATE("Total Personal Property - ",inputPrYr!D11-1,"")</f>
        <v>Total Personal Property - 2009</v>
      </c>
      <c r="B26" s="59"/>
      <c r="C26" s="59"/>
      <c r="D26" s="59"/>
      <c r="E26" s="277">
        <f>SUM(D21:D25)</f>
        <v>183481</v>
      </c>
    </row>
    <row r="27" spans="1:5" ht="16.5" thickTop="1">
      <c r="A27" s="251" t="str">
        <f>CONCATENATE("Property that has changed in use for ",inputPrYr!D11-1,":")</f>
        <v>Property that has changed in use for 2009:</v>
      </c>
      <c r="B27" s="59"/>
      <c r="C27" s="59"/>
      <c r="D27" s="59"/>
      <c r="E27" s="235"/>
    </row>
    <row r="28" spans="1:5" ht="15.75">
      <c r="A28" s="82" t="str">
        <f>inputPrYr!$D$4</f>
        <v>Thomas</v>
      </c>
      <c r="B28" s="59"/>
      <c r="C28" s="59"/>
      <c r="D28" s="156"/>
      <c r="E28" s="32"/>
    </row>
    <row r="29" spans="1:5" ht="15.75">
      <c r="A29" s="82" t="str">
        <f>inputPrYr!$D$6</f>
        <v>Sheridan</v>
      </c>
      <c r="B29" s="59"/>
      <c r="C29" s="59"/>
      <c r="D29" s="156">
        <v>36097</v>
      </c>
      <c r="E29" s="32"/>
    </row>
    <row r="30" spans="1:5" ht="15.75">
      <c r="A30" s="82">
        <f>inputPrYr!$D$7</f>
        <v>0</v>
      </c>
      <c r="B30" s="59"/>
      <c r="C30" s="59"/>
      <c r="D30" s="156"/>
      <c r="E30" s="32"/>
    </row>
    <row r="31" spans="1:5" ht="15.75">
      <c r="A31" s="82">
        <f>inputPrYr!$D$8</f>
        <v>0</v>
      </c>
      <c r="B31" s="59"/>
      <c r="C31" s="59"/>
      <c r="D31" s="156"/>
      <c r="E31" s="32"/>
    </row>
    <row r="32" spans="1:5" ht="15.75">
      <c r="A32" s="82">
        <f>inputPrYr!$D$9</f>
        <v>0</v>
      </c>
      <c r="B32" s="59"/>
      <c r="C32" s="59"/>
      <c r="D32" s="156"/>
      <c r="E32" s="32"/>
    </row>
    <row r="33" spans="1:5" ht="16.5" thickBot="1">
      <c r="A33" s="82" t="str">
        <f>CONCATENATE("Total Property that has changed in use for ",inputPrYr!D11-1,"")</f>
        <v>Total Property that has changed in use for 2009</v>
      </c>
      <c r="B33" s="59"/>
      <c r="C33" s="59"/>
      <c r="D33" s="59"/>
      <c r="E33" s="277">
        <f>SUM(D28:D32)</f>
        <v>36097</v>
      </c>
    </row>
    <row r="34" spans="1:5" ht="16.5" thickTop="1">
      <c r="A34" s="251" t="str">
        <f>CONCATENATE("Personal Property excludes oil, gas, and mobile homes- ",inputPrYr!D11-2,":")</f>
        <v>Personal Property excludes oil, gas, and mobile homes- 2008:</v>
      </c>
      <c r="B34" s="59"/>
      <c r="C34" s="59"/>
      <c r="D34" s="59"/>
      <c r="E34" s="235"/>
    </row>
    <row r="35" spans="1:5" ht="15.75">
      <c r="A35" s="82" t="str">
        <f>inputPrYr!$D$4</f>
        <v>Thomas</v>
      </c>
      <c r="B35" s="59"/>
      <c r="C35" s="59"/>
      <c r="D35" s="295">
        <v>93632</v>
      </c>
      <c r="E35" s="235"/>
    </row>
    <row r="36" spans="1:5" ht="15.75">
      <c r="A36" s="82" t="str">
        <f>inputPrYr!$D$6</f>
        <v>Sheridan</v>
      </c>
      <c r="B36" s="59"/>
      <c r="C36" s="59"/>
      <c r="D36" s="296">
        <v>114073</v>
      </c>
      <c r="E36" s="235"/>
    </row>
    <row r="37" spans="1:5" ht="15.75">
      <c r="A37" s="82">
        <f>inputPrYr!$D$7</f>
        <v>0</v>
      </c>
      <c r="B37" s="59"/>
      <c r="C37" s="59"/>
      <c r="D37" s="296"/>
      <c r="E37" s="235"/>
    </row>
    <row r="38" spans="1:5" ht="15.75">
      <c r="A38" s="82">
        <f>inputPrYr!$D$8</f>
        <v>0</v>
      </c>
      <c r="B38" s="59"/>
      <c r="C38" s="59"/>
      <c r="D38" s="296"/>
      <c r="E38" s="235"/>
    </row>
    <row r="39" spans="1:5" ht="15.75">
      <c r="A39" s="82">
        <f>inputPrYr!$D$9</f>
        <v>0</v>
      </c>
      <c r="B39" s="59"/>
      <c r="C39" s="59"/>
      <c r="D39" s="296"/>
      <c r="E39" s="235"/>
    </row>
    <row r="40" spans="1:5" ht="16.5" thickBot="1">
      <c r="A40" s="82" t="str">
        <f>CONCATENATE("Total Personal Property - ",inputPrYr!D11-2,"")</f>
        <v>Total Personal Property - 2008</v>
      </c>
      <c r="B40" s="32"/>
      <c r="C40" s="32"/>
      <c r="D40" s="32"/>
      <c r="E40" s="276">
        <f>SUM(D35:D39)</f>
        <v>207705</v>
      </c>
    </row>
    <row r="41" spans="1:5" ht="16.5" thickTop="1">
      <c r="A41" s="79"/>
      <c r="B41" s="32"/>
      <c r="C41" s="32"/>
      <c r="D41" s="32"/>
      <c r="E41" s="167"/>
    </row>
    <row r="42" spans="1:5" ht="15.75">
      <c r="A42" s="293" t="str">
        <f>CONCATENATE("Neighborhood Revitalization - ",E1,":")</f>
        <v>Neighborhood Revitalization - 2010:</v>
      </c>
      <c r="B42" s="32"/>
      <c r="C42" s="32"/>
      <c r="D42" s="295"/>
      <c r="E42" s="167"/>
    </row>
    <row r="43" spans="1:5" ht="15.75">
      <c r="A43" s="79"/>
      <c r="B43" s="32"/>
      <c r="C43" s="32"/>
      <c r="D43" s="32"/>
      <c r="E43" s="167"/>
    </row>
    <row r="44" spans="1:5" ht="15.75">
      <c r="A44" s="275" t="str">
        <f>CONCATENATE("Actual Tax Rates for the ",E1-1," Budget:")</f>
        <v>Actual Tax Rates for the 2009 Budget:</v>
      </c>
      <c r="B44" s="59"/>
      <c r="C44" s="59"/>
      <c r="D44" s="59"/>
      <c r="E44" s="155"/>
    </row>
    <row r="45" spans="1:5" ht="15.75">
      <c r="A45" s="425" t="s">
        <v>25</v>
      </c>
      <c r="B45" s="426"/>
      <c r="C45" s="126"/>
      <c r="D45" s="223" t="s">
        <v>69</v>
      </c>
      <c r="E45" s="155"/>
    </row>
    <row r="46" spans="1:5" ht="15.75">
      <c r="A46" s="224" t="s">
        <v>11</v>
      </c>
      <c r="B46" s="39"/>
      <c r="C46" s="59"/>
      <c r="D46" s="285">
        <v>2.3530000000000002</v>
      </c>
      <c r="E46" s="155"/>
    </row>
    <row r="47" spans="1:5" ht="15.75">
      <c r="A47" s="225" t="s">
        <v>176</v>
      </c>
      <c r="B47" s="226"/>
      <c r="C47" s="59"/>
      <c r="D47" s="286"/>
      <c r="E47" s="155"/>
    </row>
    <row r="48" spans="1:5" ht="15.75">
      <c r="A48" s="225">
        <f>inputPrYr!B26</f>
        <v>0</v>
      </c>
      <c r="B48" s="226"/>
      <c r="C48" s="59"/>
      <c r="D48" s="286"/>
      <c r="E48" s="155"/>
    </row>
    <row r="49" spans="1:5" ht="15.75">
      <c r="A49" s="225">
        <f>inputPrYr!B27</f>
        <v>0</v>
      </c>
      <c r="B49" s="226"/>
      <c r="C49" s="59"/>
      <c r="D49" s="286"/>
      <c r="E49" s="155"/>
    </row>
    <row r="50" spans="1:5" ht="15.75">
      <c r="A50" s="225"/>
      <c r="B50" s="226"/>
      <c r="C50" s="59"/>
      <c r="D50" s="286"/>
      <c r="E50" s="155"/>
    </row>
    <row r="51" spans="1:5" ht="15.75">
      <c r="A51" s="225"/>
      <c r="B51" s="226"/>
      <c r="C51" s="59"/>
      <c r="D51" s="287"/>
      <c r="E51" s="155"/>
    </row>
    <row r="52" spans="1:5" ht="15.75">
      <c r="A52" s="126"/>
      <c r="B52" s="39" t="s">
        <v>239</v>
      </c>
      <c r="C52" s="274"/>
      <c r="D52" s="278">
        <f>SUM(D46:D51)</f>
        <v>2.3530000000000002</v>
      </c>
      <c r="E52" s="126"/>
    </row>
    <row r="53" spans="1:5">
      <c r="A53" s="126"/>
      <c r="B53" s="126"/>
      <c r="C53" s="126"/>
      <c r="D53" s="126"/>
      <c r="E53" s="126"/>
    </row>
    <row r="54" spans="1:5" ht="15.75">
      <c r="A54" s="282" t="str">
        <f>CONCATENATE("Final Assessed Valuation from the November 1, ",E1-2," Abstract:")</f>
        <v>Final Assessed Valuation from the November 1, 2008 Abstract:</v>
      </c>
      <c r="B54" s="281"/>
      <c r="C54" s="281"/>
      <c r="D54" s="281"/>
      <c r="E54" s="283"/>
    </row>
    <row r="55" spans="1:5" ht="15.75">
      <c r="A55" s="82" t="str">
        <f>inputPrYr!$D$4</f>
        <v>Thomas</v>
      </c>
      <c r="B55" s="126"/>
      <c r="C55" s="126"/>
      <c r="D55" s="295">
        <v>2104027</v>
      </c>
      <c r="E55" s="126"/>
    </row>
    <row r="56" spans="1:5" ht="15.75">
      <c r="A56" s="82" t="str">
        <f>inputPrYr!$D$6</f>
        <v>Sheridan</v>
      </c>
      <c r="B56" s="126"/>
      <c r="C56" s="126"/>
      <c r="D56" s="296">
        <v>1222324</v>
      </c>
      <c r="E56" s="126"/>
    </row>
    <row r="57" spans="1:5" ht="15.75">
      <c r="A57" s="82">
        <f>inputPrYr!$D$7</f>
        <v>0</v>
      </c>
      <c r="B57" s="126"/>
      <c r="C57" s="126"/>
      <c r="D57" s="296"/>
      <c r="E57" s="126"/>
    </row>
    <row r="58" spans="1:5" ht="15.75">
      <c r="A58" s="82">
        <f>inputPrYr!$D$8</f>
        <v>0</v>
      </c>
      <c r="B58" s="126"/>
      <c r="C58" s="126"/>
      <c r="D58" s="296"/>
      <c r="E58" s="126"/>
    </row>
    <row r="59" spans="1:5" ht="15.75">
      <c r="A59" s="82">
        <f>inputPrYr!$D$9</f>
        <v>0</v>
      </c>
      <c r="B59" s="126"/>
      <c r="C59" s="126"/>
      <c r="D59" s="296"/>
      <c r="E59" s="126"/>
    </row>
    <row r="60" spans="1:5" ht="16.5" thickBot="1">
      <c r="A60" s="32" t="str">
        <f>CONCATENATE("Total Assessed Valuation from November 1, ",E1-2," Abstract")</f>
        <v>Total Assessed Valuation from November 1, 2008 Abstract</v>
      </c>
      <c r="B60" s="126"/>
      <c r="C60" s="126"/>
      <c r="D60" s="126"/>
      <c r="E60" s="276">
        <f>SUM(D55:D59)</f>
        <v>3326351</v>
      </c>
    </row>
    <row r="61" spans="1:5" ht="15.75" thickTop="1">
      <c r="A61" s="126"/>
      <c r="B61" s="126"/>
      <c r="C61" s="126"/>
      <c r="D61" s="126"/>
      <c r="E61" s="126"/>
    </row>
    <row r="62" spans="1:5" ht="15.75">
      <c r="A62" s="109" t="str">
        <f>CONCATENATE("From the County Treasurer's Budget Information - ",E1," Budget Year Estimates:")</f>
        <v>From the County Treasurer's Budget Information - 2010 Budget Year Estimates:</v>
      </c>
      <c r="B62" s="110"/>
      <c r="C62" s="110"/>
      <c r="D62" s="110"/>
      <c r="E62" s="66"/>
    </row>
    <row r="63" spans="1:5" ht="15.75">
      <c r="A63" s="252" t="s">
        <v>164</v>
      </c>
      <c r="B63" s="32"/>
      <c r="C63" s="32"/>
      <c r="D63" s="32"/>
      <c r="E63" s="155"/>
    </row>
    <row r="64" spans="1:5" ht="15.75">
      <c r="A64" s="82" t="str">
        <f>inputPrYr!$D$4</f>
        <v>Thomas</v>
      </c>
      <c r="B64" s="32"/>
      <c r="C64" s="32"/>
      <c r="D64" s="17">
        <v>226</v>
      </c>
      <c r="E64" s="67"/>
    </row>
    <row r="65" spans="1:5" ht="15.75">
      <c r="A65" s="82" t="str">
        <f>inputPrYr!$D$6</f>
        <v>Sheridan</v>
      </c>
      <c r="B65" s="32"/>
      <c r="C65" s="32"/>
      <c r="D65" s="17">
        <v>276</v>
      </c>
      <c r="E65" s="67"/>
    </row>
    <row r="66" spans="1:5" ht="15.75">
      <c r="A66" s="82">
        <f>inputPrYr!$D$7</f>
        <v>0</v>
      </c>
      <c r="B66" s="32"/>
      <c r="C66" s="32"/>
      <c r="D66" s="17"/>
      <c r="E66" s="67"/>
    </row>
    <row r="67" spans="1:5" ht="15.75">
      <c r="A67" s="82">
        <f>inputPrYr!$D$8</f>
        <v>0</v>
      </c>
      <c r="B67" s="32"/>
      <c r="C67" s="32"/>
      <c r="D67" s="17"/>
      <c r="E67" s="67"/>
    </row>
    <row r="68" spans="1:5" ht="15.75">
      <c r="A68" s="82">
        <f>inputPrYr!$D$9</f>
        <v>0</v>
      </c>
      <c r="B68" s="32"/>
      <c r="C68" s="32"/>
      <c r="D68" s="17"/>
      <c r="E68" s="67"/>
    </row>
    <row r="69" spans="1:5" ht="16.5" thickBot="1">
      <c r="A69" s="35" t="s">
        <v>163</v>
      </c>
      <c r="B69" s="32"/>
      <c r="C69" s="32"/>
      <c r="D69" s="32"/>
      <c r="E69" s="273">
        <f>SUM(D64:D68)</f>
        <v>502</v>
      </c>
    </row>
    <row r="70" spans="1:5" ht="16.5" thickTop="1">
      <c r="A70" s="252" t="s">
        <v>165</v>
      </c>
      <c r="B70" s="32"/>
      <c r="C70" s="32"/>
      <c r="D70" s="32"/>
      <c r="E70" s="155"/>
    </row>
    <row r="71" spans="1:5" ht="15.75">
      <c r="A71" s="82" t="str">
        <f>inputPrYr!$D$4</f>
        <v>Thomas</v>
      </c>
      <c r="B71" s="32"/>
      <c r="C71" s="32"/>
      <c r="D71" s="17">
        <v>9</v>
      </c>
      <c r="E71" s="67"/>
    </row>
    <row r="72" spans="1:5" ht="15.75">
      <c r="A72" s="82" t="str">
        <f>inputPrYr!$D$6</f>
        <v>Sheridan</v>
      </c>
      <c r="B72" s="32"/>
      <c r="C72" s="32"/>
      <c r="D72" s="18">
        <v>6</v>
      </c>
      <c r="E72" s="67"/>
    </row>
    <row r="73" spans="1:5" ht="15.75">
      <c r="A73" s="82">
        <f>inputPrYr!$D$7</f>
        <v>0</v>
      </c>
      <c r="B73" s="32"/>
      <c r="C73" s="32"/>
      <c r="D73" s="18"/>
      <c r="E73" s="67"/>
    </row>
    <row r="74" spans="1:5" ht="15.75">
      <c r="A74" s="82">
        <f>inputPrYr!$D$8</f>
        <v>0</v>
      </c>
      <c r="B74" s="32"/>
      <c r="C74" s="32"/>
      <c r="D74" s="18"/>
      <c r="E74" s="67"/>
    </row>
    <row r="75" spans="1:5" ht="15.75">
      <c r="A75" s="82">
        <f>inputPrYr!$D$9</f>
        <v>0</v>
      </c>
      <c r="B75" s="32"/>
      <c r="C75" s="32"/>
      <c r="D75" s="18"/>
      <c r="E75" s="72"/>
    </row>
    <row r="76" spans="1:5" ht="16.5" thickBot="1">
      <c r="A76" s="35" t="s">
        <v>162</v>
      </c>
      <c r="B76" s="32"/>
      <c r="C76" s="32"/>
      <c r="D76" s="32"/>
      <c r="E76" s="273">
        <f>SUM(D71:D75)</f>
        <v>15</v>
      </c>
    </row>
    <row r="77" spans="1:5" ht="16.5" thickTop="1">
      <c r="A77" s="252" t="s">
        <v>161</v>
      </c>
      <c r="B77" s="32"/>
      <c r="C77" s="32"/>
      <c r="D77" s="32"/>
      <c r="E77" s="155"/>
    </row>
    <row r="78" spans="1:5" ht="15.75">
      <c r="A78" s="82" t="str">
        <f>inputPrYr!$D$4</f>
        <v>Thomas</v>
      </c>
      <c r="B78" s="32"/>
      <c r="C78" s="32"/>
      <c r="D78" s="17">
        <v>69</v>
      </c>
      <c r="E78" s="67"/>
    </row>
    <row r="79" spans="1:5" ht="15.75">
      <c r="A79" s="82" t="str">
        <f>inputPrYr!$D$6</f>
        <v>Sheridan</v>
      </c>
      <c r="B79" s="32"/>
      <c r="C79" s="32"/>
      <c r="D79" s="18">
        <v>49</v>
      </c>
      <c r="E79" s="67"/>
    </row>
    <row r="80" spans="1:5" ht="15.75">
      <c r="A80" s="82">
        <f>inputPrYr!$D$7</f>
        <v>0</v>
      </c>
      <c r="B80" s="32"/>
      <c r="C80" s="32"/>
      <c r="D80" s="18"/>
      <c r="E80" s="67"/>
    </row>
    <row r="81" spans="1:5" ht="15.75">
      <c r="A81" s="82">
        <f>inputPrYr!$D$8</f>
        <v>0</v>
      </c>
      <c r="B81" s="32"/>
      <c r="C81" s="32"/>
      <c r="D81" s="18"/>
      <c r="E81" s="67"/>
    </row>
    <row r="82" spans="1:5" ht="15.75">
      <c r="A82" s="82">
        <f>inputPrYr!$D$9</f>
        <v>0</v>
      </c>
      <c r="B82" s="32"/>
      <c r="C82" s="32"/>
      <c r="D82" s="18"/>
      <c r="E82" s="72"/>
    </row>
    <row r="83" spans="1:5" ht="16.5" thickBot="1">
      <c r="A83" s="35" t="s">
        <v>160</v>
      </c>
      <c r="B83" s="32"/>
      <c r="C83" s="32"/>
      <c r="D83" s="32"/>
      <c r="E83" s="273">
        <f>SUM(D78:D82)</f>
        <v>118</v>
      </c>
    </row>
    <row r="84" spans="1:5" ht="16.5" thickTop="1">
      <c r="A84" s="252" t="s">
        <v>308</v>
      </c>
      <c r="B84" s="32"/>
      <c r="C84" s="32"/>
      <c r="D84" s="155"/>
      <c r="E84" s="155"/>
    </row>
    <row r="85" spans="1:5" ht="15.75">
      <c r="A85" s="82" t="str">
        <f>inputPrYr!$D$4</f>
        <v>Thomas</v>
      </c>
      <c r="B85" s="32"/>
      <c r="C85" s="32"/>
      <c r="D85" s="295"/>
      <c r="E85" s="155"/>
    </row>
    <row r="86" spans="1:5" ht="15.75">
      <c r="A86" s="82" t="str">
        <f>inputPrYr!$D$6</f>
        <v>Sheridan</v>
      </c>
      <c r="B86" s="32"/>
      <c r="C86" s="32"/>
      <c r="D86" s="295"/>
      <c r="E86" s="155"/>
    </row>
    <row r="87" spans="1:5" ht="15.75">
      <c r="A87" s="82">
        <f>inputPrYr!$D$7</f>
        <v>0</v>
      </c>
      <c r="B87" s="32"/>
      <c r="C87" s="32"/>
      <c r="D87" s="295"/>
      <c r="E87" s="155"/>
    </row>
    <row r="88" spans="1:5" ht="15.75">
      <c r="A88" s="82">
        <f>inputPrYr!$D$8</f>
        <v>0</v>
      </c>
      <c r="B88" s="32"/>
      <c r="C88" s="32"/>
      <c r="D88" s="295"/>
      <c r="E88" s="155"/>
    </row>
    <row r="89" spans="1:5" ht="15.75">
      <c r="A89" s="82">
        <f>inputPrYr!$D$9</f>
        <v>0</v>
      </c>
      <c r="B89" s="32"/>
      <c r="C89" s="32"/>
      <c r="D89" s="296"/>
      <c r="E89" s="155"/>
    </row>
    <row r="90" spans="1:5" ht="16.5" thickBot="1">
      <c r="A90" s="35" t="s">
        <v>309</v>
      </c>
      <c r="B90" s="32"/>
      <c r="C90" s="32"/>
      <c r="D90" s="155"/>
      <c r="E90" s="273">
        <f>SUM(D85:D89)</f>
        <v>0</v>
      </c>
    </row>
    <row r="91" spans="1:5" ht="16.5" thickTop="1">
      <c r="A91" s="252" t="s">
        <v>198</v>
      </c>
      <c r="B91" s="32"/>
      <c r="C91" s="32"/>
      <c r="D91" s="247"/>
      <c r="E91" s="155"/>
    </row>
    <row r="92" spans="1:5" ht="15.75">
      <c r="A92" s="32"/>
      <c r="B92" s="32"/>
      <c r="C92" s="32"/>
      <c r="D92" s="32"/>
      <c r="E92" s="32"/>
    </row>
    <row r="93" spans="1:5" ht="15.75">
      <c r="A93" s="109" t="s">
        <v>248</v>
      </c>
      <c r="B93" s="111"/>
      <c r="C93" s="34"/>
      <c r="D93" s="32"/>
      <c r="E93" s="32"/>
    </row>
    <row r="94" spans="1:5" ht="15.75">
      <c r="A94" s="297" t="str">
        <f>CONCATENATE("Delinquency Rate for ",E1-3," Uncollected Taxes")</f>
        <v>Delinquency Rate for 2007 Uncollected Taxes</v>
      </c>
      <c r="B94" s="58"/>
      <c r="C94" s="42" t="s">
        <v>33</v>
      </c>
      <c r="D94" s="42" t="s">
        <v>33</v>
      </c>
      <c r="E94" s="158"/>
    </row>
    <row r="95" spans="1:5" ht="15.75">
      <c r="A95" s="298" t="str">
        <f>CONCATENATE("and ",E1-2," Ad Valorem Levied:")</f>
        <v>and 2008 Ad Valorem Levied:</v>
      </c>
      <c r="B95" s="62"/>
      <c r="C95" s="87" t="s">
        <v>249</v>
      </c>
      <c r="D95" s="87" t="s">
        <v>250</v>
      </c>
      <c r="E95" s="158"/>
    </row>
    <row r="96" spans="1:5" ht="15.75">
      <c r="A96" s="82" t="str">
        <f>inputPrYr!$D$4</f>
        <v>Thomas</v>
      </c>
      <c r="B96" s="61"/>
      <c r="C96" s="350"/>
      <c r="D96" s="247"/>
      <c r="E96" s="158"/>
    </row>
    <row r="97" spans="1:5" ht="15.75">
      <c r="A97" s="82" t="str">
        <f>inputPrYr!$D$6</f>
        <v>Sheridan</v>
      </c>
      <c r="B97" s="61"/>
      <c r="C97" s="351">
        <v>2826</v>
      </c>
      <c r="D97" s="352"/>
      <c r="E97" s="67"/>
    </row>
    <row r="98" spans="1:5" ht="15.75">
      <c r="A98" s="82">
        <f>inputPrYr!$D$7</f>
        <v>0</v>
      </c>
      <c r="B98" s="61"/>
      <c r="C98" s="351"/>
      <c r="D98" s="352"/>
      <c r="E98" s="67"/>
    </row>
    <row r="99" spans="1:5" ht="15.75">
      <c r="A99" s="82">
        <f>inputPrYr!$D$8</f>
        <v>0</v>
      </c>
      <c r="B99" s="61"/>
      <c r="C99" s="351"/>
      <c r="D99" s="352"/>
      <c r="E99" s="67"/>
    </row>
    <row r="100" spans="1:5" ht="15.75">
      <c r="A100" s="82">
        <f>inputPrYr!$D$9</f>
        <v>0</v>
      </c>
      <c r="B100" s="61"/>
      <c r="C100" s="351"/>
      <c r="D100" s="352"/>
      <c r="E100" s="67"/>
    </row>
    <row r="101" spans="1:5" ht="16.5" thickBot="1">
      <c r="A101" s="100" t="s">
        <v>14</v>
      </c>
      <c r="B101" s="61"/>
      <c r="C101" s="353">
        <f>SUM(C96:C100)</f>
        <v>2826</v>
      </c>
      <c r="D101" s="353">
        <f>SUM(D96:D100)</f>
        <v>0</v>
      </c>
      <c r="E101" s="67"/>
    </row>
    <row r="102" spans="1:5" ht="17.25" thickTop="1" thickBot="1">
      <c r="A102" s="100" t="s">
        <v>166</v>
      </c>
      <c r="B102" s="59"/>
      <c r="C102" s="32"/>
      <c r="D102" s="32"/>
      <c r="E102" s="408">
        <v>0.02</v>
      </c>
    </row>
    <row r="103" spans="1:5" ht="16.5" thickTop="1">
      <c r="A103" s="100" t="s">
        <v>240</v>
      </c>
      <c r="B103" s="100"/>
      <c r="C103" s="59"/>
      <c r="D103" s="59"/>
      <c r="E103" s="253"/>
    </row>
    <row r="104" spans="1:5" ht="15.75">
      <c r="A104" s="254" t="s">
        <v>231</v>
      </c>
      <c r="B104" s="255"/>
      <c r="C104" s="255"/>
      <c r="D104" s="255"/>
      <c r="E104" s="255"/>
    </row>
    <row r="105" spans="1:5">
      <c r="A105" s="322"/>
      <c r="B105" s="322"/>
      <c r="C105" s="322"/>
      <c r="D105" s="322"/>
      <c r="E105" s="322"/>
    </row>
    <row r="106" spans="1:5" ht="15.75">
      <c r="A106" s="427" t="str">
        <f>CONCATENATE("From the ",E1-2," Budget Certificate Page")</f>
        <v>From the 2008 Budget Certificate Page</v>
      </c>
      <c r="B106" s="428"/>
      <c r="C106" s="322"/>
      <c r="D106" s="322"/>
      <c r="E106" s="322"/>
    </row>
    <row r="107" spans="1:5" ht="15.75">
      <c r="A107" s="323"/>
      <c r="B107" s="323" t="str">
        <f>CONCATENATE("",E1-2," Expenditure Amounts")</f>
        <v>2008 Expenditure Amounts</v>
      </c>
      <c r="C107" s="429" t="str">
        <f>CONCATENATE("Note: If the ",E1-2," budget was amended, then the")</f>
        <v>Note: If the 2008 budget was amended, then the</v>
      </c>
      <c r="D107" s="430"/>
      <c r="E107" s="430"/>
    </row>
    <row r="108" spans="1:5" ht="15.75">
      <c r="A108" s="324" t="s">
        <v>253</v>
      </c>
      <c r="B108" s="324" t="s">
        <v>254</v>
      </c>
      <c r="C108" s="303" t="s">
        <v>255</v>
      </c>
      <c r="D108" s="325"/>
      <c r="E108" s="325"/>
    </row>
    <row r="109" spans="1:5" ht="15.75">
      <c r="A109" s="326" t="str">
        <f>inputPrYr!B23</f>
        <v>General</v>
      </c>
      <c r="B109" s="247">
        <v>12699</v>
      </c>
      <c r="C109" s="303" t="s">
        <v>256</v>
      </c>
      <c r="D109" s="327"/>
      <c r="E109" s="327"/>
    </row>
    <row r="110" spans="1:5" ht="15.75">
      <c r="A110" s="326" t="str">
        <f>inputPrYr!B24</f>
        <v>Bond &amp; Interest</v>
      </c>
      <c r="B110" s="247"/>
      <c r="C110" s="303"/>
      <c r="D110" s="327"/>
      <c r="E110" s="327"/>
    </row>
    <row r="111" spans="1:5" ht="15.75">
      <c r="A111" s="326">
        <f>inputPrYr!B26</f>
        <v>0</v>
      </c>
      <c r="B111" s="247"/>
      <c r="C111" s="322"/>
      <c r="D111" s="322"/>
      <c r="E111" s="322"/>
    </row>
    <row r="112" spans="1:5" ht="15.75">
      <c r="A112" s="326">
        <f>inputPrYr!B27</f>
        <v>0</v>
      </c>
      <c r="B112" s="247"/>
      <c r="C112" s="322"/>
      <c r="D112" s="322"/>
      <c r="E112" s="322"/>
    </row>
    <row r="113" spans="1:5" ht="15.75">
      <c r="A113" s="326">
        <f>inputPrYr!B30</f>
        <v>0</v>
      </c>
      <c r="B113" s="247"/>
      <c r="C113" s="322"/>
      <c r="D113" s="322"/>
      <c r="E113" s="322"/>
    </row>
    <row r="114" spans="1:5" ht="15.75">
      <c r="A114" s="326">
        <f>inputPrYr!B31</f>
        <v>0</v>
      </c>
      <c r="B114" s="247"/>
      <c r="C114" s="322"/>
      <c r="D114" s="322"/>
      <c r="E114" s="322"/>
    </row>
  </sheetData>
  <sheetProtection sheet="1" objects="1" scenarios="1"/>
  <mergeCells count="4">
    <mergeCell ref="A3:E3"/>
    <mergeCell ref="A45:B45"/>
    <mergeCell ref="A106:B106"/>
    <mergeCell ref="C107:E107"/>
  </mergeCells>
  <phoneticPr fontId="15" type="noConversion"/>
  <pageMargins left="0.75" right="0.75" top="1" bottom="1" header="0.5" footer="0.5"/>
  <pageSetup scale="34" orientation="portrait" blackAndWhite="1" r:id="rId1"/>
  <headerFooter alignWithMargins="0">
    <oddFooter>&amp;Lrevised 2/23/09</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H65"/>
  <sheetViews>
    <sheetView tabSelected="1" topLeftCell="A16" workbookViewId="0">
      <selection activeCell="E37" sqref="E37"/>
    </sheetView>
  </sheetViews>
  <sheetFormatPr defaultRowHeight="15.75"/>
  <cols>
    <col min="1" max="1" width="10.77734375" style="1" customWidth="1"/>
    <col min="2" max="3" width="9.77734375" style="1" customWidth="1"/>
    <col min="4" max="4" width="10.77734375" style="1" customWidth="1"/>
    <col min="5" max="5" width="15.77734375" style="1" customWidth="1"/>
    <col min="6" max="6" width="13" style="1" customWidth="1"/>
    <col min="7" max="7" width="9.77734375" style="1" customWidth="1"/>
    <col min="8" max="8" width="2.6640625" style="1" customWidth="1"/>
    <col min="9" max="9" width="3.21875" style="1" customWidth="1"/>
    <col min="10" max="16384" width="8.88671875" style="1"/>
  </cols>
  <sheetData>
    <row r="1" spans="1:8">
      <c r="A1" s="63"/>
      <c r="B1" s="63"/>
      <c r="C1" s="63"/>
      <c r="D1" s="63"/>
      <c r="E1" s="63"/>
      <c r="F1" s="63"/>
      <c r="G1" s="63"/>
    </row>
    <row r="2" spans="1:8">
      <c r="A2" s="432" t="s">
        <v>87</v>
      </c>
      <c r="B2" s="432"/>
      <c r="C2" s="432"/>
      <c r="D2" s="432"/>
      <c r="E2" s="432"/>
      <c r="F2" s="432"/>
      <c r="G2" s="432"/>
    </row>
    <row r="3" spans="1:8">
      <c r="A3" s="32"/>
      <c r="B3" s="32"/>
      <c r="C3" s="32"/>
      <c r="D3" s="32"/>
      <c r="E3" s="32"/>
      <c r="F3" s="32"/>
      <c r="G3" s="34">
        <f>inputPrYr!D11</f>
        <v>2010</v>
      </c>
    </row>
    <row r="4" spans="1:8">
      <c r="A4" s="435" t="str">
        <f>CONCATENATE("To the Clerk of ",inputPrYr!D4,", State of Kansas")</f>
        <v>To the Clerk of Thomas, State of Kansas</v>
      </c>
      <c r="B4" s="435"/>
      <c r="C4" s="435"/>
      <c r="D4" s="435"/>
      <c r="E4" s="435"/>
      <c r="F4" s="435"/>
      <c r="G4" s="435"/>
    </row>
    <row r="5" spans="1:8">
      <c r="A5" s="33" t="s">
        <v>200</v>
      </c>
      <c r="B5" s="34"/>
      <c r="C5" s="34"/>
      <c r="D5" s="34"/>
      <c r="E5" s="34"/>
      <c r="F5" s="34"/>
      <c r="G5" s="34"/>
    </row>
    <row r="6" spans="1:8">
      <c r="A6" s="436" t="str">
        <f>inputPrYr!D3</f>
        <v>Fairview</v>
      </c>
      <c r="B6" s="436"/>
      <c r="C6" s="436"/>
      <c r="D6" s="436"/>
      <c r="E6" s="436"/>
      <c r="F6" s="436"/>
      <c r="G6" s="436"/>
    </row>
    <row r="7" spans="1:8">
      <c r="A7" s="32"/>
      <c r="B7" s="32"/>
      <c r="C7" s="32"/>
      <c r="D7" s="32"/>
      <c r="E7" s="32"/>
      <c r="F7" s="32"/>
      <c r="G7" s="32"/>
    </row>
    <row r="8" spans="1:8">
      <c r="A8" s="33" t="s">
        <v>15</v>
      </c>
      <c r="B8" s="34"/>
      <c r="C8" s="34"/>
      <c r="D8" s="34"/>
      <c r="E8" s="34"/>
      <c r="F8" s="34"/>
      <c r="G8" s="34"/>
    </row>
    <row r="9" spans="1:8">
      <c r="A9" s="33" t="s">
        <v>16</v>
      </c>
      <c r="B9" s="34"/>
      <c r="C9" s="34"/>
      <c r="D9" s="34"/>
      <c r="E9" s="34"/>
      <c r="F9" s="34"/>
      <c r="G9" s="34"/>
    </row>
    <row r="10" spans="1:8">
      <c r="A10" s="33" t="str">
        <f>CONCATENATE("as the maximum expenditures for the various funds for the year ",G3,"; and")</f>
        <v>as the maximum expenditures for the various funds for the year 2010; and</v>
      </c>
      <c r="B10" s="34"/>
      <c r="C10" s="34"/>
      <c r="D10" s="34"/>
      <c r="E10" s="34"/>
      <c r="F10" s="34"/>
      <c r="G10" s="34"/>
    </row>
    <row r="11" spans="1:8">
      <c r="A11" s="33" t="str">
        <f>CONCATENATE("(3) the Amount(s) of  ",G3-1," Ad Valorem Tax are within statutory limitations for the ",G3," Budget.")</f>
        <v>(3) the Amount(s) of  2009 Ad Valorem Tax are within statutory limitations for the 2010 Budget.</v>
      </c>
      <c r="B11" s="34"/>
      <c r="C11" s="34"/>
      <c r="D11" s="34"/>
      <c r="E11" s="34"/>
      <c r="F11" s="34"/>
      <c r="G11" s="34"/>
    </row>
    <row r="12" spans="1:8">
      <c r="A12" s="35"/>
      <c r="B12" s="32"/>
      <c r="C12" s="32"/>
      <c r="D12" s="36"/>
      <c r="E12" s="37"/>
      <c r="F12" s="37"/>
      <c r="G12" s="37"/>
    </row>
    <row r="13" spans="1:8">
      <c r="A13" s="32"/>
      <c r="B13" s="32"/>
      <c r="C13" s="32"/>
      <c r="D13" s="32"/>
      <c r="E13" s="437" t="str">
        <f>CONCATENATE("",G3," Adopted Budget")</f>
        <v>2010 Adopted Budget</v>
      </c>
      <c r="F13" s="438"/>
      <c r="G13" s="439"/>
    </row>
    <row r="14" spans="1:8">
      <c r="A14" s="35"/>
      <c r="B14" s="32"/>
      <c r="C14" s="32"/>
      <c r="D14" s="39"/>
      <c r="E14" s="40" t="s">
        <v>17</v>
      </c>
      <c r="F14" s="433" t="str">
        <f>CONCATENATE("Amount of  ",G3-1," Ad Valorem Tax")</f>
        <v>Amount of  2009 Ad Valorem Tax</v>
      </c>
      <c r="G14" s="41" t="s">
        <v>18</v>
      </c>
      <c r="H14" s="131"/>
    </row>
    <row r="15" spans="1:8">
      <c r="A15" s="32"/>
      <c r="B15" s="32"/>
      <c r="C15" s="32"/>
      <c r="D15" s="42" t="s">
        <v>19</v>
      </c>
      <c r="E15" s="43"/>
      <c r="F15" s="434"/>
      <c r="G15" s="41" t="s">
        <v>20</v>
      </c>
    </row>
    <row r="16" spans="1:8">
      <c r="A16" s="35" t="s">
        <v>21</v>
      </c>
      <c r="B16" s="32"/>
      <c r="C16" s="32"/>
      <c r="D16" s="43" t="s">
        <v>22</v>
      </c>
      <c r="E16" s="43" t="s">
        <v>23</v>
      </c>
      <c r="F16" s="434"/>
      <c r="G16" s="41" t="s">
        <v>24</v>
      </c>
    </row>
    <row r="17" spans="1:7" ht="4.5" customHeight="1">
      <c r="A17" s="37"/>
      <c r="B17" s="37"/>
      <c r="C17" s="37"/>
      <c r="D17" s="44"/>
      <c r="E17" s="44"/>
      <c r="F17" s="45"/>
      <c r="G17" s="45"/>
    </row>
    <row r="18" spans="1:7">
      <c r="A18" s="114" t="str">
        <f>CONCATENATE("Computation to Determine Limit for ",G3,"")</f>
        <v>Computation to Determine Limit for 2010</v>
      </c>
      <c r="B18" s="37"/>
      <c r="C18" s="37"/>
      <c r="D18" s="143">
        <v>2</v>
      </c>
      <c r="E18" s="38"/>
      <c r="F18" s="38"/>
      <c r="G18" s="358"/>
    </row>
    <row r="19" spans="1:7">
      <c r="A19" s="153" t="s">
        <v>159</v>
      </c>
      <c r="B19" s="37"/>
      <c r="C19" s="37"/>
      <c r="D19" s="87">
        <v>3</v>
      </c>
      <c r="E19" s="38"/>
      <c r="F19" s="38"/>
      <c r="G19" s="159"/>
    </row>
    <row r="20" spans="1:7">
      <c r="A20" s="153" t="s">
        <v>155</v>
      </c>
      <c r="B20" s="37"/>
      <c r="C20" s="37"/>
      <c r="D20" s="87">
        <v>4</v>
      </c>
      <c r="E20" s="38"/>
      <c r="F20" s="38"/>
      <c r="G20" s="159"/>
    </row>
    <row r="21" spans="1:7">
      <c r="A21" s="114" t="s">
        <v>154</v>
      </c>
      <c r="B21" s="37"/>
      <c r="C21" s="37"/>
      <c r="D21" s="87">
        <v>5</v>
      </c>
      <c r="E21" s="38"/>
      <c r="F21" s="38"/>
      <c r="G21" s="159"/>
    </row>
    <row r="22" spans="1:7">
      <c r="A22" s="46" t="s">
        <v>25</v>
      </c>
      <c r="B22" s="47"/>
      <c r="C22" s="48" t="s">
        <v>26</v>
      </c>
      <c r="D22" s="143"/>
      <c r="E22" s="298"/>
      <c r="F22" s="39"/>
      <c r="G22" s="62"/>
    </row>
    <row r="23" spans="1:7">
      <c r="A23" s="50" t="s">
        <v>11</v>
      </c>
      <c r="B23" s="47"/>
      <c r="C23" s="409" t="str">
        <f>inputPrYr!C23</f>
        <v>80-92</v>
      </c>
      <c r="D23" s="144">
        <v>6</v>
      </c>
      <c r="E23" s="356">
        <f>IF(gen!$G$42&lt;&gt;0,gen!$G$42,"  ")</f>
        <v>12140</v>
      </c>
      <c r="F23" s="356">
        <f>IF(gen!$G$48&lt;&gt;0,gen!$G$48,"  ")</f>
        <v>7116</v>
      </c>
      <c r="G23" s="357">
        <f>IF(AND(gen!G48=0,$E$40&gt;=0)," ",IF(AND(F23&gt;0,$E$40=0)," ",IF(AND(F23&gt;0,$E$40&gt;0),ROUND(F23/$E$40*1000,3))))</f>
        <v>2.363</v>
      </c>
    </row>
    <row r="24" spans="1:7">
      <c r="A24" s="50" t="s">
        <v>363</v>
      </c>
      <c r="B24" s="47"/>
      <c r="C24" s="409" t="str">
        <f>inputPrYr!C24</f>
        <v>10-113</v>
      </c>
      <c r="D24" s="144" t="str">
        <f>IF('debt service'!C62&gt;0,'debt service'!C62,"")</f>
        <v/>
      </c>
      <c r="E24" s="51" t="str">
        <f>IF('debt service'!$G$54&lt;&gt;0,'debt service'!$G$54,"  ")</f>
        <v xml:space="preserve">  </v>
      </c>
      <c r="F24" s="51" t="str">
        <f>IF('debt service'!$G$60&lt;&gt;0,'debt service'!$G$60,"  ")</f>
        <v xml:space="preserve">  </v>
      </c>
      <c r="G24" s="94" t="str">
        <f>IF(AND('debt service'!G60=0,$E$40&gt;=0)," ",IF(AND(F24&gt;0,$E$40=0)," ",IF(AND(F24&gt;0,$E$40&gt;0),ROUND(F24/$E$40*1000,3))))</f>
        <v xml:space="preserve"> </v>
      </c>
    </row>
    <row r="25" spans="1:7">
      <c r="A25" s="52" t="str">
        <f>IF(inputPrYr!$B$26&gt;"  ",inputPrYr!$B$26,"  ")</f>
        <v xml:space="preserve">  </v>
      </c>
      <c r="B25" s="47"/>
      <c r="C25" s="409" t="str">
        <f>IF(inputPrYr!C26&gt;0,inputPrYr!C26,"  ")</f>
        <v xml:space="preserve">  </v>
      </c>
      <c r="D25" s="144" t="str">
        <f>IF(levypage8!C74&gt;0,levypage8!C74," ")</f>
        <v xml:space="preserve"> </v>
      </c>
      <c r="E25" s="51" t="str">
        <f>IF(levypage8!$G$31&lt;&gt;0,levypage8!$G$31,"  ")</f>
        <v xml:space="preserve">  </v>
      </c>
      <c r="F25" s="51" t="str">
        <f>IF(levypage8!$G$37&lt;&gt;0,levypage8!$G$37,"  ")</f>
        <v xml:space="preserve">  </v>
      </c>
      <c r="G25" s="94" t="str">
        <f>IF(AND(levypage8!G37=0,$E$40&gt;=0)," ",IF(AND(F25&gt;0,$E$40=0)," ",IF(AND(F25&gt;0,$E$40&gt;0),ROUND(F25/$E$40*1000,3))))</f>
        <v xml:space="preserve"> </v>
      </c>
    </row>
    <row r="26" spans="1:7">
      <c r="A26" s="52" t="str">
        <f>IF(inputPrYr!$B$27&gt;"  ",inputPrYr!$B$27,"  ")</f>
        <v xml:space="preserve">  </v>
      </c>
      <c r="B26" s="47"/>
      <c r="C26" s="409" t="str">
        <f>IF(inputPrYr!C27&gt;0,inputPrYr!C27,"  ")</f>
        <v xml:space="preserve">  </v>
      </c>
      <c r="D26" s="144" t="str">
        <f>IF(levypage8!C74&gt;0,levypage8!C74," ")</f>
        <v xml:space="preserve"> </v>
      </c>
      <c r="E26" s="51" t="str">
        <f>IF(levypage8!$G$66&lt;&gt;0,levypage8!$G$66,"  ")</f>
        <v xml:space="preserve">  </v>
      </c>
      <c r="F26" s="51" t="str">
        <f>IF(levypage8!$G$72&lt;&gt;0,levypage8!$G$72,"  ")</f>
        <v xml:space="preserve">  </v>
      </c>
      <c r="G26" s="94" t="str">
        <f>IF(AND(levypage8!G72=0,$E$40&gt;=0)," ",IF(AND(F26&gt;0,$E$40=0)," ",IF(AND(F26&gt;0,$E$40&gt;0),ROUND(F26/$E$40*1000,3))))</f>
        <v xml:space="preserve"> </v>
      </c>
    </row>
    <row r="27" spans="1:7">
      <c r="A27" s="52" t="str">
        <f>IF(inputPrYr!$B$30&gt;"  ",inputPrYr!$B$30,"  ")</f>
        <v xml:space="preserve">  </v>
      </c>
      <c r="B27" s="226"/>
      <c r="C27" s="403"/>
      <c r="D27" s="402" t="str">
        <f>IF(nolevypage9!C71&gt;0,nolevypage9!C71," ")</f>
        <v xml:space="preserve"> </v>
      </c>
      <c r="E27" s="51" t="str">
        <f>IF(nolevypage9!$E$31&lt;&gt;0,nolevypage9!$E$31,"  ")</f>
        <v xml:space="preserve">  </v>
      </c>
      <c r="F27" s="53"/>
      <c r="G27" s="94"/>
    </row>
    <row r="28" spans="1:7">
      <c r="A28" s="342" t="str">
        <f>IF(inputPrYr!$B$31&gt;"  ",inputPrYr!$B$31,"  ")</f>
        <v xml:space="preserve">  </v>
      </c>
      <c r="B28" s="399"/>
      <c r="C28" s="403"/>
      <c r="D28" s="402" t="str">
        <f>IF(nolevypage9!C71&gt;0,nolevypage9!C71," ")</f>
        <v xml:space="preserve"> </v>
      </c>
      <c r="E28" s="51" t="str">
        <f>IF(nolevypage9!$E$65&lt;&gt;0,nolevypage9!$E$65,"  ")</f>
        <v xml:space="preserve">  </v>
      </c>
      <c r="F28" s="53"/>
      <c r="G28" s="94"/>
    </row>
    <row r="29" spans="1:7">
      <c r="A29" s="342" t="str">
        <f>IF((inputPrYr!$B$34&gt;" "),(NonBud!$A$3),"")</f>
        <v/>
      </c>
      <c r="B29" s="399"/>
      <c r="C29" s="41"/>
      <c r="D29" s="144" t="str">
        <f>IF(NonBud!F33&gt;0,NonBud!F33,"")</f>
        <v/>
      </c>
      <c r="E29" s="400"/>
      <c r="F29" s="401"/>
      <c r="G29" s="233"/>
    </row>
    <row r="30" spans="1:7" ht="16.5" thickBot="1">
      <c r="A30" s="116" t="s">
        <v>143</v>
      </c>
      <c r="B30" s="226"/>
      <c r="C30" s="47"/>
      <c r="D30" s="54" t="s">
        <v>27</v>
      </c>
      <c r="E30" s="55">
        <f>SUM(E23:E28)</f>
        <v>12140</v>
      </c>
      <c r="F30" s="56">
        <f>SUM(F23:F28)</f>
        <v>7116</v>
      </c>
      <c r="G30" s="130">
        <f>IF(SUM(G23:G28)=0,"",SUM(G23:G28))</f>
        <v>2.363</v>
      </c>
    </row>
    <row r="31" spans="1:7" ht="16.5" thickTop="1">
      <c r="A31" s="50" t="s">
        <v>232</v>
      </c>
      <c r="B31" s="226"/>
      <c r="C31" s="47"/>
      <c r="D31" s="259">
        <f>summ!E39</f>
        <v>7</v>
      </c>
      <c r="E31" s="32"/>
      <c r="F31" s="32"/>
      <c r="G31" s="32"/>
    </row>
    <row r="32" spans="1:7">
      <c r="A32" s="50" t="s">
        <v>263</v>
      </c>
      <c r="B32" s="226"/>
      <c r="C32" s="47"/>
      <c r="D32" s="259" t="str">
        <f>IF(Nhood!C29&gt;0,Nhood!C29,"")</f>
        <v/>
      </c>
      <c r="E32" s="257" t="s">
        <v>234</v>
      </c>
      <c r="F32" s="258" t="str">
        <f>IF(F30&gt;computation!J34,"Yes","No")</f>
        <v>No</v>
      </c>
      <c r="G32" s="35" t="s">
        <v>28</v>
      </c>
    </row>
    <row r="33" spans="1:7">
      <c r="A33" s="50" t="s">
        <v>233</v>
      </c>
      <c r="B33" s="226"/>
      <c r="C33" s="47"/>
      <c r="D33" s="259" t="str">
        <f>IF(Resolution!E45&gt;0,Resolution!E45,"")</f>
        <v/>
      </c>
      <c r="E33" s="343"/>
      <c r="F33" s="344"/>
      <c r="G33" s="35"/>
    </row>
    <row r="34" spans="1:7">
      <c r="A34" s="160" t="s">
        <v>167</v>
      </c>
      <c r="B34" s="62"/>
      <c r="C34" s="32"/>
      <c r="D34" s="32"/>
      <c r="E34" s="129" t="s">
        <v>146</v>
      </c>
      <c r="F34" s="32"/>
      <c r="G34" s="32"/>
    </row>
    <row r="35" spans="1:7">
      <c r="A35" s="50" t="str">
        <f>inputPrYr!D4</f>
        <v>Thomas</v>
      </c>
      <c r="B35" s="47"/>
      <c r="C35" s="32"/>
      <c r="D35" s="32"/>
      <c r="E35" s="222">
        <v>1858747</v>
      </c>
      <c r="F35" s="32"/>
      <c r="G35" s="32"/>
    </row>
    <row r="36" spans="1:7">
      <c r="A36" s="50" t="str">
        <f>inputPrYr!D6</f>
        <v>Sheridan</v>
      </c>
      <c r="B36" s="47"/>
      <c r="C36" s="32"/>
      <c r="D36" s="32"/>
      <c r="E36" s="222">
        <v>1153196</v>
      </c>
      <c r="F36" s="32"/>
      <c r="G36" s="32"/>
    </row>
    <row r="37" spans="1:7">
      <c r="A37" s="50">
        <f>inputPrYr!D7</f>
        <v>0</v>
      </c>
      <c r="B37" s="47"/>
      <c r="C37" s="32"/>
      <c r="D37" s="32"/>
      <c r="E37" s="222"/>
      <c r="F37" s="32"/>
      <c r="G37" s="32"/>
    </row>
    <row r="38" spans="1:7">
      <c r="A38" s="50">
        <f>inputPrYr!D8</f>
        <v>0</v>
      </c>
      <c r="B38" s="47"/>
      <c r="C38" s="32"/>
      <c r="D38" s="32"/>
      <c r="E38" s="222"/>
      <c r="F38" s="32"/>
      <c r="G38" s="32"/>
    </row>
    <row r="39" spans="1:7">
      <c r="A39" s="50">
        <f>inputPrYr!D9</f>
        <v>0</v>
      </c>
      <c r="B39" s="47"/>
      <c r="C39" s="32"/>
      <c r="D39" s="32"/>
      <c r="E39" s="222"/>
      <c r="F39" s="32"/>
      <c r="G39" s="32"/>
    </row>
    <row r="40" spans="1:7">
      <c r="A40" s="50" t="s">
        <v>168</v>
      </c>
      <c r="B40" s="47"/>
      <c r="C40" s="32"/>
      <c r="D40" s="32"/>
      <c r="E40" s="164">
        <f>SUM(E35:E39)</f>
        <v>3011943</v>
      </c>
      <c r="F40" s="32"/>
      <c r="G40" s="32"/>
    </row>
    <row r="41" spans="1:7">
      <c r="A41" s="32"/>
      <c r="B41" s="32"/>
      <c r="C41" s="59"/>
      <c r="D41" s="32"/>
      <c r="E41" s="128" t="s">
        <v>145</v>
      </c>
      <c r="F41" s="32"/>
      <c r="G41" s="32"/>
    </row>
    <row r="42" spans="1:7">
      <c r="A42" s="57" t="s">
        <v>29</v>
      </c>
      <c r="B42" s="58"/>
      <c r="C42" s="35"/>
      <c r="D42" s="35"/>
      <c r="E42" s="32"/>
      <c r="F42" s="32"/>
      <c r="G42" s="32"/>
    </row>
    <row r="43" spans="1:7">
      <c r="A43" s="60" t="s">
        <v>169</v>
      </c>
      <c r="B43" s="61"/>
      <c r="C43" s="59"/>
      <c r="D43" s="67"/>
      <c r="E43" s="67"/>
      <c r="F43" s="73"/>
      <c r="G43" s="73"/>
    </row>
    <row r="44" spans="1:7">
      <c r="A44" s="60" t="s">
        <v>170</v>
      </c>
      <c r="B44" s="159"/>
      <c r="C44" s="35" t="s">
        <v>30</v>
      </c>
      <c r="D44" s="19" t="s">
        <v>374</v>
      </c>
      <c r="E44" s="19"/>
      <c r="F44" s="67"/>
      <c r="G44" s="67"/>
    </row>
    <row r="45" spans="1:7">
      <c r="A45" s="160" t="s">
        <v>171</v>
      </c>
      <c r="B45" s="62"/>
      <c r="C45" s="59"/>
      <c r="D45" s="256" t="s">
        <v>375</v>
      </c>
      <c r="E45" s="256"/>
      <c r="F45" s="73"/>
      <c r="G45" s="73"/>
    </row>
    <row r="46" spans="1:7">
      <c r="A46" s="59"/>
      <c r="B46" s="59"/>
      <c r="C46" s="59" t="s">
        <v>172</v>
      </c>
      <c r="D46" s="20" t="s">
        <v>376</v>
      </c>
      <c r="E46" s="20"/>
      <c r="F46" s="67"/>
      <c r="G46" s="67"/>
    </row>
    <row r="47" spans="1:7">
      <c r="A47" s="32"/>
      <c r="B47" s="32"/>
      <c r="C47" s="32"/>
      <c r="D47" s="20" t="s">
        <v>377</v>
      </c>
      <c r="E47" s="20"/>
      <c r="F47" s="73"/>
      <c r="G47" s="73"/>
    </row>
    <row r="48" spans="1:7">
      <c r="A48" s="35" t="s">
        <v>201</v>
      </c>
      <c r="B48" s="59"/>
      <c r="C48" s="35">
        <f>G3-1</f>
        <v>2009</v>
      </c>
      <c r="D48" s="20"/>
      <c r="E48" s="20"/>
      <c r="F48" s="34"/>
      <c r="G48" s="34"/>
    </row>
    <row r="49" spans="1:7">
      <c r="A49" s="39"/>
      <c r="B49" s="37"/>
      <c r="C49" s="32"/>
      <c r="D49" s="32"/>
      <c r="E49" s="32"/>
      <c r="F49" s="39"/>
      <c r="G49" s="39"/>
    </row>
    <row r="50" spans="1:7">
      <c r="A50" s="34" t="s">
        <v>32</v>
      </c>
      <c r="B50" s="34"/>
      <c r="C50" s="32"/>
      <c r="D50" s="32"/>
      <c r="E50" s="32"/>
      <c r="F50" s="34" t="s">
        <v>31</v>
      </c>
      <c r="G50" s="32"/>
    </row>
    <row r="51" spans="1:7">
      <c r="A51" s="13"/>
      <c r="B51" s="13"/>
      <c r="C51" s="13"/>
      <c r="D51" s="13"/>
      <c r="E51" s="13"/>
      <c r="F51" s="13"/>
      <c r="G51" s="13"/>
    </row>
    <row r="52" spans="1:7">
      <c r="A52" s="13"/>
      <c r="B52" s="13"/>
      <c r="C52" s="13"/>
      <c r="D52" s="13"/>
      <c r="E52" s="13"/>
      <c r="F52" s="13"/>
      <c r="G52" s="13"/>
    </row>
    <row r="53" spans="1:7">
      <c r="A53" s="13"/>
      <c r="B53" s="13"/>
      <c r="C53" s="13"/>
      <c r="D53" s="13"/>
      <c r="E53" s="13"/>
      <c r="F53" s="13"/>
      <c r="G53" s="431"/>
    </row>
    <row r="54" spans="1:7">
      <c r="A54" s="13"/>
      <c r="B54" s="13"/>
      <c r="C54" s="13"/>
      <c r="D54" s="13"/>
      <c r="E54" s="13"/>
      <c r="F54" s="13"/>
      <c r="G54" s="431"/>
    </row>
    <row r="55" spans="1:7">
      <c r="A55" s="13"/>
      <c r="B55" s="13"/>
      <c r="C55" s="13"/>
      <c r="D55" s="13"/>
      <c r="E55" s="13"/>
      <c r="F55" s="13"/>
      <c r="G55" s="431"/>
    </row>
    <row r="56" spans="1:7">
      <c r="A56" s="13"/>
      <c r="B56" s="13"/>
      <c r="C56" s="13"/>
      <c r="D56" s="13"/>
      <c r="E56" s="13"/>
      <c r="F56" s="13"/>
      <c r="G56" s="431"/>
    </row>
    <row r="57" spans="1:7">
      <c r="A57" s="13"/>
      <c r="B57" s="13"/>
      <c r="C57" s="13"/>
      <c r="D57" s="12"/>
      <c r="E57" s="13"/>
      <c r="F57" s="13"/>
      <c r="G57" s="431"/>
    </row>
    <row r="58" spans="1:7">
      <c r="G58" s="431"/>
    </row>
    <row r="59" spans="1:7">
      <c r="G59" s="431"/>
    </row>
    <row r="60" spans="1:7">
      <c r="G60" s="431"/>
    </row>
    <row r="61" spans="1:7">
      <c r="G61" s="431"/>
    </row>
    <row r="62" spans="1:7">
      <c r="G62" s="431"/>
    </row>
    <row r="63" spans="1:7">
      <c r="G63" s="431"/>
    </row>
    <row r="64" spans="1:7">
      <c r="G64" s="431"/>
    </row>
    <row r="65" spans="7:7">
      <c r="G65" s="431"/>
    </row>
  </sheetData>
  <sheetProtection sheet="1" objects="1" scenarios="1"/>
  <mergeCells count="6">
    <mergeCell ref="G53:G65"/>
    <mergeCell ref="A2:G2"/>
    <mergeCell ref="F14:F16"/>
    <mergeCell ref="A4:G4"/>
    <mergeCell ref="A6:G6"/>
    <mergeCell ref="E13:G13"/>
  </mergeCells>
  <phoneticPr fontId="0" type="noConversion"/>
  <pageMargins left="0.5" right="0.5" top="0" bottom="0.5" header="0.5" footer="0.5"/>
  <pageSetup scale="71" orientation="portrait" blackAndWhite="1" horizontalDpi="120" verticalDpi="144" r:id="rId1"/>
  <headerFooter alignWithMargins="0">
    <oddHeader xml:space="preserve">&amp;RState of Kansas
Special District
</oddHeader>
    <oddFooter>&amp;Lrevised 3/19/09
&amp;CPage No. 1</oddFooter>
  </headerFooter>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legacyDrawing r:id="rId1"/>
  <oleObjects>
    <oleObject progId="AcroExch.Document.7" shapeId="2049" r:id="rId2"/>
  </oleObjects>
</worksheet>
</file>

<file path=xl/worksheets/sheet6.xml><?xml version="1.0" encoding="utf-8"?>
<worksheet xmlns="http://schemas.openxmlformats.org/spreadsheetml/2006/main" xmlns:r="http://schemas.openxmlformats.org/officeDocument/2006/relationships">
  <sheetPr>
    <pageSetUpPr fitToPage="1"/>
  </sheetPr>
  <dimension ref="A1:J37"/>
  <sheetViews>
    <sheetView topLeftCell="A13" zoomScale="85" workbookViewId="0">
      <selection activeCell="E38" sqref="E38"/>
    </sheetView>
  </sheetViews>
  <sheetFormatPr defaultRowHeight="15.95" customHeight="1"/>
  <cols>
    <col min="1" max="2" width="3.33203125" style="5" customWidth="1"/>
    <col min="3" max="3" width="31.33203125" style="5" customWidth="1"/>
    <col min="4" max="4" width="2.33203125" style="5" customWidth="1"/>
    <col min="5" max="5" width="15.77734375" style="5" customWidth="1"/>
    <col min="6" max="6" width="2" style="5" customWidth="1"/>
    <col min="7" max="7" width="15.77734375" style="5" customWidth="1"/>
    <col min="8" max="8" width="1.88671875" style="5" customWidth="1"/>
    <col min="9" max="9" width="1.77734375" style="5" customWidth="1"/>
    <col min="10" max="10" width="15.77734375" style="5" customWidth="1"/>
    <col min="11" max="16384" width="8.88671875" style="5"/>
  </cols>
  <sheetData>
    <row r="1" spans="1:10" ht="15.95" customHeight="1">
      <c r="A1" s="32"/>
      <c r="B1" s="32"/>
      <c r="C1" s="32" t="str">
        <f>inputPrYr!D3</f>
        <v>Fairview</v>
      </c>
      <c r="D1" s="32"/>
      <c r="E1" s="32"/>
      <c r="F1" s="32"/>
      <c r="G1" s="32"/>
      <c r="H1" s="32"/>
      <c r="I1" s="32"/>
      <c r="J1" s="32">
        <f>inputPrYr!D11</f>
        <v>2010</v>
      </c>
    </row>
    <row r="2" spans="1:10" ht="15.95" customHeight="1">
      <c r="A2" s="32"/>
      <c r="B2" s="32"/>
      <c r="C2" s="32" t="str">
        <f>inputPrYr!D4</f>
        <v>Thomas</v>
      </c>
      <c r="D2" s="32"/>
      <c r="E2" s="32"/>
      <c r="F2" s="32"/>
      <c r="G2" s="32"/>
      <c r="H2" s="32"/>
      <c r="I2" s="32"/>
      <c r="J2" s="32"/>
    </row>
    <row r="3" spans="1:10" ht="15.75">
      <c r="A3" s="441" t="str">
        <f>CONCATENATE("Computation to Determine Limit for ",J1,"")</f>
        <v>Computation to Determine Limit for 2010</v>
      </c>
      <c r="B3" s="432"/>
      <c r="C3" s="432"/>
      <c r="D3" s="432"/>
      <c r="E3" s="432"/>
      <c r="F3" s="432"/>
      <c r="G3" s="432"/>
      <c r="H3" s="432"/>
      <c r="I3" s="432"/>
      <c r="J3" s="432"/>
    </row>
    <row r="4" spans="1:10" ht="15.75">
      <c r="A4" s="32"/>
      <c r="B4" s="32"/>
      <c r="C4" s="32"/>
      <c r="D4" s="32"/>
      <c r="E4" s="432"/>
      <c r="F4" s="432"/>
      <c r="G4" s="432"/>
      <c r="H4" s="146"/>
      <c r="I4" s="32"/>
      <c r="J4" s="195" t="s">
        <v>99</v>
      </c>
    </row>
    <row r="5" spans="1:10" ht="15.75">
      <c r="A5" s="196" t="s">
        <v>100</v>
      </c>
      <c r="B5" s="32" t="str">
        <f>CONCATENATE("Total Tax Levy Amount in ",J1-1," Budget")</f>
        <v>Total Tax Levy Amount in 2009 Budget</v>
      </c>
      <c r="C5" s="32"/>
      <c r="D5" s="32"/>
      <c r="E5" s="66"/>
      <c r="F5" s="66"/>
      <c r="G5" s="66"/>
      <c r="H5" s="197" t="s">
        <v>101</v>
      </c>
      <c r="I5" s="66" t="s">
        <v>102</v>
      </c>
      <c r="J5" s="64">
        <f>inputPrYr!E28</f>
        <v>7826</v>
      </c>
    </row>
    <row r="6" spans="1:10" ht="15.75">
      <c r="A6" s="196" t="s">
        <v>103</v>
      </c>
      <c r="B6" s="32" t="str">
        <f>CONCATENATE("Debt Service Levy in ",J1-1," Budget")</f>
        <v>Debt Service Levy in 2009 Budget</v>
      </c>
      <c r="C6" s="32"/>
      <c r="D6" s="32"/>
      <c r="E6" s="66"/>
      <c r="F6" s="66"/>
      <c r="G6" s="66"/>
      <c r="H6" s="197" t="s">
        <v>104</v>
      </c>
      <c r="I6" s="66" t="s">
        <v>102</v>
      </c>
      <c r="J6" s="65">
        <f>inputPrYr!E24</f>
        <v>0</v>
      </c>
    </row>
    <row r="7" spans="1:10" ht="15.75">
      <c r="A7" s="196" t="s">
        <v>128</v>
      </c>
      <c r="B7" s="74" t="s">
        <v>122</v>
      </c>
      <c r="C7" s="32"/>
      <c r="D7" s="32"/>
      <c r="E7" s="66"/>
      <c r="F7" s="66"/>
      <c r="G7" s="66"/>
      <c r="H7" s="66"/>
      <c r="I7" s="66" t="s">
        <v>102</v>
      </c>
      <c r="J7" s="65">
        <f>J5-J6</f>
        <v>7826</v>
      </c>
    </row>
    <row r="8" spans="1:10" ht="15.75">
      <c r="A8" s="32"/>
      <c r="B8" s="32"/>
      <c r="C8" s="32"/>
      <c r="D8" s="32"/>
      <c r="E8" s="66"/>
      <c r="F8" s="66"/>
      <c r="G8" s="66"/>
      <c r="H8" s="66"/>
      <c r="I8" s="66"/>
      <c r="J8" s="66"/>
    </row>
    <row r="9" spans="1:10" ht="15.75">
      <c r="A9" s="32"/>
      <c r="B9" s="74" t="str">
        <f>CONCATENATE("",J1-1," Valuation Information for Valuation Adjustments:")</f>
        <v>2009 Valuation Information for Valuation Adjustments:</v>
      </c>
      <c r="C9" s="32"/>
      <c r="D9" s="32"/>
      <c r="E9" s="66"/>
      <c r="F9" s="66"/>
      <c r="G9" s="66"/>
      <c r="H9" s="66"/>
      <c r="I9" s="66"/>
      <c r="J9" s="66"/>
    </row>
    <row r="10" spans="1:10" ht="15.75">
      <c r="A10" s="32"/>
      <c r="B10" s="32"/>
      <c r="C10" s="74"/>
      <c r="D10" s="32"/>
      <c r="E10" s="66"/>
      <c r="F10" s="66"/>
      <c r="G10" s="66"/>
      <c r="H10" s="66"/>
      <c r="I10" s="66"/>
      <c r="J10" s="66"/>
    </row>
    <row r="11" spans="1:10" ht="15.75">
      <c r="A11" s="196" t="s">
        <v>105</v>
      </c>
      <c r="B11" s="74" t="str">
        <f>CONCATENATE("New Improvements for ",J1-1,":")</f>
        <v>New Improvements for 2009:</v>
      </c>
      <c r="C11" s="32"/>
      <c r="D11" s="32"/>
      <c r="E11" s="197"/>
      <c r="F11" s="197" t="s">
        <v>101</v>
      </c>
      <c r="G11" s="64">
        <f>inputOth!E19</f>
        <v>11586</v>
      </c>
      <c r="H11" s="167"/>
      <c r="I11" s="66"/>
      <c r="J11" s="66"/>
    </row>
    <row r="12" spans="1:10" ht="15.75">
      <c r="A12" s="196"/>
      <c r="B12" s="196"/>
      <c r="C12" s="32"/>
      <c r="D12" s="32"/>
      <c r="E12" s="197"/>
      <c r="F12" s="197"/>
      <c r="G12" s="167"/>
      <c r="H12" s="167"/>
      <c r="I12" s="66"/>
      <c r="J12" s="66"/>
    </row>
    <row r="13" spans="1:10" ht="15.75">
      <c r="A13" s="196" t="s">
        <v>106</v>
      </c>
      <c r="B13" s="74" t="str">
        <f>CONCATENATE("Increase in Personal Property for ",J1-1,":")</f>
        <v>Increase in Personal Property for 2009:</v>
      </c>
      <c r="C13" s="32"/>
      <c r="D13" s="32"/>
      <c r="E13" s="197"/>
      <c r="F13" s="197"/>
      <c r="G13" s="167"/>
      <c r="H13" s="167"/>
      <c r="I13" s="66"/>
      <c r="J13" s="66"/>
    </row>
    <row r="14" spans="1:10" ht="15.75">
      <c r="A14" s="32"/>
      <c r="B14" s="32" t="s">
        <v>107</v>
      </c>
      <c r="C14" s="32" t="str">
        <f>CONCATENATE("Personal Property ",J1-1,"")</f>
        <v>Personal Property 2009</v>
      </c>
      <c r="D14" s="196" t="s">
        <v>101</v>
      </c>
      <c r="E14" s="64">
        <f>inputOth!E26</f>
        <v>183481</v>
      </c>
      <c r="F14" s="197"/>
      <c r="G14" s="66"/>
      <c r="H14" s="66"/>
      <c r="I14" s="167"/>
      <c r="J14" s="66"/>
    </row>
    <row r="15" spans="1:10" ht="15.75">
      <c r="A15" s="196"/>
      <c r="B15" s="32" t="s">
        <v>108</v>
      </c>
      <c r="C15" s="32" t="str">
        <f>CONCATENATE("Personal Property ",J1-2,"")</f>
        <v>Personal Property 2008</v>
      </c>
      <c r="D15" s="196" t="s">
        <v>104</v>
      </c>
      <c r="E15" s="65">
        <f>inputOth!E40</f>
        <v>207705</v>
      </c>
      <c r="F15" s="197"/>
      <c r="G15" s="167"/>
      <c r="H15" s="167"/>
      <c r="I15" s="66"/>
      <c r="J15" s="66"/>
    </row>
    <row r="16" spans="1:10" ht="15.75">
      <c r="A16" s="196"/>
      <c r="B16" s="32" t="s">
        <v>109</v>
      </c>
      <c r="C16" s="32" t="s">
        <v>123</v>
      </c>
      <c r="D16" s="32"/>
      <c r="E16" s="66"/>
      <c r="F16" s="66" t="s">
        <v>101</v>
      </c>
      <c r="G16" s="64">
        <f>IF(E14&gt;E15,E14-E15,0)</f>
        <v>0</v>
      </c>
      <c r="H16" s="167"/>
      <c r="I16" s="66"/>
      <c r="J16" s="66"/>
    </row>
    <row r="17" spans="1:10" ht="15.75">
      <c r="A17" s="196"/>
      <c r="B17" s="196"/>
      <c r="C17" s="32"/>
      <c r="D17" s="32"/>
      <c r="E17" s="66"/>
      <c r="F17" s="66"/>
      <c r="G17" s="167" t="s">
        <v>117</v>
      </c>
      <c r="H17" s="167"/>
      <c r="I17" s="66"/>
      <c r="J17" s="66"/>
    </row>
    <row r="18" spans="1:10" ht="15.75">
      <c r="A18" s="196" t="s">
        <v>110</v>
      </c>
      <c r="B18" s="74" t="str">
        <f>CONCATENATE("Valuation of Property that has Changed in Use during ",J1-1,":")</f>
        <v>Valuation of Property that has Changed in Use during 2009:</v>
      </c>
      <c r="C18" s="32"/>
      <c r="D18" s="196"/>
      <c r="E18" s="66"/>
      <c r="F18" s="66"/>
      <c r="G18" s="66">
        <f>inputOth!E33</f>
        <v>36097</v>
      </c>
      <c r="H18" s="66"/>
      <c r="I18" s="66"/>
      <c r="J18" s="66"/>
    </row>
    <row r="19" spans="1:10" ht="15.75">
      <c r="A19" s="32" t="s">
        <v>17</v>
      </c>
      <c r="B19" s="32"/>
      <c r="C19" s="32"/>
      <c r="D19" s="32"/>
      <c r="E19" s="167"/>
      <c r="F19" s="66"/>
      <c r="G19" s="198"/>
      <c r="H19" s="167"/>
      <c r="I19" s="66"/>
      <c r="J19" s="66"/>
    </row>
    <row r="20" spans="1:10" ht="15.75">
      <c r="A20" s="196" t="s">
        <v>111</v>
      </c>
      <c r="B20" s="74" t="s">
        <v>124</v>
      </c>
      <c r="C20" s="32"/>
      <c r="D20" s="196"/>
      <c r="E20" s="66"/>
      <c r="F20" s="66"/>
      <c r="G20" s="64">
        <f>G11+G16+G18</f>
        <v>47683</v>
      </c>
      <c r="H20" s="167"/>
      <c r="I20" s="66"/>
      <c r="J20" s="66"/>
    </row>
    <row r="21" spans="1:10" ht="15.75">
      <c r="A21" s="196"/>
      <c r="B21" s="196"/>
      <c r="C21" s="74"/>
      <c r="D21" s="32"/>
      <c r="E21" s="66"/>
      <c r="F21" s="66"/>
      <c r="G21" s="167"/>
      <c r="H21" s="167"/>
      <c r="I21" s="66"/>
      <c r="J21" s="66"/>
    </row>
    <row r="22" spans="1:10" ht="15.75">
      <c r="A22" s="196" t="s">
        <v>112</v>
      </c>
      <c r="B22" s="32" t="str">
        <f>CONCATENATE("Total Estimated Valuation July, 1,",J1-1,"")</f>
        <v>Total Estimated Valuation July, 1,2009</v>
      </c>
      <c r="C22" s="32"/>
      <c r="D22" s="32"/>
      <c r="E22" s="64">
        <f>inputOth!E12</f>
        <v>3023807</v>
      </c>
      <c r="F22" s="66"/>
      <c r="G22" s="66"/>
      <c r="H22" s="66"/>
      <c r="I22" s="197"/>
      <c r="J22" s="66"/>
    </row>
    <row r="23" spans="1:10" ht="15.75">
      <c r="A23" s="196"/>
      <c r="B23" s="196"/>
      <c r="C23" s="32"/>
      <c r="D23" s="32"/>
      <c r="E23" s="167"/>
      <c r="F23" s="66"/>
      <c r="G23" s="66"/>
      <c r="H23" s="66"/>
      <c r="I23" s="197"/>
      <c r="J23" s="66"/>
    </row>
    <row r="24" spans="1:10" ht="15.75">
      <c r="A24" s="196" t="s">
        <v>113</v>
      </c>
      <c r="B24" s="74" t="s">
        <v>125</v>
      </c>
      <c r="C24" s="32"/>
      <c r="D24" s="32"/>
      <c r="E24" s="66"/>
      <c r="F24" s="66"/>
      <c r="G24" s="64">
        <f>E22-G20</f>
        <v>2976124</v>
      </c>
      <c r="H24" s="167"/>
      <c r="I24" s="197"/>
      <c r="J24" s="66"/>
    </row>
    <row r="25" spans="1:10" ht="15.75">
      <c r="A25" s="196"/>
      <c r="B25" s="196"/>
      <c r="C25" s="74"/>
      <c r="D25" s="32"/>
      <c r="E25" s="66"/>
      <c r="F25" s="66"/>
      <c r="G25" s="198"/>
      <c r="H25" s="167"/>
      <c r="I25" s="197"/>
      <c r="J25" s="66"/>
    </row>
    <row r="26" spans="1:10" ht="15.75">
      <c r="A26" s="196" t="s">
        <v>114</v>
      </c>
      <c r="B26" s="32" t="s">
        <v>126</v>
      </c>
      <c r="C26" s="32"/>
      <c r="D26" s="32"/>
      <c r="E26" s="32"/>
      <c r="F26" s="32"/>
      <c r="G26" s="199">
        <f>IF(G20&gt;0,G20/G24,0)</f>
        <v>1.6021845863949218E-2</v>
      </c>
      <c r="H26" s="59"/>
      <c r="I26" s="32"/>
      <c r="J26" s="32"/>
    </row>
    <row r="27" spans="1:10" ht="15.75">
      <c r="A27" s="196"/>
      <c r="B27" s="196"/>
      <c r="C27" s="32"/>
      <c r="D27" s="32"/>
      <c r="E27" s="32"/>
      <c r="F27" s="32"/>
      <c r="G27" s="59"/>
      <c r="H27" s="59"/>
      <c r="I27" s="32"/>
      <c r="J27" s="32"/>
    </row>
    <row r="28" spans="1:10" ht="15.75">
      <c r="A28" s="196" t="s">
        <v>115</v>
      </c>
      <c r="B28" s="32" t="s">
        <v>127</v>
      </c>
      <c r="C28" s="32"/>
      <c r="D28" s="32"/>
      <c r="E28" s="32"/>
      <c r="F28" s="32"/>
      <c r="G28" s="59"/>
      <c r="H28" s="200" t="s">
        <v>101</v>
      </c>
      <c r="I28" s="32" t="s">
        <v>102</v>
      </c>
      <c r="J28" s="64">
        <f>ROUND(G26*J7,0)</f>
        <v>125</v>
      </c>
    </row>
    <row r="29" spans="1:10" ht="15.75">
      <c r="A29" s="196"/>
      <c r="B29" s="196"/>
      <c r="C29" s="32"/>
      <c r="D29" s="32"/>
      <c r="E29" s="32"/>
      <c r="F29" s="32"/>
      <c r="G29" s="59"/>
      <c r="H29" s="200"/>
      <c r="I29" s="32"/>
      <c r="J29" s="167"/>
    </row>
    <row r="30" spans="1:10" ht="16.5" thickBot="1">
      <c r="A30" s="196" t="s">
        <v>116</v>
      </c>
      <c r="B30" s="74" t="s">
        <v>132</v>
      </c>
      <c r="C30" s="32"/>
      <c r="D30" s="32"/>
      <c r="E30" s="32"/>
      <c r="F30" s="32"/>
      <c r="G30" s="32"/>
      <c r="H30" s="32"/>
      <c r="I30" s="32" t="s">
        <v>102</v>
      </c>
      <c r="J30" s="157">
        <f>J7+J28</f>
        <v>7951</v>
      </c>
    </row>
    <row r="31" spans="1:10" ht="16.5" thickTop="1">
      <c r="A31" s="196"/>
      <c r="B31" s="74"/>
      <c r="C31" s="32"/>
      <c r="D31" s="32"/>
      <c r="E31" s="32"/>
      <c r="F31" s="32"/>
      <c r="G31" s="32"/>
      <c r="H31" s="32"/>
      <c r="I31" s="32"/>
      <c r="J31" s="32"/>
    </row>
    <row r="32" spans="1:10" ht="15.75">
      <c r="A32" s="196" t="s">
        <v>130</v>
      </c>
      <c r="B32" s="74" t="str">
        <f>CONCATENATE("Debt Service Levy in this ",J1," Budget")</f>
        <v>Debt Service Levy in this 2010 Budget</v>
      </c>
      <c r="C32" s="32"/>
      <c r="D32" s="32"/>
      <c r="E32" s="32"/>
      <c r="F32" s="32"/>
      <c r="G32" s="32"/>
      <c r="H32" s="32"/>
      <c r="I32" s="32"/>
      <c r="J32" s="212">
        <f>'debt service'!$G60</f>
        <v>0</v>
      </c>
    </row>
    <row r="33" spans="1:10" ht="15.75">
      <c r="A33" s="196"/>
      <c r="B33" s="74"/>
      <c r="C33" s="32"/>
      <c r="D33" s="32"/>
      <c r="E33" s="32"/>
      <c r="F33" s="32"/>
      <c r="G33" s="32"/>
      <c r="H33" s="32"/>
      <c r="I33" s="32"/>
      <c r="J33" s="59"/>
    </row>
    <row r="34" spans="1:10" ht="16.5" thickBot="1">
      <c r="A34" s="196" t="s">
        <v>131</v>
      </c>
      <c r="B34" s="74" t="s">
        <v>133</v>
      </c>
      <c r="C34" s="32"/>
      <c r="D34" s="32"/>
      <c r="E34" s="32"/>
      <c r="F34" s="32"/>
      <c r="G34" s="32"/>
      <c r="H34" s="32"/>
      <c r="I34" s="32"/>
      <c r="J34" s="157">
        <f>J30+J32</f>
        <v>7951</v>
      </c>
    </row>
    <row r="35" spans="1:10" ht="16.5" thickTop="1">
      <c r="A35" s="32"/>
      <c r="B35" s="32"/>
      <c r="C35" s="32"/>
      <c r="D35" s="32"/>
      <c r="E35" s="32"/>
      <c r="F35" s="32"/>
      <c r="G35" s="32"/>
      <c r="H35" s="32"/>
      <c r="I35" s="32"/>
      <c r="J35" s="32"/>
    </row>
    <row r="36" spans="1:10" ht="15.75">
      <c r="A36" s="440" t="str">
        <f>CONCATENATE("If the ",J1," budget includes tax levies exceeding the total on line 14, you must")</f>
        <v>If the 2010 budget includes tax levies exceeding the total on line 14, you must</v>
      </c>
      <c r="B36" s="440"/>
      <c r="C36" s="440"/>
      <c r="D36" s="440"/>
      <c r="E36" s="440"/>
      <c r="F36" s="440"/>
      <c r="G36" s="440"/>
      <c r="H36" s="440"/>
      <c r="I36" s="440"/>
      <c r="J36" s="440"/>
    </row>
    <row r="37" spans="1:10" ht="15.75">
      <c r="A37" s="440" t="s">
        <v>129</v>
      </c>
      <c r="B37" s="440"/>
      <c r="C37" s="440"/>
      <c r="D37" s="440"/>
      <c r="E37" s="440"/>
      <c r="F37" s="440"/>
      <c r="G37" s="440"/>
      <c r="H37" s="440"/>
      <c r="I37" s="440"/>
      <c r="J37" s="440"/>
    </row>
  </sheetData>
  <mergeCells count="4">
    <mergeCell ref="A36:J36"/>
    <mergeCell ref="A37:J37"/>
    <mergeCell ref="A3:J3"/>
    <mergeCell ref="E4:G4"/>
  </mergeCells>
  <phoneticPr fontId="0" type="noConversion"/>
  <pageMargins left="0.5" right="0.5" top="0.75" bottom="0.5" header="0.5" footer="0.5"/>
  <pageSetup scale="80" orientation="portrait" blackAndWhite="1" r:id="rId1"/>
  <headerFooter alignWithMargins="0">
    <oddHeader xml:space="preserve">&amp;RState of Kansas
Special District
</oddHeader>
    <oddFooter>&amp;Lrevised 8/06/07&amp;CPage No. 2</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J33"/>
  <sheetViews>
    <sheetView topLeftCell="B1" workbookViewId="0">
      <selection activeCell="D34" sqref="D34"/>
    </sheetView>
  </sheetViews>
  <sheetFormatPr defaultRowHeight="15.75"/>
  <cols>
    <col min="1" max="1" width="8.88671875" style="213"/>
    <col min="2" max="2" width="17.77734375" style="13" customWidth="1"/>
    <col min="3" max="3" width="15.77734375" style="13" customWidth="1"/>
    <col min="4" max="6" width="12.77734375" style="13" customWidth="1"/>
    <col min="7" max="10" width="10.77734375" style="13" customWidth="1"/>
    <col min="11" max="16384" width="8.88671875" style="13"/>
  </cols>
  <sheetData>
    <row r="1" spans="1:10">
      <c r="A1" s="32"/>
      <c r="B1" s="32" t="str">
        <f>inputPrYr!D3</f>
        <v>Fairview</v>
      </c>
      <c r="C1" s="32"/>
      <c r="D1" s="32"/>
      <c r="E1" s="32"/>
      <c r="F1" s="32"/>
      <c r="G1" s="32"/>
      <c r="H1" s="32"/>
      <c r="I1" s="81"/>
      <c r="J1" s="32"/>
    </row>
    <row r="2" spans="1:10">
      <c r="A2" s="32"/>
      <c r="B2" s="32" t="str">
        <f>inputPrYr!D4</f>
        <v>Thomas</v>
      </c>
      <c r="C2" s="32"/>
      <c r="D2" s="32"/>
      <c r="E2" s="32"/>
      <c r="F2" s="32"/>
      <c r="G2" s="32"/>
      <c r="H2" s="32"/>
      <c r="I2" s="80"/>
      <c r="J2" s="32">
        <f>inputPrYr!D11</f>
        <v>2010</v>
      </c>
    </row>
    <row r="3" spans="1:10">
      <c r="A3" s="32"/>
      <c r="B3" s="32"/>
      <c r="C3" s="79"/>
      <c r="D3" s="79"/>
      <c r="E3" s="79"/>
      <c r="F3" s="79"/>
      <c r="G3" s="79"/>
      <c r="H3" s="79"/>
      <c r="I3" s="79"/>
      <c r="J3" s="32"/>
    </row>
    <row r="4" spans="1:10">
      <c r="A4" s="32"/>
      <c r="B4" s="32"/>
      <c r="C4" s="32"/>
      <c r="D4" s="32"/>
      <c r="E4" s="32"/>
      <c r="F4" s="32"/>
      <c r="G4" s="32"/>
      <c r="H4" s="32"/>
      <c r="I4" s="79"/>
      <c r="J4" s="32"/>
    </row>
    <row r="5" spans="1:10">
      <c r="A5" s="32"/>
      <c r="B5" s="32"/>
      <c r="C5" s="34"/>
      <c r="D5" s="34"/>
      <c r="E5" s="34"/>
      <c r="F5" s="32"/>
      <c r="G5" s="32"/>
      <c r="H5" s="32"/>
      <c r="I5" s="32"/>
      <c r="J5" s="32"/>
    </row>
    <row r="6" spans="1:10">
      <c r="A6" s="32"/>
      <c r="B6" s="444" t="s">
        <v>310</v>
      </c>
      <c r="C6" s="444"/>
      <c r="D6" s="444"/>
      <c r="E6" s="444"/>
      <c r="F6" s="444"/>
      <c r="G6" s="32"/>
      <c r="H6" s="32"/>
      <c r="I6" s="32"/>
      <c r="J6" s="32"/>
    </row>
    <row r="7" spans="1:10">
      <c r="A7" s="32"/>
      <c r="B7" s="348"/>
      <c r="C7" s="348"/>
      <c r="D7" s="348"/>
      <c r="E7" s="348"/>
      <c r="F7" s="348"/>
      <c r="G7" s="32"/>
      <c r="H7" s="32"/>
      <c r="I7" s="32"/>
      <c r="J7" s="32"/>
    </row>
    <row r="8" spans="1:10">
      <c r="A8" s="32"/>
      <c r="B8" s="32"/>
      <c r="C8" s="32"/>
      <c r="D8" s="32"/>
      <c r="E8" s="32"/>
      <c r="F8" s="32"/>
      <c r="G8" s="32"/>
      <c r="H8" s="32"/>
      <c r="I8" s="32"/>
      <c r="J8" s="32"/>
    </row>
    <row r="9" spans="1:10">
      <c r="A9" s="32"/>
      <c r="B9" s="442" t="str">
        <f>CONCATENATE("",J2-1,"                    Budgeted Funds")</f>
        <v>2009                    Budgeted Funds</v>
      </c>
      <c r="C9" s="433" t="str">
        <f>CONCATENATE("Tax Levy Amount in ",J2-1," Budget")</f>
        <v>Tax Levy Amount in 2009 Budget</v>
      </c>
      <c r="D9" s="437" t="str">
        <f>CONCATENATE("Allocation for Year ",J2,"")</f>
        <v>Allocation for Year 2010</v>
      </c>
      <c r="E9" s="445"/>
      <c r="F9" s="445"/>
      <c r="G9" s="439"/>
      <c r="H9" s="32"/>
      <c r="I9" s="32"/>
      <c r="J9" s="32"/>
    </row>
    <row r="10" spans="1:10">
      <c r="A10" s="32"/>
      <c r="B10" s="443"/>
      <c r="C10" s="443"/>
      <c r="D10" s="87" t="s">
        <v>48</v>
      </c>
      <c r="E10" s="87" t="s">
        <v>49</v>
      </c>
      <c r="F10" s="87" t="s">
        <v>96</v>
      </c>
      <c r="G10" s="87" t="s">
        <v>199</v>
      </c>
      <c r="H10" s="32"/>
      <c r="I10" s="32"/>
      <c r="J10" s="32"/>
    </row>
    <row r="11" spans="1:10">
      <c r="A11" s="32"/>
      <c r="B11" s="49" t="str">
        <f>inputPrYr!B23</f>
        <v>General</v>
      </c>
      <c r="C11" s="53">
        <f>inputPrYr!D23</f>
        <v>10835</v>
      </c>
      <c r="D11" s="53">
        <f>IF(E17=0,0,E17-D12-D13-D14)</f>
        <v>502</v>
      </c>
      <c r="E11" s="53">
        <f>IF(E19=0,0,E19-E12-E13-E14)</f>
        <v>15</v>
      </c>
      <c r="F11" s="53">
        <f>IF(E21=0,0,E21-F12-F13-F14)</f>
        <v>118</v>
      </c>
      <c r="G11" s="53">
        <f>IF(E23=0,0,E23-G12-G13-G14)</f>
        <v>0</v>
      </c>
      <c r="H11" s="32"/>
      <c r="I11" s="32"/>
      <c r="J11" s="32"/>
    </row>
    <row r="12" spans="1:10">
      <c r="A12" s="32"/>
      <c r="B12" s="49" t="str">
        <f>inputPrYr!B24</f>
        <v>Bond &amp; Interest</v>
      </c>
      <c r="C12" s="53">
        <f>inputPrYr!D24</f>
        <v>0</v>
      </c>
      <c r="D12" s="53">
        <f>IF($E$17=0,0,ROUND(C12*$C$25,0))</f>
        <v>0</v>
      </c>
      <c r="E12" s="53">
        <f>IF($E$19=0,0,ROUND(C12*$D$27,0))</f>
        <v>0</v>
      </c>
      <c r="F12" s="53">
        <f>IF($E21=0,0,ROUND(C12*$E$29,0))</f>
        <v>0</v>
      </c>
      <c r="G12" s="53">
        <f>IF($E23=0,0,ROUND(C12*$F$31,0))</f>
        <v>0</v>
      </c>
      <c r="H12" s="32"/>
      <c r="I12" s="32"/>
      <c r="J12" s="32"/>
    </row>
    <row r="13" spans="1:10">
      <c r="A13" s="32"/>
      <c r="B13" s="49" t="str">
        <f>IF(inputPrYr!$B$26&gt;"  ",inputPrYr!$B$26,"  ")</f>
        <v xml:space="preserve">  </v>
      </c>
      <c r="C13" s="53">
        <f>inputPrYr!D26</f>
        <v>0</v>
      </c>
      <c r="D13" s="53">
        <f>IF($E$17=0,0,ROUND(C13*$C$25,0))</f>
        <v>0</v>
      </c>
      <c r="E13" s="53">
        <f>IF($E$19=0,0,ROUND(C13*$D$27,0))</f>
        <v>0</v>
      </c>
      <c r="F13" s="53">
        <f>IF($E21=0,0,ROUND(C13*$E$29,0))</f>
        <v>0</v>
      </c>
      <c r="G13" s="53">
        <f>IF($E23=0,0,ROUND(C13*$F$31,0))</f>
        <v>0</v>
      </c>
      <c r="H13" s="36"/>
      <c r="I13" s="36"/>
      <c r="J13" s="32"/>
    </row>
    <row r="14" spans="1:10">
      <c r="A14" s="32"/>
      <c r="B14" s="49" t="str">
        <f>IF(inputPrYr!$B$27&gt;"  ",inputPrYr!$B$27,"  ")</f>
        <v xml:space="preserve">  </v>
      </c>
      <c r="C14" s="53">
        <f>inputPrYr!D27</f>
        <v>0</v>
      </c>
      <c r="D14" s="53">
        <f>IF($E$17=0,0,ROUND(C14*$C$25,0))</f>
        <v>0</v>
      </c>
      <c r="E14" s="53">
        <f>IF($E$19=0,0,ROUND(C14*$D$27,0))</f>
        <v>0</v>
      </c>
      <c r="F14" s="53">
        <f>IF($E21=0,0,ROUND(C14*$E$29,0))</f>
        <v>0</v>
      </c>
      <c r="G14" s="53">
        <f>IF($E23=0,0,ROUND(C14*$F$31,0))</f>
        <v>0</v>
      </c>
      <c r="H14" s="32"/>
      <c r="I14" s="32"/>
      <c r="J14" s="32"/>
    </row>
    <row r="15" spans="1:10" ht="16.5" thickBot="1">
      <c r="A15" s="32"/>
      <c r="B15" s="75" t="s">
        <v>14</v>
      </c>
      <c r="C15" s="264">
        <f>SUM(C11:C14)</f>
        <v>10835</v>
      </c>
      <c r="D15" s="264">
        <f>SUM(D11:D14)</f>
        <v>502</v>
      </c>
      <c r="E15" s="264">
        <f>SUM(E11:E14)</f>
        <v>15</v>
      </c>
      <c r="F15" s="264">
        <f>SUM(F11:F14)</f>
        <v>118</v>
      </c>
      <c r="G15" s="302">
        <f>SUM(G11:G14)</f>
        <v>0</v>
      </c>
      <c r="H15" s="32"/>
      <c r="I15" s="32"/>
      <c r="J15" s="32"/>
    </row>
    <row r="16" spans="1:10" ht="16.5" thickTop="1">
      <c r="A16" s="32"/>
      <c r="B16" s="32"/>
      <c r="C16" s="32"/>
      <c r="D16" s="32"/>
      <c r="E16" s="32"/>
      <c r="F16" s="32"/>
      <c r="G16" s="32"/>
      <c r="H16" s="32"/>
      <c r="I16" s="32"/>
      <c r="J16" s="32"/>
    </row>
    <row r="17" spans="1:10">
      <c r="A17" s="32"/>
      <c r="B17" s="35" t="s">
        <v>50</v>
      </c>
      <c r="C17" s="32"/>
      <c r="D17" s="32"/>
      <c r="E17" s="89">
        <f>inputOth!E69</f>
        <v>502</v>
      </c>
      <c r="F17" s="32"/>
      <c r="G17" s="32"/>
      <c r="H17" s="32"/>
      <c r="I17" s="32"/>
      <c r="J17" s="32"/>
    </row>
    <row r="18" spans="1:10">
      <c r="A18" s="32"/>
      <c r="B18" s="32"/>
      <c r="C18" s="32"/>
      <c r="D18" s="79"/>
      <c r="E18" s="79"/>
      <c r="F18" s="32"/>
      <c r="G18" s="32"/>
      <c r="H18" s="32"/>
      <c r="I18" s="32"/>
      <c r="J18" s="32"/>
    </row>
    <row r="19" spans="1:10">
      <c r="A19" s="32"/>
      <c r="B19" s="35" t="s">
        <v>51</v>
      </c>
      <c r="C19" s="32"/>
      <c r="D19" s="79"/>
      <c r="E19" s="89">
        <f>inputOth!E76</f>
        <v>15</v>
      </c>
      <c r="F19" s="32"/>
      <c r="G19" s="32"/>
      <c r="H19" s="32"/>
      <c r="I19" s="32"/>
      <c r="J19" s="32"/>
    </row>
    <row r="20" spans="1:10">
      <c r="A20" s="32"/>
      <c r="B20" s="32"/>
      <c r="C20" s="32"/>
      <c r="D20" s="32"/>
      <c r="E20" s="32"/>
      <c r="F20" s="32"/>
      <c r="G20" s="32"/>
      <c r="H20" s="32"/>
      <c r="I20" s="32"/>
      <c r="J20" s="32"/>
    </row>
    <row r="21" spans="1:10">
      <c r="A21" s="32"/>
      <c r="B21" s="35" t="s">
        <v>97</v>
      </c>
      <c r="C21" s="32"/>
      <c r="D21" s="32"/>
      <c r="E21" s="89">
        <f>inputOth!E83</f>
        <v>118</v>
      </c>
      <c r="F21" s="32"/>
      <c r="G21" s="32"/>
      <c r="H21" s="32"/>
      <c r="I21" s="32"/>
      <c r="J21" s="32"/>
    </row>
    <row r="22" spans="1:10">
      <c r="A22" s="32"/>
      <c r="B22" s="32"/>
      <c r="C22" s="32"/>
      <c r="D22" s="32"/>
      <c r="E22" s="32"/>
      <c r="F22" s="32"/>
      <c r="G22" s="32"/>
      <c r="H22" s="32"/>
      <c r="I22" s="32"/>
      <c r="J22" s="32"/>
    </row>
    <row r="23" spans="1:10">
      <c r="A23" s="32"/>
      <c r="B23" s="32" t="s">
        <v>251</v>
      </c>
      <c r="C23" s="32"/>
      <c r="D23" s="32"/>
      <c r="E23" s="64">
        <f>inputOth!E90</f>
        <v>0</v>
      </c>
      <c r="F23" s="32"/>
      <c r="G23" s="32"/>
      <c r="H23" s="32"/>
      <c r="I23" s="32"/>
      <c r="J23" s="32"/>
    </row>
    <row r="24" spans="1:10">
      <c r="A24" s="32"/>
      <c r="B24" s="32"/>
      <c r="C24" s="32"/>
      <c r="D24" s="32"/>
      <c r="E24" s="32"/>
      <c r="F24" s="32"/>
      <c r="G24" s="32"/>
      <c r="H24" s="32"/>
      <c r="I24" s="32"/>
      <c r="J24" s="32"/>
    </row>
    <row r="25" spans="1:10">
      <c r="A25" s="32"/>
      <c r="B25" s="80" t="s">
        <v>52</v>
      </c>
      <c r="C25" s="299">
        <f>IF(C15=0,0,E17/C15)</f>
        <v>4.6331333640978314E-2</v>
      </c>
      <c r="D25" s="32"/>
      <c r="E25" s="32"/>
      <c r="F25" s="32"/>
      <c r="G25" s="32"/>
      <c r="H25" s="32"/>
      <c r="I25" s="32"/>
      <c r="J25" s="32"/>
    </row>
    <row r="26" spans="1:10">
      <c r="A26" s="32"/>
      <c r="B26" s="35"/>
      <c r="C26" s="90"/>
      <c r="D26" s="32"/>
      <c r="E26" s="32"/>
      <c r="F26" s="32"/>
      <c r="G26" s="32"/>
      <c r="H26" s="32"/>
      <c r="I26" s="32"/>
      <c r="J26" s="32"/>
    </row>
    <row r="27" spans="1:10">
      <c r="A27" s="32"/>
      <c r="B27" s="32"/>
      <c r="C27" s="80" t="s">
        <v>53</v>
      </c>
      <c r="D27" s="300">
        <f>IF(C15=0,0,E19/C15)</f>
        <v>1.3844023996308261E-3</v>
      </c>
      <c r="E27" s="32"/>
      <c r="F27" s="32"/>
      <c r="G27" s="32"/>
      <c r="H27" s="32"/>
      <c r="I27" s="32"/>
      <c r="J27" s="32"/>
    </row>
    <row r="28" spans="1:10">
      <c r="A28" s="32"/>
      <c r="B28" s="32"/>
      <c r="C28" s="35"/>
      <c r="D28" s="91"/>
      <c r="E28" s="32"/>
      <c r="F28" s="32"/>
      <c r="G28" s="32"/>
      <c r="H28" s="32"/>
      <c r="I28" s="32"/>
      <c r="J28" s="32"/>
    </row>
    <row r="29" spans="1:10">
      <c r="A29" s="32"/>
      <c r="B29" s="32"/>
      <c r="C29" s="32"/>
      <c r="D29" s="80" t="s">
        <v>98</v>
      </c>
      <c r="E29" s="300">
        <f>IF(C15=0,0,E21/C15)</f>
        <v>1.0890632210429164E-2</v>
      </c>
      <c r="F29" s="32"/>
      <c r="G29" s="32"/>
      <c r="H29" s="32"/>
      <c r="I29" s="32"/>
      <c r="J29" s="32"/>
    </row>
    <row r="30" spans="1:10">
      <c r="A30" s="32"/>
      <c r="B30" s="32"/>
      <c r="C30" s="32"/>
      <c r="D30" s="32"/>
      <c r="E30" s="32"/>
      <c r="F30" s="32"/>
      <c r="G30" s="32"/>
      <c r="H30" s="32"/>
      <c r="I30" s="32"/>
      <c r="J30" s="32"/>
    </row>
    <row r="31" spans="1:10">
      <c r="A31" s="32"/>
      <c r="B31" s="32"/>
      <c r="C31" s="67"/>
      <c r="D31" s="67"/>
      <c r="E31" s="301" t="s">
        <v>252</v>
      </c>
      <c r="F31" s="300">
        <f>IF(C15=0,0,E23/C15)</f>
        <v>0</v>
      </c>
      <c r="G31" s="67"/>
      <c r="H31" s="67"/>
      <c r="I31" s="32"/>
      <c r="J31" s="32"/>
    </row>
    <row r="32" spans="1:10">
      <c r="A32" s="32"/>
      <c r="B32" s="32"/>
      <c r="C32" s="67"/>
      <c r="D32" s="67"/>
      <c r="E32" s="67"/>
      <c r="F32" s="67"/>
      <c r="G32" s="67"/>
      <c r="H32" s="67"/>
      <c r="I32" s="32"/>
      <c r="J32" s="32"/>
    </row>
    <row r="33" spans="1:10">
      <c r="A33" s="32"/>
      <c r="B33" s="32"/>
      <c r="C33" s="67"/>
      <c r="D33" s="67"/>
      <c r="E33" s="67"/>
      <c r="F33" s="67"/>
      <c r="G33" s="67"/>
      <c r="H33" s="67"/>
      <c r="I33" s="32"/>
      <c r="J33" s="32"/>
    </row>
  </sheetData>
  <sheetProtection sheet="1" objects="1" scenarios="1"/>
  <mergeCells count="4">
    <mergeCell ref="B9:B10"/>
    <mergeCell ref="B6:F6"/>
    <mergeCell ref="C9:C10"/>
    <mergeCell ref="D9:G9"/>
  </mergeCells>
  <phoneticPr fontId="0" type="noConversion"/>
  <pageMargins left="1.42" right="0.5" top="0.5" bottom="0.25" header="0.25" footer="0.25"/>
  <pageSetup scale="73" orientation="landscape" blackAndWhite="1" horizontalDpi="120" verticalDpi="144" r:id="rId1"/>
  <headerFooter alignWithMargins="0">
    <oddHeader xml:space="preserve">&amp;RState of Kansas
Special District
</oddHeader>
    <oddFooter>&amp;Lrevised 8/06/07&amp;CPage No. 3</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G29"/>
  <sheetViews>
    <sheetView topLeftCell="B1" workbookViewId="0">
      <selection activeCell="D29" sqref="D29"/>
    </sheetView>
  </sheetViews>
  <sheetFormatPr defaultRowHeight="15.75"/>
  <cols>
    <col min="1" max="2" width="17.77734375" style="13" customWidth="1"/>
    <col min="3" max="6" width="12.77734375" style="13" customWidth="1"/>
    <col min="7" max="16384" width="8.88671875" style="13"/>
  </cols>
  <sheetData>
    <row r="1" spans="1:6">
      <c r="A1" s="79"/>
      <c r="B1" s="32"/>
      <c r="C1" s="32"/>
      <c r="D1" s="32"/>
      <c r="E1" s="81"/>
      <c r="F1" s="32">
        <f>inputPrYr!D11</f>
        <v>2010</v>
      </c>
    </row>
    <row r="2" spans="1:6">
      <c r="A2" s="147" t="str">
        <f>inputPrYr!D3</f>
        <v>Fairview</v>
      </c>
      <c r="B2" s="147"/>
      <c r="C2" s="32"/>
      <c r="D2" s="32"/>
      <c r="E2" s="81"/>
      <c r="F2" s="32"/>
    </row>
    <row r="3" spans="1:6">
      <c r="A3" s="147" t="str">
        <f>inputPrYr!D4</f>
        <v>Thomas</v>
      </c>
      <c r="B3" s="147"/>
      <c r="C3" s="32"/>
      <c r="D3" s="32"/>
      <c r="E3" s="81"/>
      <c r="F3" s="32"/>
    </row>
    <row r="4" spans="1:6">
      <c r="A4" s="79"/>
      <c r="B4" s="32"/>
      <c r="C4" s="32"/>
      <c r="D4" s="32"/>
      <c r="E4" s="81"/>
      <c r="F4" s="32"/>
    </row>
    <row r="5" spans="1:6" ht="15" customHeight="1">
      <c r="A5" s="432" t="s">
        <v>155</v>
      </c>
      <c r="B5" s="432"/>
      <c r="C5" s="432"/>
      <c r="D5" s="432"/>
      <c r="E5" s="432"/>
      <c r="F5" s="432"/>
    </row>
    <row r="6" spans="1:6" ht="14.25" customHeight="1">
      <c r="A6" s="146"/>
      <c r="B6" s="148"/>
      <c r="C6" s="148"/>
      <c r="D6" s="148"/>
      <c r="E6" s="148"/>
      <c r="F6" s="148"/>
    </row>
    <row r="7" spans="1:6" ht="17.25" customHeight="1">
      <c r="A7" s="149" t="s">
        <v>156</v>
      </c>
      <c r="B7" s="149" t="s">
        <v>156</v>
      </c>
      <c r="C7" s="149" t="s">
        <v>57</v>
      </c>
      <c r="D7" s="149" t="s">
        <v>157</v>
      </c>
      <c r="E7" s="149" t="s">
        <v>158</v>
      </c>
      <c r="F7" s="149" t="s">
        <v>187</v>
      </c>
    </row>
    <row r="8" spans="1:6" ht="17.25" customHeight="1">
      <c r="A8" s="214" t="s">
        <v>188</v>
      </c>
      <c r="B8" s="214" t="s">
        <v>189</v>
      </c>
      <c r="C8" s="214" t="s">
        <v>190</v>
      </c>
      <c r="D8" s="214" t="s">
        <v>190</v>
      </c>
      <c r="E8" s="214" t="s">
        <v>190</v>
      </c>
      <c r="F8" s="214" t="s">
        <v>191</v>
      </c>
    </row>
    <row r="9" spans="1:6" s="150" customFormat="1" ht="18" customHeight="1">
      <c r="A9" s="215" t="s">
        <v>192</v>
      </c>
      <c r="B9" s="215" t="s">
        <v>193</v>
      </c>
      <c r="C9" s="204">
        <f>F1-2</f>
        <v>2008</v>
      </c>
      <c r="D9" s="204">
        <f>F1-1</f>
        <v>2009</v>
      </c>
      <c r="E9" s="204">
        <f>F1</f>
        <v>2010</v>
      </c>
      <c r="F9" s="215" t="s">
        <v>194</v>
      </c>
    </row>
    <row r="10" spans="1:6" ht="15" customHeight="1">
      <c r="A10" s="151"/>
      <c r="B10" s="151"/>
      <c r="C10" s="216"/>
      <c r="D10" s="216"/>
      <c r="E10" s="216"/>
      <c r="F10" s="151"/>
    </row>
    <row r="11" spans="1:6" ht="15" customHeight="1">
      <c r="A11" s="23"/>
      <c r="B11" s="23"/>
      <c r="C11" s="217"/>
      <c r="D11" s="217"/>
      <c r="E11" s="217"/>
      <c r="F11" s="23"/>
    </row>
    <row r="12" spans="1:6" ht="15" customHeight="1">
      <c r="A12" s="23"/>
      <c r="B12" s="23"/>
      <c r="C12" s="217"/>
      <c r="D12" s="217"/>
      <c r="E12" s="217"/>
      <c r="F12" s="23"/>
    </row>
    <row r="13" spans="1:6" ht="15" customHeight="1">
      <c r="A13" s="23"/>
      <c r="B13" s="23"/>
      <c r="C13" s="217"/>
      <c r="D13" s="217"/>
      <c r="E13" s="217"/>
      <c r="F13" s="23"/>
    </row>
    <row r="14" spans="1:6" ht="15" customHeight="1">
      <c r="A14" s="23"/>
      <c r="B14" s="23"/>
      <c r="C14" s="217"/>
      <c r="D14" s="217"/>
      <c r="E14" s="217"/>
      <c r="F14" s="23"/>
    </row>
    <row r="15" spans="1:6" ht="15" customHeight="1">
      <c r="A15" s="23"/>
      <c r="B15" s="23"/>
      <c r="C15" s="217"/>
      <c r="D15" s="217"/>
      <c r="E15" s="217"/>
      <c r="F15" s="23"/>
    </row>
    <row r="16" spans="1:6" ht="15" customHeight="1">
      <c r="A16" s="23"/>
      <c r="B16" s="152"/>
      <c r="C16" s="217"/>
      <c r="D16" s="217"/>
      <c r="E16" s="217"/>
      <c r="F16" s="23"/>
    </row>
    <row r="17" spans="1:7" ht="15" customHeight="1">
      <c r="A17" s="23"/>
      <c r="B17" s="23"/>
      <c r="C17" s="217"/>
      <c r="D17" s="217"/>
      <c r="E17" s="217"/>
      <c r="F17" s="23"/>
    </row>
    <row r="18" spans="1:7" ht="15" customHeight="1">
      <c r="A18" s="23"/>
      <c r="B18" s="23"/>
      <c r="C18" s="217"/>
      <c r="D18" s="217"/>
      <c r="E18" s="217"/>
      <c r="F18" s="23"/>
    </row>
    <row r="19" spans="1:7" ht="15" customHeight="1">
      <c r="A19" s="23"/>
      <c r="B19" s="23"/>
      <c r="C19" s="217"/>
      <c r="D19" s="217"/>
      <c r="E19" s="217"/>
      <c r="F19" s="23"/>
    </row>
    <row r="20" spans="1:7" ht="15" customHeight="1">
      <c r="A20" s="23"/>
      <c r="B20" s="23"/>
      <c r="C20" s="217"/>
      <c r="D20" s="217"/>
      <c r="E20" s="217"/>
      <c r="F20" s="23"/>
    </row>
    <row r="21" spans="1:7" ht="15" customHeight="1">
      <c r="A21" s="23"/>
      <c r="B21" s="23"/>
      <c r="C21" s="217"/>
      <c r="D21" s="217"/>
      <c r="E21" s="217"/>
      <c r="F21" s="23"/>
    </row>
    <row r="22" spans="1:7" ht="15" customHeight="1">
      <c r="A22" s="23"/>
      <c r="B22" s="23"/>
      <c r="C22" s="217"/>
      <c r="D22" s="217"/>
      <c r="E22" s="217"/>
      <c r="F22" s="23"/>
    </row>
    <row r="23" spans="1:7" ht="15" customHeight="1">
      <c r="A23" s="23"/>
      <c r="B23" s="23"/>
      <c r="C23" s="217"/>
      <c r="D23" s="217"/>
      <c r="E23" s="217"/>
      <c r="F23" s="23"/>
    </row>
    <row r="24" spans="1:7">
      <c r="A24" s="99"/>
      <c r="B24" s="218" t="s">
        <v>143</v>
      </c>
      <c r="C24" s="268">
        <f>SUM(C10:C23)</f>
        <v>0</v>
      </c>
      <c r="D24" s="268">
        <f>SUM(D10:D23)</f>
        <v>0</v>
      </c>
      <c r="E24" s="268">
        <f>SUM(E10:E23)</f>
        <v>0</v>
      </c>
      <c r="F24" s="161"/>
      <c r="G24"/>
    </row>
    <row r="25" spans="1:7">
      <c r="A25" s="99"/>
      <c r="B25" s="219" t="s">
        <v>195</v>
      </c>
      <c r="C25" s="220"/>
      <c r="D25" s="221"/>
      <c r="E25" s="221"/>
      <c r="F25" s="161"/>
      <c r="G25"/>
    </row>
    <row r="26" spans="1:7">
      <c r="A26" s="99"/>
      <c r="B26" s="218" t="s">
        <v>196</v>
      </c>
      <c r="C26" s="268">
        <f>C24</f>
        <v>0</v>
      </c>
      <c r="D26" s="268">
        <f>SUM(D24-D25)</f>
        <v>0</v>
      </c>
      <c r="E26" s="268">
        <f>SUM(E24-E25)</f>
        <v>0</v>
      </c>
      <c r="F26" s="161"/>
      <c r="G26"/>
    </row>
    <row r="27" spans="1:7">
      <c r="A27" s="32"/>
      <c r="B27" s="32"/>
      <c r="C27" s="32"/>
      <c r="D27" s="67"/>
      <c r="E27" s="67"/>
      <c r="F27" s="67"/>
      <c r="G27"/>
    </row>
    <row r="28" spans="1:7">
      <c r="A28" s="32" t="s">
        <v>197</v>
      </c>
      <c r="B28" s="32"/>
      <c r="C28" s="32"/>
      <c r="D28" s="67"/>
      <c r="E28" s="67"/>
      <c r="F28" s="67"/>
      <c r="G28"/>
    </row>
    <row r="29" spans="1:7">
      <c r="A29"/>
      <c r="B29"/>
      <c r="C29"/>
      <c r="D29"/>
      <c r="E29"/>
      <c r="F29"/>
      <c r="G29"/>
    </row>
  </sheetData>
  <mergeCells count="1">
    <mergeCell ref="A5:F5"/>
  </mergeCells>
  <phoneticPr fontId="15" type="noConversion"/>
  <pageMargins left="0.75" right="0.75" top="1" bottom="1" header="0.5" footer="0.5"/>
  <pageSetup scale="80" orientation="portrait" blackAndWhite="1" r:id="rId1"/>
  <headerFooter alignWithMargins="0">
    <oddHeader>&amp;RState of Kansas
Special District</oddHeader>
    <oddFooter>&amp;Lrevised 8/06/07&amp;CPage No. 4</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X43"/>
  <sheetViews>
    <sheetView zoomScale="75" workbookViewId="0">
      <selection activeCell="E44" sqref="E44"/>
    </sheetView>
  </sheetViews>
  <sheetFormatPr defaultRowHeight="15.75"/>
  <cols>
    <col min="1" max="1" width="20.77734375" style="13" customWidth="1"/>
    <col min="2" max="2" width="9.77734375" style="13" customWidth="1"/>
    <col min="3" max="3" width="10.77734375" style="13" customWidth="1"/>
    <col min="4" max="4" width="9.77734375" style="13" customWidth="1"/>
    <col min="5" max="5" width="17.21875" style="13" customWidth="1"/>
    <col min="6" max="11" width="9.77734375" style="13" customWidth="1"/>
    <col min="12" max="16384" width="8.88671875" style="13"/>
  </cols>
  <sheetData>
    <row r="1" spans="1:11">
      <c r="A1" s="32" t="str">
        <f>inputPrYr!$D$3</f>
        <v>Fairview</v>
      </c>
      <c r="B1" s="32"/>
      <c r="C1" s="32"/>
      <c r="D1" s="32"/>
      <c r="E1" s="32"/>
      <c r="F1" s="32"/>
      <c r="G1" s="32"/>
      <c r="H1" s="32"/>
      <c r="I1" s="32"/>
      <c r="J1" s="32"/>
      <c r="K1" s="145">
        <f>inputPrYr!D11</f>
        <v>2010</v>
      </c>
    </row>
    <row r="2" spans="1:11">
      <c r="A2" s="32" t="str">
        <f>inputPrYr!$D$4</f>
        <v>Thomas</v>
      </c>
      <c r="B2" s="32"/>
      <c r="C2" s="32"/>
      <c r="D2" s="32"/>
      <c r="E2" s="32"/>
      <c r="F2" s="32"/>
      <c r="G2" s="32"/>
      <c r="H2" s="32"/>
      <c r="I2" s="32"/>
      <c r="J2" s="32"/>
      <c r="K2" s="80"/>
    </row>
    <row r="3" spans="1:11">
      <c r="A3" s="32"/>
      <c r="B3" s="32"/>
      <c r="C3" s="32"/>
      <c r="D3" s="32"/>
      <c r="E3" s="32"/>
      <c r="F3" s="32"/>
      <c r="G3" s="32"/>
      <c r="H3" s="32"/>
      <c r="I3" s="32"/>
      <c r="J3" s="32"/>
      <c r="K3" s="80"/>
    </row>
    <row r="4" spans="1:11" s="28" customFormat="1">
      <c r="A4" s="169" t="s">
        <v>94</v>
      </c>
      <c r="B4" s="170"/>
      <c r="C4" s="170"/>
      <c r="D4" s="34"/>
      <c r="E4" s="170"/>
      <c r="F4" s="170"/>
      <c r="G4" s="170"/>
      <c r="H4" s="170"/>
      <c r="I4" s="170"/>
      <c r="J4" s="170"/>
      <c r="K4" s="170"/>
    </row>
    <row r="5" spans="1:11" s="28" customFormat="1">
      <c r="A5" s="125"/>
      <c r="B5" s="125"/>
      <c r="C5" s="125"/>
      <c r="D5" s="125"/>
      <c r="E5" s="125"/>
      <c r="F5" s="125"/>
      <c r="G5" s="125"/>
      <c r="H5" s="125"/>
      <c r="I5" s="125"/>
      <c r="J5" s="125"/>
      <c r="K5" s="125"/>
    </row>
    <row r="6" spans="1:11" s="28" customFormat="1">
      <c r="A6" s="32"/>
      <c r="B6" s="42" t="s">
        <v>66</v>
      </c>
      <c r="C6" s="42" t="s">
        <v>75</v>
      </c>
      <c r="D6" s="42"/>
      <c r="E6" s="42" t="s">
        <v>33</v>
      </c>
      <c r="F6" s="171"/>
      <c r="G6" s="172"/>
      <c r="H6" s="171" t="s">
        <v>67</v>
      </c>
      <c r="I6" s="172"/>
      <c r="J6" s="171" t="s">
        <v>67</v>
      </c>
      <c r="K6" s="172"/>
    </row>
    <row r="7" spans="1:11" s="28" customFormat="1">
      <c r="A7" s="32"/>
      <c r="B7" s="43" t="s">
        <v>68</v>
      </c>
      <c r="C7" s="43" t="s">
        <v>69</v>
      </c>
      <c r="D7" s="43" t="s">
        <v>33</v>
      </c>
      <c r="E7" s="43" t="s">
        <v>141</v>
      </c>
      <c r="F7" s="173" t="s">
        <v>70</v>
      </c>
      <c r="G7" s="174"/>
      <c r="H7" s="173">
        <f>K1-1</f>
        <v>2009</v>
      </c>
      <c r="I7" s="174"/>
      <c r="J7" s="173">
        <f>K1</f>
        <v>2010</v>
      </c>
      <c r="K7" s="174"/>
    </row>
    <row r="8" spans="1:11" s="28" customFormat="1">
      <c r="A8" s="175" t="s">
        <v>71</v>
      </c>
      <c r="B8" s="87" t="s">
        <v>72</v>
      </c>
      <c r="C8" s="87" t="s">
        <v>46</v>
      </c>
      <c r="D8" s="87" t="s">
        <v>73</v>
      </c>
      <c r="E8" s="176" t="str">
        <f>CONCATENATE("Jan 1,",K1-1,"")</f>
        <v>Jan 1,2009</v>
      </c>
      <c r="F8" s="143" t="s">
        <v>75</v>
      </c>
      <c r="G8" s="143" t="s">
        <v>76</v>
      </c>
      <c r="H8" s="143" t="s">
        <v>75</v>
      </c>
      <c r="I8" s="143" t="s">
        <v>76</v>
      </c>
      <c r="J8" s="143" t="s">
        <v>75</v>
      </c>
      <c r="K8" s="143" t="s">
        <v>76</v>
      </c>
    </row>
    <row r="9" spans="1:11" s="28" customFormat="1">
      <c r="A9" s="75" t="s">
        <v>180</v>
      </c>
      <c r="B9" s="177"/>
      <c r="C9" s="75"/>
      <c r="D9" s="75"/>
      <c r="E9" s="75"/>
      <c r="F9" s="178"/>
      <c r="G9" s="178"/>
      <c r="H9" s="75"/>
      <c r="I9" s="75"/>
      <c r="J9" s="75"/>
      <c r="K9" s="75"/>
    </row>
    <row r="10" spans="1:11" s="28" customFormat="1">
      <c r="A10" s="22"/>
      <c r="B10" s="117"/>
      <c r="C10" s="22"/>
      <c r="D10" s="22"/>
      <c r="E10" s="304"/>
      <c r="F10" s="119"/>
      <c r="G10" s="119"/>
      <c r="H10" s="22"/>
      <c r="I10" s="22"/>
      <c r="J10" s="22"/>
      <c r="K10" s="22"/>
    </row>
    <row r="11" spans="1:11" s="28" customFormat="1">
      <c r="A11" s="14"/>
      <c r="B11" s="118"/>
      <c r="C11" s="27"/>
      <c r="D11" s="15"/>
      <c r="E11" s="305"/>
      <c r="F11" s="120"/>
      <c r="G11" s="120"/>
      <c r="H11" s="21"/>
      <c r="I11" s="21"/>
      <c r="J11" s="21"/>
      <c r="K11" s="21"/>
    </row>
    <row r="12" spans="1:11" s="28" customFormat="1">
      <c r="A12" s="49" t="s">
        <v>181</v>
      </c>
      <c r="B12" s="185"/>
      <c r="C12" s="186"/>
      <c r="D12" s="51"/>
      <c r="E12" s="271">
        <f>SUM(E10:E11)</f>
        <v>0</v>
      </c>
      <c r="F12" s="184"/>
      <c r="G12" s="184"/>
      <c r="H12" s="262">
        <f>SUM(H10:H11)</f>
        <v>0</v>
      </c>
      <c r="I12" s="262">
        <f>SUM(I10:I11)</f>
        <v>0</v>
      </c>
      <c r="J12" s="262">
        <f>SUM(J10:J11)</f>
        <v>0</v>
      </c>
      <c r="K12" s="262">
        <f>SUM(K10:K11)</f>
        <v>0</v>
      </c>
    </row>
    <row r="13" spans="1:11" s="28" customFormat="1">
      <c r="A13" s="95" t="s">
        <v>182</v>
      </c>
      <c r="B13" s="180"/>
      <c r="C13" s="181"/>
      <c r="D13" s="182"/>
      <c r="E13" s="183"/>
      <c r="F13" s="184"/>
      <c r="G13" s="184"/>
      <c r="H13" s="53"/>
      <c r="I13" s="53"/>
      <c r="J13" s="53"/>
      <c r="K13" s="53"/>
    </row>
    <row r="14" spans="1:11" s="28" customFormat="1">
      <c r="A14" s="14"/>
      <c r="B14" s="118"/>
      <c r="C14" s="27"/>
      <c r="D14" s="15"/>
      <c r="E14" s="179"/>
      <c r="F14" s="120"/>
      <c r="G14" s="120"/>
      <c r="H14" s="21"/>
      <c r="I14" s="21"/>
      <c r="J14" s="21"/>
      <c r="K14" s="21"/>
    </row>
    <row r="15" spans="1:11" s="28" customFormat="1">
      <c r="A15" s="14"/>
      <c r="B15" s="118"/>
      <c r="C15" s="27"/>
      <c r="D15" s="15"/>
      <c r="E15" s="179"/>
      <c r="F15" s="120"/>
      <c r="G15" s="120"/>
      <c r="H15" s="21"/>
      <c r="I15" s="21"/>
      <c r="J15" s="21"/>
      <c r="K15" s="21"/>
    </row>
    <row r="16" spans="1:11" s="28" customFormat="1">
      <c r="A16" s="49" t="s">
        <v>183</v>
      </c>
      <c r="B16" s="185"/>
      <c r="C16" s="186"/>
      <c r="D16" s="51"/>
      <c r="E16" s="271">
        <f>SUM(E14:E15)</f>
        <v>0</v>
      </c>
      <c r="F16" s="184"/>
      <c r="G16" s="184"/>
      <c r="H16" s="262">
        <f>SUM(H14:H15)</f>
        <v>0</v>
      </c>
      <c r="I16" s="262">
        <f>SUM(I14:I15)</f>
        <v>0</v>
      </c>
      <c r="J16" s="262">
        <f>SUM(J14:J15)</f>
        <v>0</v>
      </c>
      <c r="K16" s="262">
        <f>SUM(K14:K15)</f>
        <v>0</v>
      </c>
    </row>
    <row r="17" spans="1:24" s="28" customFormat="1">
      <c r="A17" s="95" t="s">
        <v>184</v>
      </c>
      <c r="B17" s="180"/>
      <c r="C17" s="181"/>
      <c r="D17" s="182"/>
      <c r="E17" s="183"/>
      <c r="F17" s="184"/>
      <c r="G17" s="184"/>
      <c r="H17" s="53"/>
      <c r="I17" s="53"/>
      <c r="J17" s="53"/>
      <c r="K17" s="53"/>
    </row>
    <row r="18" spans="1:24" s="28" customFormat="1">
      <c r="A18" s="14"/>
      <c r="B18" s="118"/>
      <c r="C18" s="27"/>
      <c r="D18" s="15"/>
      <c r="E18" s="179"/>
      <c r="F18" s="120"/>
      <c r="G18" s="120"/>
      <c r="H18" s="21"/>
      <c r="I18" s="21"/>
      <c r="J18" s="21"/>
      <c r="K18" s="21"/>
    </row>
    <row r="19" spans="1:24" s="28" customFormat="1">
      <c r="A19" s="14"/>
      <c r="B19" s="118"/>
      <c r="C19" s="27"/>
      <c r="D19" s="15"/>
      <c r="E19" s="179"/>
      <c r="F19" s="120"/>
      <c r="G19" s="120"/>
      <c r="H19" s="21"/>
      <c r="I19" s="21"/>
      <c r="J19" s="21"/>
      <c r="K19" s="21"/>
    </row>
    <row r="20" spans="1:24" s="28" customFormat="1">
      <c r="A20" s="49" t="s">
        <v>185</v>
      </c>
      <c r="B20" s="185"/>
      <c r="C20" s="186"/>
      <c r="D20" s="51"/>
      <c r="E20" s="271">
        <f>SUM(E18:E19)</f>
        <v>0</v>
      </c>
      <c r="F20" s="184"/>
      <c r="G20" s="184"/>
      <c r="H20" s="262">
        <f>SUM(H18:H19)</f>
        <v>0</v>
      </c>
      <c r="I20" s="262">
        <f>SUM(I18:I19)</f>
        <v>0</v>
      </c>
      <c r="J20" s="262">
        <f>SUM(J18:J19)</f>
        <v>0</v>
      </c>
      <c r="K20" s="262">
        <f>SUM(K18:K19)</f>
        <v>0</v>
      </c>
    </row>
    <row r="21" spans="1:24" s="28" customFormat="1">
      <c r="A21" s="187" t="s">
        <v>95</v>
      </c>
      <c r="B21" s="188"/>
      <c r="C21" s="189"/>
      <c r="D21" s="190"/>
      <c r="E21" s="272">
        <f>SUM(E12+E16+E20)</f>
        <v>0</v>
      </c>
      <c r="F21" s="188"/>
      <c r="G21" s="191"/>
      <c r="H21" s="272">
        <f>SUM(H12+H16+H20)</f>
        <v>0</v>
      </c>
      <c r="I21" s="272">
        <f>SUM(I12+I16+I20)</f>
        <v>0</v>
      </c>
      <c r="J21" s="272">
        <f>SUM(J12+J16+J20)</f>
        <v>0</v>
      </c>
      <c r="K21" s="272">
        <f>SUM(K12+K16+K20)</f>
        <v>0</v>
      </c>
    </row>
    <row r="22" spans="1:24" s="28" customFormat="1">
      <c r="A22" s="32"/>
      <c r="B22" s="32"/>
      <c r="C22" s="59"/>
      <c r="D22" s="59"/>
      <c r="E22" s="59"/>
      <c r="F22" s="59"/>
      <c r="G22" s="59"/>
      <c r="H22" s="59"/>
      <c r="I22" s="59"/>
      <c r="J22" s="59"/>
      <c r="K22" s="59"/>
      <c r="L22" s="1"/>
      <c r="M22" s="1"/>
      <c r="N22" s="1"/>
      <c r="O22" s="1"/>
      <c r="P22" s="1"/>
      <c r="Q22" s="1"/>
      <c r="R22" s="1"/>
      <c r="S22" s="1"/>
      <c r="T22" s="1"/>
      <c r="U22" s="1"/>
      <c r="V22" s="1"/>
      <c r="W22" s="1"/>
      <c r="X22" s="1"/>
    </row>
    <row r="23" spans="1:24" s="29" customFormat="1">
      <c r="A23" s="169" t="s">
        <v>88</v>
      </c>
      <c r="B23" s="121"/>
      <c r="C23" s="121"/>
      <c r="D23" s="121"/>
      <c r="E23" s="34"/>
      <c r="F23" s="121"/>
      <c r="G23" s="121"/>
      <c r="H23" s="121"/>
      <c r="I23" s="121"/>
      <c r="J23" s="121"/>
      <c r="K23" s="122"/>
    </row>
    <row r="24" spans="1:24" s="29" customFormat="1">
      <c r="A24" s="59"/>
      <c r="B24" s="37"/>
      <c r="C24" s="37"/>
      <c r="D24" s="37"/>
      <c r="E24" s="37"/>
      <c r="F24" s="37"/>
      <c r="G24" s="37"/>
      <c r="H24" s="37"/>
      <c r="I24" s="38"/>
      <c r="J24" s="38"/>
      <c r="K24" s="122"/>
    </row>
    <row r="25" spans="1:24" s="29" customFormat="1">
      <c r="A25" s="192"/>
      <c r="B25" s="192"/>
      <c r="C25" s="42" t="s">
        <v>74</v>
      </c>
      <c r="D25" s="192"/>
      <c r="E25" s="42" t="s">
        <v>14</v>
      </c>
      <c r="F25" s="192"/>
      <c r="G25" s="192"/>
      <c r="H25" s="192"/>
      <c r="I25" s="123"/>
      <c r="J25" s="124"/>
      <c r="K25" s="122"/>
    </row>
    <row r="26" spans="1:24" s="29" customFormat="1">
      <c r="A26" s="193"/>
      <c r="B26" s="43"/>
      <c r="C26" s="43" t="s">
        <v>68</v>
      </c>
      <c r="D26" s="43" t="s">
        <v>75</v>
      </c>
      <c r="E26" s="43" t="s">
        <v>33</v>
      </c>
      <c r="F26" s="43" t="s">
        <v>76</v>
      </c>
      <c r="G26" s="43" t="s">
        <v>77</v>
      </c>
      <c r="H26" s="43" t="s">
        <v>77</v>
      </c>
      <c r="I26" s="122"/>
      <c r="J26" s="122"/>
      <c r="K26" s="122"/>
    </row>
    <row r="27" spans="1:24" s="29" customFormat="1">
      <c r="A27" s="193"/>
      <c r="B27" s="43" t="s">
        <v>78</v>
      </c>
      <c r="C27" s="43" t="s">
        <v>79</v>
      </c>
      <c r="D27" s="43" t="s">
        <v>69</v>
      </c>
      <c r="E27" s="43" t="s">
        <v>80</v>
      </c>
      <c r="F27" s="43" t="s">
        <v>121</v>
      </c>
      <c r="G27" s="43" t="s">
        <v>81</v>
      </c>
      <c r="H27" s="43" t="s">
        <v>81</v>
      </c>
      <c r="I27" s="122"/>
      <c r="J27" s="122"/>
      <c r="K27" s="122"/>
    </row>
    <row r="28" spans="1:24" s="29" customFormat="1">
      <c r="A28" s="88" t="s">
        <v>82</v>
      </c>
      <c r="B28" s="87" t="s">
        <v>66</v>
      </c>
      <c r="C28" s="194" t="s">
        <v>83</v>
      </c>
      <c r="D28" s="87" t="s">
        <v>46</v>
      </c>
      <c r="E28" s="194" t="s">
        <v>142</v>
      </c>
      <c r="F28" s="176" t="str">
        <f>E8</f>
        <v>Jan 1,2009</v>
      </c>
      <c r="G28" s="87">
        <f>K1-1</f>
        <v>2009</v>
      </c>
      <c r="H28" s="87">
        <f>K1</f>
        <v>2010</v>
      </c>
      <c r="I28" s="122"/>
      <c r="J28" s="122"/>
      <c r="K28" s="122"/>
    </row>
    <row r="29" spans="1:24" s="29" customFormat="1">
      <c r="A29" s="14"/>
      <c r="B29" s="118"/>
      <c r="C29" s="30"/>
      <c r="D29" s="27"/>
      <c r="E29" s="15"/>
      <c r="F29" s="15"/>
      <c r="G29" s="15"/>
      <c r="H29" s="15"/>
      <c r="I29" s="122"/>
      <c r="J29" s="122"/>
      <c r="K29" s="122"/>
    </row>
    <row r="30" spans="1:24" s="29" customFormat="1">
      <c r="A30" s="14"/>
      <c r="B30" s="118"/>
      <c r="C30" s="30"/>
      <c r="D30" s="27"/>
      <c r="E30" s="15"/>
      <c r="F30" s="15"/>
      <c r="G30" s="15"/>
      <c r="H30" s="15"/>
      <c r="I30" s="122"/>
      <c r="J30" s="122"/>
      <c r="K30" s="122"/>
    </row>
    <row r="31" spans="1:24" s="29" customFormat="1">
      <c r="A31" s="14"/>
      <c r="B31" s="118"/>
      <c r="C31" s="30"/>
      <c r="D31" s="27"/>
      <c r="E31" s="15"/>
      <c r="F31" s="15"/>
      <c r="G31" s="15"/>
      <c r="H31" s="15"/>
      <c r="I31" s="122"/>
      <c r="J31" s="122"/>
      <c r="K31" s="122"/>
    </row>
    <row r="32" spans="1:24" s="29" customFormat="1">
      <c r="A32" s="14"/>
      <c r="B32" s="118"/>
      <c r="C32" s="30"/>
      <c r="D32" s="27"/>
      <c r="E32" s="15"/>
      <c r="F32" s="15"/>
      <c r="G32" s="15"/>
      <c r="H32" s="15"/>
      <c r="I32" s="122"/>
      <c r="J32" s="122"/>
      <c r="K32" s="122"/>
    </row>
    <row r="33" spans="1:11" s="29" customFormat="1">
      <c r="A33" s="14"/>
      <c r="B33" s="118"/>
      <c r="C33" s="30"/>
      <c r="D33" s="27"/>
      <c r="E33" s="15"/>
      <c r="F33" s="15"/>
      <c r="G33" s="15"/>
      <c r="H33" s="15"/>
      <c r="I33" s="122"/>
      <c r="J33" s="122"/>
      <c r="K33" s="122"/>
    </row>
    <row r="34" spans="1:11" s="29" customFormat="1">
      <c r="A34" s="14"/>
      <c r="B34" s="118"/>
      <c r="C34" s="30"/>
      <c r="D34" s="27"/>
      <c r="E34" s="15"/>
      <c r="F34" s="15"/>
      <c r="G34" s="15"/>
      <c r="H34" s="15"/>
      <c r="I34" s="122"/>
      <c r="J34" s="122"/>
      <c r="K34" s="122"/>
    </row>
    <row r="35" spans="1:11" s="29" customFormat="1">
      <c r="A35" s="14"/>
      <c r="B35" s="118"/>
      <c r="C35" s="30"/>
      <c r="D35" s="27"/>
      <c r="E35" s="15"/>
      <c r="F35" s="15"/>
      <c r="G35" s="15"/>
      <c r="H35" s="15"/>
      <c r="I35" s="122"/>
      <c r="J35" s="122"/>
      <c r="K35" s="122"/>
    </row>
    <row r="36" spans="1:11" s="29" customFormat="1">
      <c r="A36" s="14"/>
      <c r="B36" s="118"/>
      <c r="C36" s="30"/>
      <c r="D36" s="27"/>
      <c r="E36" s="15"/>
      <c r="F36" s="15"/>
      <c r="G36" s="15"/>
      <c r="H36" s="15"/>
      <c r="I36" s="122"/>
      <c r="J36" s="122"/>
      <c r="K36" s="122"/>
    </row>
    <row r="37" spans="1:11" s="29" customFormat="1">
      <c r="A37" s="14"/>
      <c r="B37" s="118"/>
      <c r="C37" s="30"/>
      <c r="D37" s="27"/>
      <c r="E37" s="15"/>
      <c r="F37" s="15"/>
      <c r="G37" s="15"/>
      <c r="H37" s="15"/>
      <c r="I37" s="122"/>
      <c r="J37" s="122"/>
      <c r="K37" s="122"/>
    </row>
    <row r="38" spans="1:11" s="29" customFormat="1">
      <c r="A38" s="14"/>
      <c r="B38" s="118"/>
      <c r="C38" s="30"/>
      <c r="D38" s="27"/>
      <c r="E38" s="15"/>
      <c r="F38" s="15"/>
      <c r="G38" s="15"/>
      <c r="H38" s="15"/>
      <c r="I38" s="122"/>
      <c r="J38" s="122"/>
      <c r="K38" s="122"/>
    </row>
    <row r="39" spans="1:11" s="29" customFormat="1">
      <c r="A39" s="14"/>
      <c r="B39" s="118"/>
      <c r="C39" s="30"/>
      <c r="D39" s="27"/>
      <c r="E39" s="15"/>
      <c r="F39" s="15"/>
      <c r="G39" s="15"/>
      <c r="H39" s="15"/>
      <c r="I39" s="122"/>
      <c r="J39" s="122"/>
      <c r="K39" s="122"/>
    </row>
    <row r="40" spans="1:11" s="29" customFormat="1">
      <c r="A40" s="14"/>
      <c r="B40" s="118"/>
      <c r="C40" s="30"/>
      <c r="D40" s="27"/>
      <c r="E40" s="15"/>
      <c r="F40" s="15"/>
      <c r="G40" s="15"/>
      <c r="H40" s="15"/>
      <c r="I40" s="122"/>
      <c r="J40" s="122"/>
      <c r="K40" s="122"/>
    </row>
    <row r="41" spans="1:11" s="28" customFormat="1">
      <c r="A41" s="187" t="s">
        <v>95</v>
      </c>
      <c r="B41" s="188"/>
      <c r="C41" s="189"/>
      <c r="D41" s="260"/>
      <c r="E41" s="191"/>
      <c r="F41" s="306">
        <f>SUM(F29:F40)</f>
        <v>0</v>
      </c>
      <c r="G41" s="306">
        <f>SUM(G29:G40)</f>
        <v>0</v>
      </c>
      <c r="H41" s="306">
        <f>SUM(H29:H40)</f>
        <v>0</v>
      </c>
      <c r="I41" s="125"/>
      <c r="J41" s="125"/>
      <c r="K41" s="126"/>
    </row>
    <row r="42" spans="1:11">
      <c r="A42" s="32"/>
      <c r="B42" s="32"/>
      <c r="C42" s="32"/>
      <c r="D42" s="32"/>
      <c r="E42" s="32"/>
      <c r="F42" s="32"/>
      <c r="G42" s="32"/>
      <c r="H42" s="32"/>
      <c r="I42" s="32"/>
      <c r="J42" s="32"/>
      <c r="K42" s="32"/>
    </row>
    <row r="43" spans="1:11">
      <c r="A43" s="125" t="s">
        <v>120</v>
      </c>
      <c r="B43" s="32"/>
      <c r="C43" s="32"/>
      <c r="D43" s="32"/>
      <c r="E43" s="32"/>
      <c r="F43" s="32"/>
      <c r="G43" s="32"/>
      <c r="H43" s="32"/>
      <c r="I43" s="32"/>
      <c r="J43" s="32"/>
      <c r="K43" s="32"/>
    </row>
  </sheetData>
  <sheetProtection sheet="1" objects="1" scenarios="1"/>
  <phoneticPr fontId="0" type="noConversion"/>
  <pageMargins left="0.5" right="0.5" top="1" bottom="0.5" header="0.5" footer="0.5"/>
  <pageSetup scale="71" orientation="landscape" blackAndWhite="1" horizontalDpi="120" verticalDpi="144" r:id="rId1"/>
  <headerFooter alignWithMargins="0">
    <oddHeader xml:space="preserve">&amp;RState of Kansas
Special District
</oddHeader>
    <oddFooter>&amp;Lrevised 8/06/07&amp;CPage No. 5</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H56"/>
  <sheetViews>
    <sheetView topLeftCell="A19" workbookViewId="0">
      <selection activeCell="G31" sqref="G31"/>
    </sheetView>
  </sheetViews>
  <sheetFormatPr defaultRowHeight="15.75"/>
  <cols>
    <col min="1" max="1" width="28.44140625" style="1" customWidth="1"/>
    <col min="2" max="2" width="9.5546875" style="1" customWidth="1"/>
    <col min="3" max="3" width="10.44140625" style="1" customWidth="1"/>
    <col min="4" max="4" width="5.77734375" style="1" customWidth="1"/>
    <col min="5" max="5" width="9.6640625" style="1" customWidth="1"/>
    <col min="6" max="6" width="6.6640625" style="1" customWidth="1"/>
    <col min="7" max="7" width="15.77734375" style="1" customWidth="1"/>
    <col min="8" max="16384" width="8.88671875" style="1"/>
  </cols>
  <sheetData>
    <row r="1" spans="1:8">
      <c r="A1" s="32" t="str">
        <f>inputPrYr!D3</f>
        <v>Fairview</v>
      </c>
      <c r="B1" s="32"/>
      <c r="C1" s="83"/>
      <c r="D1" s="83"/>
      <c r="E1" s="32"/>
      <c r="F1" s="32"/>
      <c r="G1" s="201"/>
      <c r="H1" s="63"/>
    </row>
    <row r="2" spans="1:8">
      <c r="A2" s="32" t="str">
        <f>inputPrYr!D4</f>
        <v>Thomas</v>
      </c>
      <c r="B2" s="32"/>
      <c r="C2" s="83"/>
      <c r="D2" s="83"/>
      <c r="E2" s="32"/>
      <c r="F2" s="32"/>
      <c r="G2" s="80"/>
      <c r="H2" s="63"/>
    </row>
    <row r="3" spans="1:8">
      <c r="A3" s="74" t="s">
        <v>89</v>
      </c>
      <c r="B3" s="74"/>
      <c r="C3" s="83"/>
      <c r="D3" s="83"/>
      <c r="E3" s="32"/>
      <c r="F3" s="32"/>
      <c r="G3" s="84"/>
      <c r="H3" s="145">
        <f>inputPrYr!D11</f>
        <v>2010</v>
      </c>
    </row>
    <row r="4" spans="1:8">
      <c r="A4" s="32"/>
      <c r="B4" s="32"/>
      <c r="C4" s="38"/>
      <c r="D4" s="38"/>
      <c r="E4" s="38"/>
      <c r="F4" s="38"/>
      <c r="G4" s="38"/>
      <c r="H4" s="63"/>
    </row>
    <row r="5" spans="1:8">
      <c r="A5" s="35" t="s">
        <v>34</v>
      </c>
      <c r="B5" s="35"/>
      <c r="C5" s="472" t="s">
        <v>329</v>
      </c>
      <c r="D5" s="473"/>
      <c r="E5" s="476" t="s">
        <v>331</v>
      </c>
      <c r="F5" s="477"/>
      <c r="G5" s="78" t="s">
        <v>332</v>
      </c>
      <c r="H5" s="63"/>
    </row>
    <row r="6" spans="1:8">
      <c r="A6" s="59" t="str">
        <f>inputPrYr!B23</f>
        <v>General</v>
      </c>
      <c r="B6" s="59"/>
      <c r="C6" s="474" t="str">
        <f>CONCATENATE("Actual ",H3-2,"")</f>
        <v>Actual 2008</v>
      </c>
      <c r="D6" s="475"/>
      <c r="E6" s="474" t="str">
        <f>CONCATENATE("Estimate ",H3-1,"")</f>
        <v>Estimate 2009</v>
      </c>
      <c r="F6" s="475"/>
      <c r="G6" s="204" t="str">
        <f>CONCATENATE("Year ",H3,"")</f>
        <v>Year 2010</v>
      </c>
      <c r="H6" s="63"/>
    </row>
    <row r="7" spans="1:8">
      <c r="A7" s="50" t="s">
        <v>134</v>
      </c>
      <c r="B7" s="310"/>
      <c r="C7" s="453">
        <v>2306</v>
      </c>
      <c r="D7" s="454"/>
      <c r="E7" s="470">
        <f>C43</f>
        <v>4805</v>
      </c>
      <c r="F7" s="471"/>
      <c r="G7" s="51">
        <f>E43</f>
        <v>4389</v>
      </c>
      <c r="H7" s="63"/>
    </row>
    <row r="8" spans="1:8">
      <c r="A8" s="160" t="s">
        <v>136</v>
      </c>
      <c r="B8" s="310"/>
      <c r="C8" s="468"/>
      <c r="D8" s="469"/>
      <c r="E8" s="468"/>
      <c r="F8" s="469"/>
      <c r="G8" s="53"/>
      <c r="H8" s="63"/>
    </row>
    <row r="9" spans="1:8">
      <c r="A9" s="50" t="s">
        <v>35</v>
      </c>
      <c r="B9" s="310"/>
      <c r="C9" s="453">
        <v>4956</v>
      </c>
      <c r="D9" s="454"/>
      <c r="E9" s="468">
        <f>inputPrYr!E23</f>
        <v>7826</v>
      </c>
      <c r="F9" s="469"/>
      <c r="G9" s="54" t="s">
        <v>27</v>
      </c>
      <c r="H9" s="63"/>
    </row>
    <row r="10" spans="1:8">
      <c r="A10" s="50" t="s">
        <v>36</v>
      </c>
      <c r="B10" s="310"/>
      <c r="C10" s="453"/>
      <c r="D10" s="454"/>
      <c r="E10" s="453"/>
      <c r="F10" s="454"/>
      <c r="G10" s="21"/>
      <c r="H10" s="63"/>
    </row>
    <row r="11" spans="1:8">
      <c r="A11" s="50" t="s">
        <v>37</v>
      </c>
      <c r="B11" s="310"/>
      <c r="C11" s="453">
        <v>313</v>
      </c>
      <c r="D11" s="454"/>
      <c r="E11" s="453">
        <v>468</v>
      </c>
      <c r="F11" s="454"/>
      <c r="G11" s="51">
        <f>mvalloc!D11</f>
        <v>502</v>
      </c>
      <c r="H11" s="63"/>
    </row>
    <row r="12" spans="1:8">
      <c r="A12" s="50" t="s">
        <v>38</v>
      </c>
      <c r="B12" s="310"/>
      <c r="C12" s="453">
        <v>10</v>
      </c>
      <c r="D12" s="454"/>
      <c r="E12" s="453">
        <v>8</v>
      </c>
      <c r="F12" s="454"/>
      <c r="G12" s="51">
        <f>mvalloc!E11</f>
        <v>15</v>
      </c>
      <c r="H12" s="63"/>
    </row>
    <row r="13" spans="1:8">
      <c r="A13" s="312" t="s">
        <v>118</v>
      </c>
      <c r="B13" s="310"/>
      <c r="C13" s="453">
        <v>46</v>
      </c>
      <c r="D13" s="454"/>
      <c r="E13" s="453">
        <v>117</v>
      </c>
      <c r="F13" s="454"/>
      <c r="G13" s="51">
        <f>mvalloc!F11</f>
        <v>118</v>
      </c>
      <c r="H13" s="63"/>
    </row>
    <row r="14" spans="1:8">
      <c r="A14" s="312" t="s">
        <v>198</v>
      </c>
      <c r="B14" s="310"/>
      <c r="C14" s="453"/>
      <c r="D14" s="454"/>
      <c r="E14" s="453"/>
      <c r="F14" s="454"/>
      <c r="G14" s="51">
        <f>inputOth!D91</f>
        <v>0</v>
      </c>
      <c r="H14" s="63"/>
    </row>
    <row r="15" spans="1:8">
      <c r="A15" s="312" t="s">
        <v>199</v>
      </c>
      <c r="B15" s="310"/>
      <c r="C15" s="453"/>
      <c r="D15" s="454"/>
      <c r="E15" s="453"/>
      <c r="F15" s="454"/>
      <c r="G15" s="51">
        <f>mvalloc!G11</f>
        <v>0</v>
      </c>
      <c r="H15" s="63"/>
    </row>
    <row r="16" spans="1:8">
      <c r="A16" s="312"/>
      <c r="B16" s="310"/>
      <c r="C16" s="453"/>
      <c r="D16" s="454"/>
      <c r="E16" s="453"/>
      <c r="F16" s="454"/>
      <c r="G16" s="21"/>
      <c r="H16" s="63"/>
    </row>
    <row r="17" spans="1:8">
      <c r="A17" s="307" t="s">
        <v>39</v>
      </c>
      <c r="B17" s="311"/>
      <c r="C17" s="453"/>
      <c r="D17" s="454"/>
      <c r="E17" s="453"/>
      <c r="F17" s="454"/>
      <c r="G17" s="21"/>
      <c r="H17" s="63"/>
    </row>
    <row r="18" spans="1:8">
      <c r="A18" s="307" t="s">
        <v>378</v>
      </c>
      <c r="B18" s="311"/>
      <c r="C18" s="453">
        <v>3117</v>
      </c>
      <c r="D18" s="454"/>
      <c r="E18" s="453">
        <v>2000</v>
      </c>
      <c r="F18" s="454"/>
      <c r="G18" s="21"/>
      <c r="H18" s="63"/>
    </row>
    <row r="19" spans="1:8">
      <c r="A19" s="307" t="s">
        <v>379</v>
      </c>
      <c r="B19" s="311"/>
      <c r="C19" s="453">
        <v>3000</v>
      </c>
      <c r="D19" s="454"/>
      <c r="E19" s="453"/>
      <c r="F19" s="454"/>
      <c r="G19" s="21"/>
      <c r="H19" s="63"/>
    </row>
    <row r="20" spans="1:8">
      <c r="A20" s="307" t="s">
        <v>380</v>
      </c>
      <c r="B20" s="311"/>
      <c r="C20" s="453">
        <v>673</v>
      </c>
      <c r="D20" s="454"/>
      <c r="E20" s="453"/>
      <c r="F20" s="454"/>
      <c r="G20" s="21"/>
      <c r="H20" s="63"/>
    </row>
    <row r="21" spans="1:8">
      <c r="A21" s="307"/>
      <c r="B21" s="311"/>
      <c r="C21" s="453"/>
      <c r="D21" s="454"/>
      <c r="E21" s="453"/>
      <c r="F21" s="454"/>
      <c r="G21" s="21"/>
      <c r="H21" s="63"/>
    </row>
    <row r="22" spans="1:8">
      <c r="A22" s="307"/>
      <c r="B22" s="311"/>
      <c r="C22" s="453"/>
      <c r="D22" s="454"/>
      <c r="E22" s="453"/>
      <c r="F22" s="454"/>
      <c r="G22" s="21"/>
      <c r="H22" s="63"/>
    </row>
    <row r="23" spans="1:8">
      <c r="A23" s="308"/>
      <c r="B23" s="311"/>
      <c r="C23" s="453"/>
      <c r="D23" s="454"/>
      <c r="E23" s="453"/>
      <c r="F23" s="454"/>
      <c r="G23" s="21"/>
      <c r="H23" s="63"/>
    </row>
    <row r="24" spans="1:8">
      <c r="A24" s="308" t="s">
        <v>40</v>
      </c>
      <c r="B24" s="311"/>
      <c r="C24" s="453">
        <v>223</v>
      </c>
      <c r="D24" s="454"/>
      <c r="E24" s="453"/>
      <c r="F24" s="454"/>
      <c r="G24" s="21"/>
      <c r="H24" s="63"/>
    </row>
    <row r="25" spans="1:8">
      <c r="A25" s="346" t="s">
        <v>264</v>
      </c>
      <c r="B25" s="320"/>
      <c r="C25" s="460"/>
      <c r="D25" s="461"/>
      <c r="E25" s="460"/>
      <c r="F25" s="461"/>
      <c r="G25" s="309"/>
      <c r="H25" s="63"/>
    </row>
    <row r="26" spans="1:8">
      <c r="A26" s="346" t="s">
        <v>265</v>
      </c>
      <c r="B26" s="320"/>
      <c r="C26" s="462" t="str">
        <f>IF(C27*0.1&lt;C25,"Exceed 10% Rule","")</f>
        <v/>
      </c>
      <c r="D26" s="463"/>
      <c r="E26" s="462" t="str">
        <f>IF(E27*0.1&lt;E25,"Exceed 10% Rule","")</f>
        <v/>
      </c>
      <c r="F26" s="463"/>
      <c r="G26" s="345" t="str">
        <f>IF(G27*0.1+G48&lt;G25,"Exceed 10% Rule","")</f>
        <v/>
      </c>
      <c r="H26" s="63"/>
    </row>
    <row r="27" spans="1:8">
      <c r="A27" s="210" t="s">
        <v>41</v>
      </c>
      <c r="B27" s="310"/>
      <c r="C27" s="464">
        <f>SUM(C9:C25)</f>
        <v>12338</v>
      </c>
      <c r="D27" s="465"/>
      <c r="E27" s="464">
        <f>SUM(E9:E25)</f>
        <v>10419</v>
      </c>
      <c r="F27" s="465"/>
      <c r="G27" s="294">
        <f>SUM(G9:G25)</f>
        <v>635</v>
      </c>
      <c r="H27" s="63"/>
    </row>
    <row r="28" spans="1:8">
      <c r="A28" s="210" t="s">
        <v>42</v>
      </c>
      <c r="B28" s="310"/>
      <c r="C28" s="464">
        <f>C7+C27</f>
        <v>14644</v>
      </c>
      <c r="D28" s="465"/>
      <c r="E28" s="464">
        <f>E7+E27</f>
        <v>15224</v>
      </c>
      <c r="F28" s="465"/>
      <c r="G28" s="294">
        <f>G7+G27</f>
        <v>5024</v>
      </c>
      <c r="H28" s="63"/>
    </row>
    <row r="29" spans="1:8">
      <c r="A29" s="50" t="s">
        <v>43</v>
      </c>
      <c r="B29" s="310"/>
      <c r="C29" s="466"/>
      <c r="D29" s="467"/>
      <c r="E29" s="466"/>
      <c r="F29" s="467"/>
      <c r="G29" s="49"/>
      <c r="H29" s="63"/>
    </row>
    <row r="30" spans="1:8">
      <c r="A30" s="307" t="s">
        <v>381</v>
      </c>
      <c r="B30" s="311"/>
      <c r="C30" s="453">
        <v>3925</v>
      </c>
      <c r="D30" s="454"/>
      <c r="E30" s="453">
        <v>9835</v>
      </c>
      <c r="F30" s="454"/>
      <c r="G30" s="21">
        <v>4440</v>
      </c>
      <c r="H30" s="63"/>
    </row>
    <row r="31" spans="1:8">
      <c r="A31" s="307" t="s">
        <v>382</v>
      </c>
      <c r="B31" s="311"/>
      <c r="C31" s="453">
        <v>868</v>
      </c>
      <c r="D31" s="454"/>
      <c r="E31" s="453"/>
      <c r="F31" s="454"/>
      <c r="G31" s="21">
        <v>1000</v>
      </c>
      <c r="H31" s="63"/>
    </row>
    <row r="32" spans="1:8">
      <c r="A32" s="307" t="s">
        <v>383</v>
      </c>
      <c r="B32" s="311"/>
      <c r="C32" s="453">
        <v>3731</v>
      </c>
      <c r="D32" s="454"/>
      <c r="E32" s="453"/>
      <c r="F32" s="454"/>
      <c r="G32" s="21">
        <v>4500</v>
      </c>
      <c r="H32" s="63"/>
    </row>
    <row r="33" spans="1:8">
      <c r="A33" s="307" t="s">
        <v>384</v>
      </c>
      <c r="B33" s="311"/>
      <c r="C33" s="453">
        <v>662</v>
      </c>
      <c r="D33" s="454"/>
      <c r="E33" s="453"/>
      <c r="F33" s="454"/>
      <c r="G33" s="21">
        <v>1000</v>
      </c>
      <c r="H33" s="63"/>
    </row>
    <row r="34" spans="1:8">
      <c r="A34" s="307" t="s">
        <v>385</v>
      </c>
      <c r="B34" s="311"/>
      <c r="C34" s="453">
        <v>653</v>
      </c>
      <c r="D34" s="454"/>
      <c r="E34" s="453">
        <v>500</v>
      </c>
      <c r="F34" s="454"/>
      <c r="G34" s="21">
        <v>1000</v>
      </c>
      <c r="H34" s="63"/>
    </row>
    <row r="35" spans="1:8">
      <c r="A35" s="307" t="s">
        <v>386</v>
      </c>
      <c r="B35" s="311"/>
      <c r="C35" s="453"/>
      <c r="D35" s="454"/>
      <c r="E35" s="453">
        <v>500</v>
      </c>
      <c r="F35" s="454"/>
      <c r="G35" s="21">
        <v>200</v>
      </c>
      <c r="H35" s="63"/>
    </row>
    <row r="36" spans="1:8">
      <c r="A36" s="307"/>
      <c r="B36" s="311"/>
      <c r="C36" s="453"/>
      <c r="D36" s="454"/>
      <c r="E36" s="453"/>
      <c r="F36" s="454"/>
      <c r="G36" s="21"/>
      <c r="H36" s="63"/>
    </row>
    <row r="37" spans="1:8">
      <c r="A37" s="307"/>
      <c r="B37" s="311"/>
      <c r="C37" s="453"/>
      <c r="D37" s="454"/>
      <c r="E37" s="453"/>
      <c r="F37" s="454"/>
      <c r="G37" s="21"/>
      <c r="H37" s="63"/>
    </row>
    <row r="38" spans="1:8">
      <c r="A38" s="307"/>
      <c r="B38" s="311"/>
      <c r="C38" s="453"/>
      <c r="D38" s="454"/>
      <c r="E38" s="453"/>
      <c r="F38" s="454"/>
      <c r="G38" s="21"/>
      <c r="H38" s="63"/>
    </row>
    <row r="39" spans="1:8">
      <c r="A39" s="52" t="s">
        <v>263</v>
      </c>
      <c r="B39" s="320"/>
      <c r="C39" s="460"/>
      <c r="D39" s="461"/>
      <c r="E39" s="460"/>
      <c r="F39" s="461"/>
      <c r="G39" s="262" t="str">
        <f>Nhood!E7</f>
        <v/>
      </c>
      <c r="H39" s="63"/>
    </row>
    <row r="40" spans="1:8">
      <c r="A40" s="52" t="s">
        <v>264</v>
      </c>
      <c r="B40" s="320"/>
      <c r="C40" s="460"/>
      <c r="D40" s="461"/>
      <c r="E40" s="460"/>
      <c r="F40" s="461"/>
      <c r="G40" s="309"/>
      <c r="H40" s="63"/>
    </row>
    <row r="41" spans="1:8">
      <c r="A41" s="52" t="s">
        <v>266</v>
      </c>
      <c r="B41" s="320"/>
      <c r="C41" s="462" t="str">
        <f>IF(C42*0.1&lt;C40,"Exceed 10% Rule","")</f>
        <v/>
      </c>
      <c r="D41" s="463"/>
      <c r="E41" s="462" t="str">
        <f>IF(E42*0.1&lt;E40,"Exceed 10% Rule","")</f>
        <v/>
      </c>
      <c r="F41" s="463"/>
      <c r="G41" s="345" t="str">
        <f>IF(G42*0.1&lt;G40,"Exceed 10% Rule","")</f>
        <v/>
      </c>
      <c r="H41" s="63"/>
    </row>
    <row r="42" spans="1:8">
      <c r="A42" s="210" t="s">
        <v>44</v>
      </c>
      <c r="B42" s="310"/>
      <c r="C42" s="464">
        <f>SUM(C30:C40)</f>
        <v>9839</v>
      </c>
      <c r="D42" s="465"/>
      <c r="E42" s="464">
        <f>SUM(E30:E40)</f>
        <v>10835</v>
      </c>
      <c r="F42" s="465"/>
      <c r="G42" s="294">
        <f>SUM(G30:G40)</f>
        <v>12140</v>
      </c>
      <c r="H42" s="63"/>
    </row>
    <row r="43" spans="1:8">
      <c r="A43" s="50" t="s">
        <v>135</v>
      </c>
      <c r="B43" s="310"/>
      <c r="C43" s="458">
        <f>C28-C42</f>
        <v>4805</v>
      </c>
      <c r="D43" s="459"/>
      <c r="E43" s="458">
        <f>E28-E42</f>
        <v>4389</v>
      </c>
      <c r="F43" s="459"/>
      <c r="G43" s="54" t="s">
        <v>27</v>
      </c>
      <c r="H43" s="63"/>
    </row>
    <row r="44" spans="1:8">
      <c r="A44" s="80" t="str">
        <f>CONCATENATE("",H3-2,"/",H3-1," Budget Authority Amount:")</f>
        <v>2008/2009 Budget Authority Amount:</v>
      </c>
      <c r="B44" s="328">
        <f>inputOth!B109</f>
        <v>12699</v>
      </c>
      <c r="C44" s="361">
        <f>inputPrYr!D23</f>
        <v>10835</v>
      </c>
      <c r="D44" s="455" t="s">
        <v>334</v>
      </c>
      <c r="E44" s="456"/>
      <c r="F44" s="457"/>
      <c r="G44" s="21"/>
      <c r="H44" s="303" t="str">
        <f>IF(G42/0.95-G42&lt;G44,"Exceeds 5%","")</f>
        <v/>
      </c>
    </row>
    <row r="45" spans="1:8">
      <c r="A45" s="80" t="str">
        <f>CONCATENATE("Violation of Budget Law for ",H3-2,"/",H3-1,":")</f>
        <v>Violation of Budget Law for 2008/2009:</v>
      </c>
      <c r="B45" s="329" t="str">
        <f>IF(C42&gt;B44,"Yes","No")</f>
        <v>No</v>
      </c>
      <c r="C45" s="329" t="str">
        <f>IF(E42&gt;C44,"Yes","No")</f>
        <v>No</v>
      </c>
      <c r="D45" s="32"/>
      <c r="E45" s="446" t="s">
        <v>335</v>
      </c>
      <c r="F45" s="447"/>
      <c r="G45" s="53">
        <f>G42+G44</f>
        <v>12140</v>
      </c>
      <c r="H45" s="63"/>
    </row>
    <row r="46" spans="1:8">
      <c r="A46" s="80" t="str">
        <f>CONCATENATE("Possible Cash Violation for ",H3-2,":")</f>
        <v>Possible Cash Violation for 2008:</v>
      </c>
      <c r="B46" s="329" t="str">
        <f>IF(C43&lt;0,"Yes","No")</f>
        <v>No</v>
      </c>
      <c r="C46" s="32"/>
      <c r="D46" s="32"/>
      <c r="E46" s="446" t="s">
        <v>45</v>
      </c>
      <c r="F46" s="447"/>
      <c r="G46" s="262">
        <f>IF(G45-G28&gt;0,G45-G28,0)</f>
        <v>7116</v>
      </c>
      <c r="H46" s="63"/>
    </row>
    <row r="47" spans="1:8">
      <c r="A47" s="81"/>
      <c r="B47" s="81"/>
      <c r="C47" s="81"/>
      <c r="D47" s="448" t="s">
        <v>336</v>
      </c>
      <c r="E47" s="449"/>
      <c r="F47" s="362">
        <f>inputOth!$E$103</f>
        <v>0</v>
      </c>
      <c r="G47" s="53">
        <f>ROUND(IF(F47&gt;0,(G46*F47),0),0)</f>
        <v>0</v>
      </c>
      <c r="H47" s="63"/>
    </row>
    <row r="48" spans="1:8">
      <c r="A48" s="32"/>
      <c r="B48" s="32"/>
      <c r="C48" s="450" t="str">
        <f>CONCATENATE("Amount of  ",$H$3-1," Ad Valorem Tax")</f>
        <v>Amount of  2009 Ad Valorem Tax</v>
      </c>
      <c r="D48" s="451"/>
      <c r="E48" s="451"/>
      <c r="F48" s="452"/>
      <c r="G48" s="267">
        <f>G46+G47</f>
        <v>7116</v>
      </c>
      <c r="H48" s="63"/>
    </row>
    <row r="49" spans="1:8">
      <c r="A49" s="32"/>
      <c r="B49" s="32"/>
      <c r="C49" s="32"/>
      <c r="D49" s="32"/>
      <c r="E49" s="32"/>
      <c r="F49" s="32"/>
      <c r="G49" s="32"/>
      <c r="H49" s="63"/>
    </row>
    <row r="50" spans="1:8">
      <c r="A50" s="32"/>
      <c r="B50" s="32"/>
      <c r="C50" s="32"/>
      <c r="D50" s="32"/>
      <c r="E50" s="32"/>
      <c r="F50" s="32"/>
      <c r="G50" s="32"/>
      <c r="H50" s="63"/>
    </row>
    <row r="51" spans="1:8">
      <c r="A51" s="32"/>
      <c r="B51" s="32"/>
      <c r="C51" s="32"/>
      <c r="D51" s="32"/>
      <c r="E51" s="32"/>
      <c r="F51" s="32"/>
      <c r="G51" s="32"/>
      <c r="H51" s="63"/>
    </row>
    <row r="52" spans="1:8">
      <c r="A52" s="32"/>
      <c r="B52" s="32"/>
      <c r="C52" s="32"/>
      <c r="D52" s="32"/>
      <c r="E52" s="32"/>
      <c r="F52" s="32"/>
      <c r="G52" s="32"/>
      <c r="H52" s="63"/>
    </row>
    <row r="53" spans="1:8">
      <c r="A53" s="32"/>
      <c r="B53" s="32"/>
      <c r="C53" s="83"/>
      <c r="D53" s="83"/>
      <c r="E53" s="83"/>
      <c r="F53" s="83"/>
      <c r="G53" s="83"/>
      <c r="H53" s="63"/>
    </row>
    <row r="54" spans="1:8">
      <c r="A54" s="80"/>
      <c r="B54" s="80"/>
      <c r="C54" s="99" t="s">
        <v>294</v>
      </c>
      <c r="D54" s="99"/>
      <c r="E54" s="32"/>
      <c r="F54" s="32"/>
      <c r="G54" s="32"/>
      <c r="H54" s="63"/>
    </row>
    <row r="56" spans="1:8">
      <c r="A56"/>
      <c r="B56"/>
    </row>
  </sheetData>
  <sheetProtection sheet="1" objects="1" scenarios="1"/>
  <mergeCells count="83">
    <mergeCell ref="C7:D7"/>
    <mergeCell ref="C8:D8"/>
    <mergeCell ref="E7:F7"/>
    <mergeCell ref="E8:F8"/>
    <mergeCell ref="C5:D5"/>
    <mergeCell ref="C6:D6"/>
    <mergeCell ref="E5:F5"/>
    <mergeCell ref="E6:F6"/>
    <mergeCell ref="E9:F9"/>
    <mergeCell ref="C25:D25"/>
    <mergeCell ref="E25:F25"/>
    <mergeCell ref="C26:D26"/>
    <mergeCell ref="E26:F26"/>
    <mergeCell ref="C9:D9"/>
    <mergeCell ref="C10:D10"/>
    <mergeCell ref="C11:D11"/>
    <mergeCell ref="C12:D12"/>
    <mergeCell ref="C13:D13"/>
    <mergeCell ref="C18:D18"/>
    <mergeCell ref="C19:D19"/>
    <mergeCell ref="C20:D20"/>
    <mergeCell ref="C21:D21"/>
    <mergeCell ref="C14:D14"/>
    <mergeCell ref="C15:D15"/>
    <mergeCell ref="C42:D42"/>
    <mergeCell ref="C27:D27"/>
    <mergeCell ref="E27:F27"/>
    <mergeCell ref="C28:D28"/>
    <mergeCell ref="C29:D29"/>
    <mergeCell ref="E28:F28"/>
    <mergeCell ref="E29:F29"/>
    <mergeCell ref="C32:D32"/>
    <mergeCell ref="E32:F32"/>
    <mergeCell ref="C33:D33"/>
    <mergeCell ref="E33:F33"/>
    <mergeCell ref="C30:D30"/>
    <mergeCell ref="E30:F30"/>
    <mergeCell ref="C31:D31"/>
    <mergeCell ref="E31:F31"/>
    <mergeCell ref="C36:D36"/>
    <mergeCell ref="C16:D16"/>
    <mergeCell ref="C17:D17"/>
    <mergeCell ref="C22:D22"/>
    <mergeCell ref="C23:D23"/>
    <mergeCell ref="C24:D24"/>
    <mergeCell ref="E10:F10"/>
    <mergeCell ref="E11:F11"/>
    <mergeCell ref="E12:F12"/>
    <mergeCell ref="E13:F13"/>
    <mergeCell ref="E14:F14"/>
    <mergeCell ref="E15:F15"/>
    <mergeCell ref="E16:F16"/>
    <mergeCell ref="E21:F21"/>
    <mergeCell ref="E22:F22"/>
    <mergeCell ref="E23:F23"/>
    <mergeCell ref="E24:F24"/>
    <mergeCell ref="E17:F17"/>
    <mergeCell ref="E18:F18"/>
    <mergeCell ref="E19:F19"/>
    <mergeCell ref="E20:F20"/>
    <mergeCell ref="E36:F36"/>
    <mergeCell ref="C37:D37"/>
    <mergeCell ref="E37:F37"/>
    <mergeCell ref="C34:D34"/>
    <mergeCell ref="E34:F34"/>
    <mergeCell ref="C35:D35"/>
    <mergeCell ref="E35:F35"/>
    <mergeCell ref="E46:F46"/>
    <mergeCell ref="D47:E47"/>
    <mergeCell ref="C48:F48"/>
    <mergeCell ref="C38:D38"/>
    <mergeCell ref="E38:F38"/>
    <mergeCell ref="D44:F44"/>
    <mergeCell ref="E45:F45"/>
    <mergeCell ref="C43:D43"/>
    <mergeCell ref="E39:F39"/>
    <mergeCell ref="E40:F40"/>
    <mergeCell ref="E41:F41"/>
    <mergeCell ref="E42:F42"/>
    <mergeCell ref="E43:F43"/>
    <mergeCell ref="C39:D39"/>
    <mergeCell ref="C40:D40"/>
    <mergeCell ref="C41:D41"/>
  </mergeCells>
  <phoneticPr fontId="0" type="noConversion"/>
  <conditionalFormatting sqref="C25:D25">
    <cfRule type="cellIs" dxfId="55" priority="1" stopIfTrue="1" operator="greaterThan">
      <formula>$C$27*0.1</formula>
    </cfRule>
  </conditionalFormatting>
  <conditionalFormatting sqref="E25:F25">
    <cfRule type="cellIs" dxfId="54" priority="2" stopIfTrue="1" operator="greaterThan">
      <formula>$E$27*0.1</formula>
    </cfRule>
  </conditionalFormatting>
  <conditionalFormatting sqref="C40:D40">
    <cfRule type="cellIs" dxfId="53" priority="3" stopIfTrue="1" operator="greaterThan">
      <formula>$C$42*0.1</formula>
    </cfRule>
  </conditionalFormatting>
  <conditionalFormatting sqref="E40:F40">
    <cfRule type="cellIs" dxfId="52" priority="4" stopIfTrue="1" operator="greaterThan">
      <formula>$E$42*0.1</formula>
    </cfRule>
  </conditionalFormatting>
  <conditionalFormatting sqref="G40">
    <cfRule type="cellIs" dxfId="51" priority="5" stopIfTrue="1" operator="greaterThan">
      <formula>$G$42*0.1</formula>
    </cfRule>
  </conditionalFormatting>
  <conditionalFormatting sqref="G44">
    <cfRule type="cellIs" dxfId="50" priority="6" stopIfTrue="1" operator="greaterThan">
      <formula>$G$42/0.95-$G$42</formula>
    </cfRule>
  </conditionalFormatting>
  <conditionalFormatting sqref="C43:D43">
    <cfRule type="cellIs" dxfId="49" priority="7" stopIfTrue="1" operator="lessThan">
      <formula>0</formula>
    </cfRule>
  </conditionalFormatting>
  <conditionalFormatting sqref="C42:D42">
    <cfRule type="cellIs" dxfId="48" priority="8" stopIfTrue="1" operator="greaterThan">
      <formula>$B$44</formula>
    </cfRule>
  </conditionalFormatting>
  <conditionalFormatting sqref="E42:F42">
    <cfRule type="cellIs" dxfId="47" priority="9" stopIfTrue="1" operator="greaterThan">
      <formula>$C$44</formula>
    </cfRule>
  </conditionalFormatting>
  <conditionalFormatting sqref="G25">
    <cfRule type="cellIs" dxfId="46" priority="10" stopIfTrue="1" operator="greaterThan">
      <formula>$G$27*0.1+$G$48</formula>
    </cfRule>
  </conditionalFormatting>
  <pageMargins left="1" right="1" top="0.5" bottom="0.5" header="0.5" footer="0.5"/>
  <pageSetup scale="68" orientation="portrait" blackAndWhite="1" horizontalDpi="120" verticalDpi="144" r:id="rId1"/>
  <headerFooter alignWithMargins="0">
    <oddHeader xml:space="preserve">&amp;RState of Kansas
Special District
</oddHeader>
    <oddFooter xml:space="preserve">&amp;Lrevised 10/24/08
</oddFooter>
  </headerFooter>
</worksheet>
</file>

<file path=xl/worksheets/sheet11.xml><?xml version="1.0" encoding="utf-8"?>
<worksheet xmlns="http://schemas.openxmlformats.org/spreadsheetml/2006/main" xmlns:r="http://schemas.openxmlformats.org/officeDocument/2006/relationships">
  <sheetPr>
    <pageSetUpPr fitToPage="1"/>
  </sheetPr>
  <dimension ref="A1:H62"/>
  <sheetViews>
    <sheetView topLeftCell="A46" workbookViewId="0">
      <selection activeCell="B5" sqref="B5"/>
    </sheetView>
  </sheetViews>
  <sheetFormatPr defaultRowHeight="15.75"/>
  <cols>
    <col min="1" max="1" width="28.77734375" style="13" customWidth="1"/>
    <col min="2" max="2" width="9.5546875" style="13" customWidth="1"/>
    <col min="3" max="3" width="10.44140625" style="13" customWidth="1"/>
    <col min="4" max="4" width="5.77734375" style="13" customWidth="1"/>
    <col min="5" max="5" width="9.6640625" style="13" customWidth="1"/>
    <col min="6" max="6" width="6.6640625" style="13" customWidth="1"/>
    <col min="7" max="7" width="15.77734375" style="13" customWidth="1"/>
    <col min="8" max="16384" width="8.88671875" style="13"/>
  </cols>
  <sheetData>
    <row r="1" spans="1:7">
      <c r="A1" s="79" t="str">
        <f>inputPrYr!D3</f>
        <v>Fairview</v>
      </c>
      <c r="B1" s="79"/>
      <c r="C1" s="32"/>
      <c r="D1" s="32"/>
      <c r="E1" s="32"/>
      <c r="F1" s="32"/>
      <c r="G1" s="201">
        <f>inputPrYr!$D$11</f>
        <v>2010</v>
      </c>
    </row>
    <row r="2" spans="1:7">
      <c r="A2" s="32"/>
      <c r="B2" s="32"/>
      <c r="C2" s="32"/>
      <c r="D2" s="32"/>
      <c r="E2" s="32"/>
      <c r="F2" s="32"/>
      <c r="G2" s="81"/>
    </row>
    <row r="3" spans="1:7">
      <c r="A3" s="74" t="s">
        <v>259</v>
      </c>
      <c r="B3" s="74"/>
      <c r="C3" s="83"/>
      <c r="D3" s="83"/>
      <c r="E3" s="83"/>
      <c r="F3" s="83"/>
      <c r="G3" s="202"/>
    </row>
    <row r="4" spans="1:7">
      <c r="A4" s="32"/>
      <c r="B4" s="32"/>
      <c r="C4" s="203"/>
      <c r="D4" s="203"/>
      <c r="E4" s="203"/>
      <c r="F4" s="203"/>
      <c r="G4" s="203"/>
    </row>
    <row r="5" spans="1:7">
      <c r="A5" s="82" t="s">
        <v>34</v>
      </c>
      <c r="B5" s="82"/>
      <c r="C5" s="472" t="s">
        <v>329</v>
      </c>
      <c r="D5" s="473"/>
      <c r="E5" s="476" t="s">
        <v>331</v>
      </c>
      <c r="F5" s="477"/>
      <c r="G5" s="78" t="s">
        <v>332</v>
      </c>
    </row>
    <row r="6" spans="1:7">
      <c r="A6" s="235" t="s">
        <v>363</v>
      </c>
      <c r="B6" s="235"/>
      <c r="C6" s="474" t="str">
        <f>CONCATENATE("Actual ",G1-2,"")</f>
        <v>Actual 2008</v>
      </c>
      <c r="D6" s="475"/>
      <c r="E6" s="474" t="str">
        <f>CONCATENATE("Estimate ",G1-1,"")</f>
        <v>Estimate 2009</v>
      </c>
      <c r="F6" s="475"/>
      <c r="G6" s="204" t="str">
        <f>CONCATENATE("Year ",G1,"")</f>
        <v>Year 2010</v>
      </c>
    </row>
    <row r="7" spans="1:7">
      <c r="A7" s="153" t="s">
        <v>134</v>
      </c>
      <c r="B7" s="320"/>
      <c r="C7" s="478"/>
      <c r="D7" s="479"/>
      <c r="E7" s="487">
        <f>C55</f>
        <v>0</v>
      </c>
      <c r="F7" s="488"/>
      <c r="G7" s="206">
        <f>E55</f>
        <v>0</v>
      </c>
    </row>
    <row r="8" spans="1:7">
      <c r="A8" s="317" t="s">
        <v>136</v>
      </c>
      <c r="B8" s="320"/>
      <c r="C8" s="485"/>
      <c r="D8" s="486"/>
      <c r="E8" s="487"/>
      <c r="F8" s="488"/>
      <c r="G8" s="206"/>
    </row>
    <row r="9" spans="1:7">
      <c r="A9" s="153" t="s">
        <v>35</v>
      </c>
      <c r="B9" s="320"/>
      <c r="C9" s="478"/>
      <c r="D9" s="479"/>
      <c r="E9" s="485">
        <f>inputPrYr!E24</f>
        <v>0</v>
      </c>
      <c r="F9" s="486"/>
      <c r="G9" s="208" t="s">
        <v>27</v>
      </c>
    </row>
    <row r="10" spans="1:7">
      <c r="A10" s="153" t="s">
        <v>36</v>
      </c>
      <c r="B10" s="320"/>
      <c r="C10" s="478"/>
      <c r="D10" s="479"/>
      <c r="E10" s="478"/>
      <c r="F10" s="479"/>
      <c r="G10" s="205"/>
    </row>
    <row r="11" spans="1:7">
      <c r="A11" s="153" t="s">
        <v>37</v>
      </c>
      <c r="B11" s="320"/>
      <c r="C11" s="478"/>
      <c r="D11" s="479"/>
      <c r="E11" s="478"/>
      <c r="F11" s="479"/>
      <c r="G11" s="207">
        <f>mvalloc!D12</f>
        <v>0</v>
      </c>
    </row>
    <row r="12" spans="1:7">
      <c r="A12" s="153" t="s">
        <v>38</v>
      </c>
      <c r="B12" s="320"/>
      <c r="C12" s="478"/>
      <c r="D12" s="479"/>
      <c r="E12" s="478"/>
      <c r="F12" s="479"/>
      <c r="G12" s="207">
        <f>mvalloc!E12</f>
        <v>0</v>
      </c>
    </row>
    <row r="13" spans="1:7">
      <c r="A13" s="314" t="s">
        <v>118</v>
      </c>
      <c r="B13" s="320"/>
      <c r="C13" s="478"/>
      <c r="D13" s="479"/>
      <c r="E13" s="478"/>
      <c r="F13" s="479"/>
      <c r="G13" s="207">
        <f>mvalloc!F12</f>
        <v>0</v>
      </c>
    </row>
    <row r="14" spans="1:7">
      <c r="A14" s="314" t="s">
        <v>199</v>
      </c>
      <c r="B14" s="320"/>
      <c r="C14" s="478"/>
      <c r="D14" s="479"/>
      <c r="E14" s="478"/>
      <c r="F14" s="479"/>
      <c r="G14" s="207">
        <f>mvalloc!G12</f>
        <v>0</v>
      </c>
    </row>
    <row r="15" spans="1:7">
      <c r="A15" s="314"/>
      <c r="B15" s="320"/>
      <c r="C15" s="478"/>
      <c r="D15" s="479"/>
      <c r="E15" s="478"/>
      <c r="F15" s="479"/>
      <c r="G15" s="207"/>
    </row>
    <row r="16" spans="1:7">
      <c r="A16" s="314"/>
      <c r="B16" s="320"/>
      <c r="C16" s="478"/>
      <c r="D16" s="479"/>
      <c r="E16" s="478"/>
      <c r="F16" s="479"/>
      <c r="G16" s="207"/>
    </row>
    <row r="17" spans="1:7">
      <c r="A17" s="315"/>
      <c r="B17" s="321"/>
      <c r="C17" s="478"/>
      <c r="D17" s="479"/>
      <c r="E17" s="478"/>
      <c r="F17" s="479"/>
      <c r="G17" s="205"/>
    </row>
    <row r="18" spans="1:7">
      <c r="A18" s="315"/>
      <c r="B18" s="321"/>
      <c r="C18" s="478"/>
      <c r="D18" s="479"/>
      <c r="E18" s="478"/>
      <c r="F18" s="479"/>
      <c r="G18" s="209"/>
    </row>
    <row r="19" spans="1:7">
      <c r="A19" s="315"/>
      <c r="B19" s="321"/>
      <c r="C19" s="478"/>
      <c r="D19" s="479"/>
      <c r="E19" s="478"/>
      <c r="F19" s="479"/>
      <c r="G19" s="205"/>
    </row>
    <row r="20" spans="1:7">
      <c r="A20" s="315"/>
      <c r="B20" s="321"/>
      <c r="C20" s="478"/>
      <c r="D20" s="479"/>
      <c r="E20" s="478"/>
      <c r="F20" s="479"/>
      <c r="G20" s="205"/>
    </row>
    <row r="21" spans="1:7">
      <c r="A21" s="315"/>
      <c r="B21" s="321"/>
      <c r="C21" s="478"/>
      <c r="D21" s="479"/>
      <c r="E21" s="478"/>
      <c r="F21" s="479"/>
      <c r="G21" s="205"/>
    </row>
    <row r="22" spans="1:7">
      <c r="A22" s="315"/>
      <c r="B22" s="321"/>
      <c r="C22" s="478"/>
      <c r="D22" s="479"/>
      <c r="E22" s="478"/>
      <c r="F22" s="479"/>
      <c r="G22" s="205"/>
    </row>
    <row r="23" spans="1:7">
      <c r="A23" s="315"/>
      <c r="B23" s="321"/>
      <c r="C23" s="478"/>
      <c r="D23" s="479"/>
      <c r="E23" s="478"/>
      <c r="F23" s="479"/>
      <c r="G23" s="205"/>
    </row>
    <row r="24" spans="1:7">
      <c r="A24" s="315"/>
      <c r="B24" s="321"/>
      <c r="C24" s="478"/>
      <c r="D24" s="479"/>
      <c r="E24" s="478"/>
      <c r="F24" s="479"/>
      <c r="G24" s="205"/>
    </row>
    <row r="25" spans="1:7">
      <c r="A25" s="315"/>
      <c r="B25" s="321"/>
      <c r="C25" s="478"/>
      <c r="D25" s="479"/>
      <c r="E25" s="478"/>
      <c r="F25" s="479"/>
      <c r="G25" s="205"/>
    </row>
    <row r="26" spans="1:7">
      <c r="A26" s="315" t="s">
        <v>186</v>
      </c>
      <c r="B26" s="321"/>
      <c r="C26" s="478"/>
      <c r="D26" s="479"/>
      <c r="E26" s="478"/>
      <c r="F26" s="479"/>
      <c r="G26" s="205"/>
    </row>
    <row r="27" spans="1:7">
      <c r="A27" s="316" t="s">
        <v>40</v>
      </c>
      <c r="B27" s="321"/>
      <c r="C27" s="478"/>
      <c r="D27" s="479"/>
      <c r="E27" s="478"/>
      <c r="F27" s="479"/>
      <c r="G27" s="205"/>
    </row>
    <row r="28" spans="1:7">
      <c r="A28" s="346" t="s">
        <v>264</v>
      </c>
      <c r="B28" s="320"/>
      <c r="C28" s="478"/>
      <c r="D28" s="479"/>
      <c r="E28" s="478"/>
      <c r="F28" s="479"/>
      <c r="G28" s="319"/>
    </row>
    <row r="29" spans="1:7">
      <c r="A29" s="346" t="s">
        <v>265</v>
      </c>
      <c r="B29" s="320"/>
      <c r="C29" s="462" t="str">
        <f>IF(C30*0.1&lt;C28,"Exceed 10% Rule","")</f>
        <v/>
      </c>
      <c r="D29" s="463"/>
      <c r="E29" s="462" t="str">
        <f>IF(E30*0.1&lt;E28,"Exceed 10% Rule","")</f>
        <v/>
      </c>
      <c r="F29" s="463"/>
      <c r="G29" s="345" t="str">
        <f>IF(G30*0.1&lt;G28,"Exceed 10% Rule","")</f>
        <v/>
      </c>
    </row>
    <row r="30" spans="1:7">
      <c r="A30" s="210" t="s">
        <v>41</v>
      </c>
      <c r="B30" s="320"/>
      <c r="C30" s="480">
        <f>SUM(C9:C28)</f>
        <v>0</v>
      </c>
      <c r="D30" s="481"/>
      <c r="E30" s="480">
        <f>SUM(E9:E28)</f>
        <v>0</v>
      </c>
      <c r="F30" s="484"/>
      <c r="G30" s="270">
        <f>SUM(G9:G28)</f>
        <v>0</v>
      </c>
    </row>
    <row r="31" spans="1:7">
      <c r="A31" s="210" t="s">
        <v>42</v>
      </c>
      <c r="B31" s="320"/>
      <c r="C31" s="480">
        <f>C7+C30</f>
        <v>0</v>
      </c>
      <c r="D31" s="484"/>
      <c r="E31" s="480">
        <f>E7+E30</f>
        <v>0</v>
      </c>
      <c r="F31" s="484"/>
      <c r="G31" s="269">
        <f>G7+G30</f>
        <v>0</v>
      </c>
    </row>
    <row r="32" spans="1:7">
      <c r="A32" s="317" t="s">
        <v>43</v>
      </c>
      <c r="B32" s="320"/>
      <c r="C32" s="485"/>
      <c r="D32" s="486"/>
      <c r="E32" s="485"/>
      <c r="F32" s="486"/>
      <c r="G32" s="207"/>
    </row>
    <row r="33" spans="1:7">
      <c r="A33" s="318"/>
      <c r="B33" s="321"/>
      <c r="C33" s="478"/>
      <c r="D33" s="479"/>
      <c r="E33" s="478"/>
      <c r="F33" s="479"/>
      <c r="G33" s="205"/>
    </row>
    <row r="34" spans="1:7">
      <c r="A34" s="318"/>
      <c r="B34" s="321"/>
      <c r="C34" s="478"/>
      <c r="D34" s="479"/>
      <c r="E34" s="478"/>
      <c r="F34" s="479"/>
      <c r="G34" s="205"/>
    </row>
    <row r="35" spans="1:7">
      <c r="A35" s="318"/>
      <c r="B35" s="321"/>
      <c r="C35" s="478"/>
      <c r="D35" s="479"/>
      <c r="E35" s="478"/>
      <c r="F35" s="479"/>
      <c r="G35" s="205"/>
    </row>
    <row r="36" spans="1:7">
      <c r="A36" s="318"/>
      <c r="B36" s="321"/>
      <c r="C36" s="478"/>
      <c r="D36" s="479"/>
      <c r="E36" s="478"/>
      <c r="F36" s="479"/>
      <c r="G36" s="205"/>
    </row>
    <row r="37" spans="1:7">
      <c r="A37" s="318"/>
      <c r="B37" s="321"/>
      <c r="C37" s="478"/>
      <c r="D37" s="479"/>
      <c r="E37" s="478"/>
      <c r="F37" s="479"/>
      <c r="G37" s="205"/>
    </row>
    <row r="38" spans="1:7">
      <c r="A38" s="318"/>
      <c r="B38" s="321"/>
      <c r="C38" s="478"/>
      <c r="D38" s="479"/>
      <c r="E38" s="478"/>
      <c r="F38" s="479"/>
      <c r="G38" s="205"/>
    </row>
    <row r="39" spans="1:7">
      <c r="A39" s="318"/>
      <c r="B39" s="321"/>
      <c r="C39" s="478"/>
      <c r="D39" s="479"/>
      <c r="E39" s="478"/>
      <c r="F39" s="479"/>
      <c r="G39" s="205"/>
    </row>
    <row r="40" spans="1:7">
      <c r="A40" s="318"/>
      <c r="B40" s="321"/>
      <c r="C40" s="478"/>
      <c r="D40" s="479"/>
      <c r="E40" s="478"/>
      <c r="F40" s="479"/>
      <c r="G40" s="205"/>
    </row>
    <row r="41" spans="1:7">
      <c r="A41" s="318"/>
      <c r="B41" s="321"/>
      <c r="C41" s="478"/>
      <c r="D41" s="479"/>
      <c r="E41" s="478"/>
      <c r="F41" s="479"/>
      <c r="G41" s="205"/>
    </row>
    <row r="42" spans="1:7">
      <c r="A42" s="318"/>
      <c r="B42" s="321"/>
      <c r="C42" s="478"/>
      <c r="D42" s="479"/>
      <c r="E42" s="478"/>
      <c r="F42" s="479"/>
      <c r="G42" s="205"/>
    </row>
    <row r="43" spans="1:7">
      <c r="A43" s="318"/>
      <c r="B43" s="321"/>
      <c r="C43" s="478"/>
      <c r="D43" s="479"/>
      <c r="E43" s="478"/>
      <c r="F43" s="479"/>
      <c r="G43" s="205"/>
    </row>
    <row r="44" spans="1:7">
      <c r="A44" s="318"/>
      <c r="B44" s="321"/>
      <c r="C44" s="478"/>
      <c r="D44" s="479"/>
      <c r="E44" s="478"/>
      <c r="F44" s="479"/>
      <c r="G44" s="205"/>
    </row>
    <row r="45" spans="1:7">
      <c r="A45" s="318"/>
      <c r="B45" s="321"/>
      <c r="C45" s="478"/>
      <c r="D45" s="479"/>
      <c r="E45" s="478"/>
      <c r="F45" s="479"/>
      <c r="G45" s="205"/>
    </row>
    <row r="46" spans="1:7">
      <c r="A46" s="318"/>
      <c r="B46" s="321"/>
      <c r="C46" s="478"/>
      <c r="D46" s="479"/>
      <c r="E46" s="478"/>
      <c r="F46" s="479"/>
      <c r="G46" s="205"/>
    </row>
    <row r="47" spans="1:7">
      <c r="A47" s="318"/>
      <c r="B47" s="321"/>
      <c r="C47" s="478"/>
      <c r="D47" s="479"/>
      <c r="E47" s="478"/>
      <c r="F47" s="479"/>
      <c r="G47" s="205"/>
    </row>
    <row r="48" spans="1:7">
      <c r="A48" s="318"/>
      <c r="B48" s="321"/>
      <c r="C48" s="478"/>
      <c r="D48" s="479"/>
      <c r="E48" s="478"/>
      <c r="F48" s="479"/>
      <c r="G48" s="205"/>
    </row>
    <row r="49" spans="1:8">
      <c r="A49" s="318"/>
      <c r="B49" s="321"/>
      <c r="C49" s="478"/>
      <c r="D49" s="479"/>
      <c r="E49" s="478"/>
      <c r="F49" s="479"/>
      <c r="G49" s="205"/>
    </row>
    <row r="50" spans="1:8">
      <c r="A50" s="318"/>
      <c r="B50" s="321"/>
      <c r="C50" s="478"/>
      <c r="D50" s="479"/>
      <c r="E50" s="478"/>
      <c r="F50" s="479"/>
      <c r="G50" s="205"/>
    </row>
    <row r="51" spans="1:8">
      <c r="A51" s="52" t="s">
        <v>263</v>
      </c>
      <c r="B51" s="320"/>
      <c r="C51" s="478"/>
      <c r="D51" s="479"/>
      <c r="E51" s="478"/>
      <c r="F51" s="479"/>
      <c r="G51" s="268" t="str">
        <f>Nhood!E8</f>
        <v/>
      </c>
    </row>
    <row r="52" spans="1:8">
      <c r="A52" s="52" t="s">
        <v>264</v>
      </c>
      <c r="B52" s="320"/>
      <c r="C52" s="478"/>
      <c r="D52" s="479"/>
      <c r="E52" s="478"/>
      <c r="F52" s="479"/>
      <c r="G52" s="319"/>
    </row>
    <row r="53" spans="1:8">
      <c r="A53" s="52" t="s">
        <v>266</v>
      </c>
      <c r="B53" s="320"/>
      <c r="C53" s="462" t="str">
        <f>IF(C54*0.1&lt;C52,"Exceed 10% Rule","")</f>
        <v/>
      </c>
      <c r="D53" s="463"/>
      <c r="E53" s="462" t="str">
        <f>IF(E54*0.1&lt;E52,"Exceed 10% Rule","")</f>
        <v/>
      </c>
      <c r="F53" s="463"/>
      <c r="G53" s="345" t="str">
        <f>IF(G54*0.1&lt;G52,"Exceed 10% Rule","")</f>
        <v/>
      </c>
    </row>
    <row r="54" spans="1:8">
      <c r="A54" s="210" t="s">
        <v>44</v>
      </c>
      <c r="B54" s="320"/>
      <c r="C54" s="480">
        <f>SUM(C33:C52)</f>
        <v>0</v>
      </c>
      <c r="D54" s="481"/>
      <c r="E54" s="480">
        <f>SUM(E33:E52)</f>
        <v>0</v>
      </c>
      <c r="F54" s="484"/>
      <c r="G54" s="270">
        <f>SUM(G33:G52)</f>
        <v>0</v>
      </c>
    </row>
    <row r="55" spans="1:8">
      <c r="A55" s="153" t="s">
        <v>135</v>
      </c>
      <c r="B55" s="320"/>
      <c r="C55" s="482">
        <f>C31-C54</f>
        <v>0</v>
      </c>
      <c r="D55" s="483"/>
      <c r="E55" s="482">
        <f>E31-E54</f>
        <v>0</v>
      </c>
      <c r="F55" s="483"/>
      <c r="G55" s="208" t="s">
        <v>27</v>
      </c>
    </row>
    <row r="56" spans="1:8">
      <c r="A56" s="80" t="str">
        <f>CONCATENATE("",G1-2,"/",G1-1," Budget Authority Amount:")</f>
        <v>2008/2009 Budget Authority Amount:</v>
      </c>
      <c r="B56" s="328">
        <f>inputOth!B110</f>
        <v>0</v>
      </c>
      <c r="C56" s="361">
        <f>inputPrYr!D24</f>
        <v>0</v>
      </c>
      <c r="D56" s="455" t="s">
        <v>334</v>
      </c>
      <c r="E56" s="456"/>
      <c r="F56" s="457"/>
      <c r="G56" s="15"/>
      <c r="H56" s="289" t="str">
        <f>IF(G54/0.95-G54&lt;G56,"Exceeds 5%","")</f>
        <v/>
      </c>
    </row>
    <row r="57" spans="1:8">
      <c r="A57" s="80" t="str">
        <f>CONCATENATE("Violation of Budget Law for ",G1-2,"/",G1-1,":")</f>
        <v>Violation of Budget Law for 2008/2009:</v>
      </c>
      <c r="B57" s="329" t="str">
        <f>IF(C54&gt;B56,"Yes","No")</f>
        <v>No</v>
      </c>
      <c r="C57" s="329" t="str">
        <f>IF(E54&gt;C56,"Yes","No")</f>
        <v>No</v>
      </c>
      <c r="D57" s="32"/>
      <c r="E57" s="446" t="s">
        <v>335</v>
      </c>
      <c r="F57" s="447"/>
      <c r="G57" s="51">
        <f>G54+G56</f>
        <v>0</v>
      </c>
    </row>
    <row r="58" spans="1:8">
      <c r="A58" s="80" t="str">
        <f>CONCATENATE("Possible Cash Violation for ",G1-2,":")</f>
        <v>Possible Cash Violation for 2008:</v>
      </c>
      <c r="B58" s="329" t="str">
        <f>IF(C55&lt;0,"Yes","No")</f>
        <v>No</v>
      </c>
      <c r="C58" s="32"/>
      <c r="D58" s="32"/>
      <c r="E58" s="446" t="s">
        <v>45</v>
      </c>
      <c r="F58" s="447"/>
      <c r="G58" s="267">
        <f>IF(G57-G31&gt;0,G57-G31,0)</f>
        <v>0</v>
      </c>
    </row>
    <row r="59" spans="1:8">
      <c r="A59" s="81"/>
      <c r="B59" s="81"/>
      <c r="C59" s="81"/>
      <c r="D59" s="448" t="s">
        <v>336</v>
      </c>
      <c r="E59" s="449"/>
      <c r="F59" s="362">
        <f>inputOth!$E$103</f>
        <v>0</v>
      </c>
      <c r="G59" s="51">
        <f>ROUND(IF(F59&gt;0,(G58*F59),0),0)</f>
        <v>0</v>
      </c>
    </row>
    <row r="60" spans="1:8">
      <c r="A60" s="32"/>
      <c r="B60" s="32"/>
      <c r="C60" s="450" t="str">
        <f>CONCATENATE("Amount of  ",$G$1-1," Ad Valorem Tax")</f>
        <v>Amount of  2009 Ad Valorem Tax</v>
      </c>
      <c r="D60" s="451"/>
      <c r="E60" s="451"/>
      <c r="F60" s="452"/>
      <c r="G60" s="267">
        <f>G58+G59</f>
        <v>0</v>
      </c>
    </row>
    <row r="61" spans="1:8">
      <c r="A61" s="81"/>
      <c r="B61" s="81"/>
      <c r="C61" s="32"/>
      <c r="D61" s="32"/>
      <c r="E61" s="32"/>
      <c r="F61" s="32"/>
      <c r="G61" s="32"/>
    </row>
    <row r="62" spans="1:8">
      <c r="A62" s="80"/>
      <c r="B62" s="80" t="s">
        <v>47</v>
      </c>
      <c r="C62" s="211"/>
      <c r="D62" s="85"/>
      <c r="E62" s="32"/>
      <c r="F62" s="32"/>
      <c r="G62" s="32"/>
    </row>
  </sheetData>
  <sheetProtection sheet="1" objects="1" scenarios="1"/>
  <mergeCells count="107">
    <mergeCell ref="C17:D17"/>
    <mergeCell ref="C18:D18"/>
    <mergeCell ref="C19:D19"/>
    <mergeCell ref="C20:D20"/>
    <mergeCell ref="E16:F16"/>
    <mergeCell ref="C21:D21"/>
    <mergeCell ref="E17:F17"/>
    <mergeCell ref="C5:D5"/>
    <mergeCell ref="C6:D6"/>
    <mergeCell ref="E5:F5"/>
    <mergeCell ref="E6:F6"/>
    <mergeCell ref="E9:F9"/>
    <mergeCell ref="C16:D16"/>
    <mergeCell ref="C9:D9"/>
    <mergeCell ref="C10:D10"/>
    <mergeCell ref="C11:D11"/>
    <mergeCell ref="C12:D12"/>
    <mergeCell ref="C7:D7"/>
    <mergeCell ref="C8:D8"/>
    <mergeCell ref="E7:F7"/>
    <mergeCell ref="E8:F8"/>
    <mergeCell ref="E19:F19"/>
    <mergeCell ref="E20:F20"/>
    <mergeCell ref="E21:F21"/>
    <mergeCell ref="C30:D30"/>
    <mergeCell ref="E54:F54"/>
    <mergeCell ref="C34:D34"/>
    <mergeCell ref="C35:D35"/>
    <mergeCell ref="C36:D36"/>
    <mergeCell ref="C37:D37"/>
    <mergeCell ref="C38:D38"/>
    <mergeCell ref="C39:D39"/>
    <mergeCell ref="C51:D51"/>
    <mergeCell ref="C52:D52"/>
    <mergeCell ref="E51:F51"/>
    <mergeCell ref="E52:F52"/>
    <mergeCell ref="E53:F53"/>
    <mergeCell ref="C40:D40"/>
    <mergeCell ref="C41:D41"/>
    <mergeCell ref="C49:D49"/>
    <mergeCell ref="C42:D42"/>
    <mergeCell ref="C43:D43"/>
    <mergeCell ref="C44:D44"/>
    <mergeCell ref="C45:D45"/>
    <mergeCell ref="C46:D46"/>
    <mergeCell ref="C47:D47"/>
    <mergeCell ref="C48:D48"/>
    <mergeCell ref="E43:F43"/>
    <mergeCell ref="E22:F22"/>
    <mergeCell ref="E23:F23"/>
    <mergeCell ref="E24:F24"/>
    <mergeCell ref="E25:F25"/>
    <mergeCell ref="E28:F28"/>
    <mergeCell ref="C29:D29"/>
    <mergeCell ref="C24:D24"/>
    <mergeCell ref="C23:D23"/>
    <mergeCell ref="C22:D22"/>
    <mergeCell ref="E10:F10"/>
    <mergeCell ref="E11:F11"/>
    <mergeCell ref="E12:F12"/>
    <mergeCell ref="E13:F13"/>
    <mergeCell ref="E14:F14"/>
    <mergeCell ref="E15:F15"/>
    <mergeCell ref="E26:F26"/>
    <mergeCell ref="E27:F27"/>
    <mergeCell ref="C33:D33"/>
    <mergeCell ref="C25:D25"/>
    <mergeCell ref="C26:D26"/>
    <mergeCell ref="C27:D27"/>
    <mergeCell ref="C31:D31"/>
    <mergeCell ref="C32:D32"/>
    <mergeCell ref="E29:F29"/>
    <mergeCell ref="E33:F33"/>
    <mergeCell ref="E32:F32"/>
    <mergeCell ref="C28:D28"/>
    <mergeCell ref="C13:D13"/>
    <mergeCell ref="C14:D14"/>
    <mergeCell ref="C15:D15"/>
    <mergeCell ref="E30:F30"/>
    <mergeCell ref="E31:F31"/>
    <mergeCell ref="E18:F18"/>
    <mergeCell ref="E44:F44"/>
    <mergeCell ref="E45:F45"/>
    <mergeCell ref="E46:F46"/>
    <mergeCell ref="E47:F47"/>
    <mergeCell ref="E48:F48"/>
    <mergeCell ref="E34:F34"/>
    <mergeCell ref="E35:F35"/>
    <mergeCell ref="E36:F36"/>
    <mergeCell ref="E42:F42"/>
    <mergeCell ref="E37:F37"/>
    <mergeCell ref="E38:F38"/>
    <mergeCell ref="E39:F39"/>
    <mergeCell ref="E40:F40"/>
    <mergeCell ref="E41:F41"/>
    <mergeCell ref="E49:F49"/>
    <mergeCell ref="C60:F60"/>
    <mergeCell ref="E50:F50"/>
    <mergeCell ref="D56:F56"/>
    <mergeCell ref="E57:F57"/>
    <mergeCell ref="E58:F58"/>
    <mergeCell ref="C50:D50"/>
    <mergeCell ref="C53:D53"/>
    <mergeCell ref="C54:D54"/>
    <mergeCell ref="C55:D55"/>
    <mergeCell ref="D59:E59"/>
    <mergeCell ref="E55:F55"/>
  </mergeCells>
  <phoneticPr fontId="15" type="noConversion"/>
  <conditionalFormatting sqref="C28:D28">
    <cfRule type="cellIs" dxfId="45" priority="1" stopIfTrue="1" operator="greaterThan">
      <formula>$C$30*0.1</formula>
    </cfRule>
  </conditionalFormatting>
  <conditionalFormatting sqref="E28:F28">
    <cfRule type="cellIs" dxfId="44" priority="2" stopIfTrue="1" operator="greaterThan">
      <formula>$E$30*0.1</formula>
    </cfRule>
  </conditionalFormatting>
  <conditionalFormatting sqref="G28">
    <cfRule type="cellIs" dxfId="43" priority="3" stopIfTrue="1" operator="greaterThan">
      <formula>$G$30*0.1</formula>
    </cfRule>
  </conditionalFormatting>
  <conditionalFormatting sqref="C52:D52">
    <cfRule type="cellIs" dxfId="42" priority="4" stopIfTrue="1" operator="greaterThan">
      <formula>$C$54*0.1</formula>
    </cfRule>
  </conditionalFormatting>
  <conditionalFormatting sqref="E52:F52">
    <cfRule type="cellIs" dxfId="41" priority="5" stopIfTrue="1" operator="greaterThan">
      <formula>$E$54*0.1</formula>
    </cfRule>
  </conditionalFormatting>
  <conditionalFormatting sqref="G52">
    <cfRule type="cellIs" dxfId="40" priority="6" stopIfTrue="1" operator="greaterThan">
      <formula>$G$54*0.1</formula>
    </cfRule>
  </conditionalFormatting>
  <conditionalFormatting sqref="G56">
    <cfRule type="cellIs" dxfId="39" priority="7" stopIfTrue="1" operator="greaterThan">
      <formula>$G$54/0.95-$G$54</formula>
    </cfRule>
  </conditionalFormatting>
  <conditionalFormatting sqref="C55:D55">
    <cfRule type="cellIs" dxfId="38" priority="8" stopIfTrue="1" operator="lessThan">
      <formula>0</formula>
    </cfRule>
  </conditionalFormatting>
  <conditionalFormatting sqref="C54:D54">
    <cfRule type="cellIs" dxfId="37" priority="9" stopIfTrue="1" operator="greaterThan">
      <formula>$B$56</formula>
    </cfRule>
  </conditionalFormatting>
  <conditionalFormatting sqref="E54:F54">
    <cfRule type="cellIs" dxfId="36" priority="10" stopIfTrue="1" operator="greaterThan">
      <formula>$C$56</formula>
    </cfRule>
  </conditionalFormatting>
  <pageMargins left="0.75" right="0.75" top="1" bottom="1" header="0.5" footer="0.5"/>
  <pageSetup scale="63" orientation="portrait" blackAndWhite="1" r:id="rId1"/>
  <headerFooter alignWithMargins="0">
    <oddHeader>&amp;RState of Kansas
Special District</oddHeader>
    <oddFooter>&amp;Lrevised 3/19/09</oddFooter>
  </headerFooter>
</worksheet>
</file>

<file path=xl/worksheets/sheet12.xml><?xml version="1.0" encoding="utf-8"?>
<worksheet xmlns="http://schemas.openxmlformats.org/spreadsheetml/2006/main" xmlns:r="http://schemas.openxmlformats.org/officeDocument/2006/relationships">
  <sheetPr>
    <pageSetUpPr fitToPage="1"/>
  </sheetPr>
  <dimension ref="A1:H74"/>
  <sheetViews>
    <sheetView workbookViewId="0">
      <selection activeCell="C18" sqref="C18:G18"/>
    </sheetView>
  </sheetViews>
  <sheetFormatPr defaultRowHeight="15.75"/>
  <cols>
    <col min="1" max="1" width="28.109375" style="1" customWidth="1"/>
    <col min="2" max="2" width="9.5546875" style="1" customWidth="1"/>
    <col min="3" max="3" width="10.44140625" style="1" customWidth="1"/>
    <col min="4" max="4" width="5.77734375" style="1" customWidth="1"/>
    <col min="5" max="5" width="9.6640625" style="1" customWidth="1"/>
    <col min="6" max="6" width="6.6640625" style="1" customWidth="1"/>
    <col min="7" max="7" width="15.77734375" style="1" customWidth="1"/>
    <col min="8" max="16384" width="8.88671875" style="1"/>
  </cols>
  <sheetData>
    <row r="1" spans="1:8">
      <c r="A1" s="32" t="str">
        <f>inputPrYr!D3</f>
        <v>Fairview</v>
      </c>
      <c r="B1" s="32"/>
      <c r="C1" s="32"/>
      <c r="D1" s="32"/>
      <c r="E1" s="32"/>
      <c r="F1" s="32"/>
      <c r="G1" s="145"/>
    </row>
    <row r="2" spans="1:8">
      <c r="A2" s="32" t="str">
        <f>inputPrYr!D4</f>
        <v>Thomas</v>
      </c>
      <c r="B2" s="32"/>
      <c r="C2" s="32"/>
      <c r="D2" s="32"/>
      <c r="E2" s="32"/>
      <c r="F2" s="32"/>
      <c r="G2" s="80"/>
    </row>
    <row r="3" spans="1:8">
      <c r="A3" s="74" t="s">
        <v>90</v>
      </c>
      <c r="B3" s="74"/>
      <c r="C3" s="83"/>
      <c r="D3" s="83"/>
      <c r="E3" s="83"/>
      <c r="F3" s="83"/>
      <c r="G3" s="84"/>
      <c r="H3" s="1">
        <f>inputPrYr!D11</f>
        <v>2010</v>
      </c>
    </row>
    <row r="4" spans="1:8">
      <c r="A4" s="32"/>
      <c r="B4" s="32"/>
      <c r="C4" s="37"/>
      <c r="D4" s="37"/>
      <c r="E4" s="37"/>
      <c r="F4" s="37"/>
      <c r="G4" s="37"/>
    </row>
    <row r="5" spans="1:8">
      <c r="A5" s="35" t="s">
        <v>34</v>
      </c>
      <c r="B5" s="35"/>
      <c r="C5" s="472" t="s">
        <v>329</v>
      </c>
      <c r="D5" s="473"/>
      <c r="E5" s="476" t="s">
        <v>331</v>
      </c>
      <c r="F5" s="477"/>
      <c r="G5" s="78" t="s">
        <v>332</v>
      </c>
    </row>
    <row r="6" spans="1:8">
      <c r="A6" s="59">
        <f>inputPrYr!B26</f>
        <v>0</v>
      </c>
      <c r="B6" s="59"/>
      <c r="C6" s="474" t="str">
        <f>CONCATENATE("Actual ",H3-2,"")</f>
        <v>Actual 2008</v>
      </c>
      <c r="D6" s="475"/>
      <c r="E6" s="474" t="str">
        <f>CONCATENATE("Estimate ",H3-1,"")</f>
        <v>Estimate 2009</v>
      </c>
      <c r="F6" s="475"/>
      <c r="G6" s="204" t="str">
        <f>CONCATENATE("Year ",H3,"")</f>
        <v>Year 2010</v>
      </c>
    </row>
    <row r="7" spans="1:8">
      <c r="A7" s="50" t="s">
        <v>134</v>
      </c>
      <c r="B7" s="310"/>
      <c r="C7" s="453"/>
      <c r="D7" s="454"/>
      <c r="E7" s="470">
        <f>C32</f>
        <v>0</v>
      </c>
      <c r="F7" s="471"/>
      <c r="G7" s="51">
        <f>E32</f>
        <v>0</v>
      </c>
    </row>
    <row r="8" spans="1:8">
      <c r="A8" s="160" t="s">
        <v>136</v>
      </c>
      <c r="B8" s="310"/>
      <c r="C8" s="468"/>
      <c r="D8" s="469"/>
      <c r="E8" s="468"/>
      <c r="F8" s="469"/>
      <c r="G8" s="53"/>
    </row>
    <row r="9" spans="1:8">
      <c r="A9" s="50" t="s">
        <v>35</v>
      </c>
      <c r="B9" s="310"/>
      <c r="C9" s="453"/>
      <c r="D9" s="454"/>
      <c r="E9" s="468">
        <f>inputPrYr!E26</f>
        <v>0</v>
      </c>
      <c r="F9" s="469"/>
      <c r="G9" s="54" t="s">
        <v>27</v>
      </c>
    </row>
    <row r="10" spans="1:8">
      <c r="A10" s="50" t="s">
        <v>36</v>
      </c>
      <c r="B10" s="310"/>
      <c r="C10" s="453"/>
      <c r="D10" s="454"/>
      <c r="E10" s="453"/>
      <c r="F10" s="454"/>
      <c r="G10" s="21"/>
    </row>
    <row r="11" spans="1:8">
      <c r="A11" s="50" t="s">
        <v>37</v>
      </c>
      <c r="B11" s="310"/>
      <c r="C11" s="453"/>
      <c r="D11" s="454"/>
      <c r="E11" s="453"/>
      <c r="F11" s="454"/>
      <c r="G11" s="51">
        <f>mvalloc!D13</f>
        <v>0</v>
      </c>
    </row>
    <row r="12" spans="1:8">
      <c r="A12" s="50" t="s">
        <v>38</v>
      </c>
      <c r="B12" s="310"/>
      <c r="C12" s="453"/>
      <c r="D12" s="454"/>
      <c r="E12" s="453"/>
      <c r="F12" s="454"/>
      <c r="G12" s="51">
        <f>mvalloc!E13</f>
        <v>0</v>
      </c>
    </row>
    <row r="13" spans="1:8">
      <c r="A13" s="312" t="s">
        <v>118</v>
      </c>
      <c r="B13" s="310"/>
      <c r="C13" s="453"/>
      <c r="D13" s="454"/>
      <c r="E13" s="453"/>
      <c r="F13" s="454"/>
      <c r="G13" s="51">
        <f>mvalloc!F13</f>
        <v>0</v>
      </c>
    </row>
    <row r="14" spans="1:8">
      <c r="A14" s="312" t="s">
        <v>199</v>
      </c>
      <c r="B14" s="310"/>
      <c r="C14" s="453"/>
      <c r="D14" s="454"/>
      <c r="E14" s="453"/>
      <c r="F14" s="454"/>
      <c r="G14" s="51">
        <f>mvalloc!G13</f>
        <v>0</v>
      </c>
    </row>
    <row r="15" spans="1:8">
      <c r="A15" s="307"/>
      <c r="B15" s="311"/>
      <c r="C15" s="453"/>
      <c r="D15" s="454"/>
      <c r="E15" s="453"/>
      <c r="F15" s="454"/>
      <c r="G15" s="21"/>
    </row>
    <row r="16" spans="1:8">
      <c r="A16" s="307"/>
      <c r="B16" s="311"/>
      <c r="C16" s="453"/>
      <c r="D16" s="454"/>
      <c r="E16" s="453"/>
      <c r="F16" s="454"/>
      <c r="G16" s="21"/>
    </row>
    <row r="17" spans="1:7">
      <c r="A17" s="308" t="s">
        <v>40</v>
      </c>
      <c r="B17" s="311"/>
      <c r="C17" s="453"/>
      <c r="D17" s="454"/>
      <c r="E17" s="453"/>
      <c r="F17" s="454"/>
      <c r="G17" s="21"/>
    </row>
    <row r="18" spans="1:7">
      <c r="A18" s="346" t="s">
        <v>264</v>
      </c>
      <c r="B18" s="320"/>
      <c r="C18" s="460"/>
      <c r="D18" s="461"/>
      <c r="E18" s="460"/>
      <c r="F18" s="461"/>
      <c r="G18" s="309"/>
    </row>
    <row r="19" spans="1:7">
      <c r="A19" s="346" t="s">
        <v>265</v>
      </c>
      <c r="B19" s="320"/>
      <c r="C19" s="462" t="str">
        <f>IF(C20*0.1&lt;C18,"Exceed 10% Rule","")</f>
        <v/>
      </c>
      <c r="D19" s="463"/>
      <c r="E19" s="462" t="str">
        <f>IF(E20*0.1&lt;E18,"Exceed 10% Rule","")</f>
        <v/>
      </c>
      <c r="F19" s="463"/>
      <c r="G19" s="345" t="str">
        <f>IF(G20*0.1&lt;G18,"Exceed 10% Rule","")</f>
        <v/>
      </c>
    </row>
    <row r="20" spans="1:7">
      <c r="A20" s="210" t="s">
        <v>41</v>
      </c>
      <c r="B20" s="310"/>
      <c r="C20" s="464">
        <f>SUM(C9:C18)</f>
        <v>0</v>
      </c>
      <c r="D20" s="465"/>
      <c r="E20" s="464">
        <f>SUM(E9:E18)</f>
        <v>0</v>
      </c>
      <c r="F20" s="465"/>
      <c r="G20" s="294">
        <f>SUM(G9:G18)</f>
        <v>0</v>
      </c>
    </row>
    <row r="21" spans="1:7">
      <c r="A21" s="210" t="s">
        <v>42</v>
      </c>
      <c r="B21" s="310"/>
      <c r="C21" s="464">
        <f>C7+C20</f>
        <v>0</v>
      </c>
      <c r="D21" s="465"/>
      <c r="E21" s="464">
        <f>E7+E20</f>
        <v>0</v>
      </c>
      <c r="F21" s="465"/>
      <c r="G21" s="294">
        <f>G7+G20</f>
        <v>0</v>
      </c>
    </row>
    <row r="22" spans="1:7">
      <c r="A22" s="50" t="s">
        <v>43</v>
      </c>
      <c r="B22" s="313"/>
      <c r="C22" s="466"/>
      <c r="D22" s="467"/>
      <c r="E22" s="466"/>
      <c r="F22" s="467"/>
      <c r="G22" s="49"/>
    </row>
    <row r="23" spans="1:7">
      <c r="A23" s="307"/>
      <c r="B23" s="311"/>
      <c r="C23" s="453"/>
      <c r="D23" s="454"/>
      <c r="E23" s="453"/>
      <c r="F23" s="454"/>
      <c r="G23" s="21"/>
    </row>
    <row r="24" spans="1:7">
      <c r="A24" s="307"/>
      <c r="B24" s="311"/>
      <c r="C24" s="453"/>
      <c r="D24" s="454"/>
      <c r="E24" s="453"/>
      <c r="F24" s="454"/>
      <c r="G24" s="21"/>
    </row>
    <row r="25" spans="1:7">
      <c r="A25" s="307"/>
      <c r="B25" s="311"/>
      <c r="C25" s="453"/>
      <c r="D25" s="454"/>
      <c r="E25" s="453"/>
      <c r="F25" s="454"/>
      <c r="G25" s="21"/>
    </row>
    <row r="26" spans="1:7">
      <c r="A26" s="307"/>
      <c r="B26" s="311"/>
      <c r="C26" s="453"/>
      <c r="D26" s="454"/>
      <c r="E26" s="453"/>
      <c r="F26" s="454"/>
      <c r="G26" s="21"/>
    </row>
    <row r="27" spans="1:7">
      <c r="A27" s="307"/>
      <c r="B27" s="311"/>
      <c r="C27" s="453"/>
      <c r="D27" s="454"/>
      <c r="E27" s="453"/>
      <c r="F27" s="454"/>
      <c r="G27" s="21"/>
    </row>
    <row r="28" spans="1:7">
      <c r="A28" s="52" t="s">
        <v>263</v>
      </c>
      <c r="B28" s="320"/>
      <c r="C28" s="453"/>
      <c r="D28" s="454"/>
      <c r="E28" s="453"/>
      <c r="F28" s="454"/>
      <c r="G28" s="262" t="str">
        <f>Nhood!E9</f>
        <v/>
      </c>
    </row>
    <row r="29" spans="1:7">
      <c r="A29" s="52" t="s">
        <v>264</v>
      </c>
      <c r="B29" s="320"/>
      <c r="C29" s="460"/>
      <c r="D29" s="461"/>
      <c r="E29" s="460"/>
      <c r="F29" s="461"/>
      <c r="G29" s="309"/>
    </row>
    <row r="30" spans="1:7">
      <c r="A30" s="52" t="s">
        <v>266</v>
      </c>
      <c r="B30" s="320"/>
      <c r="C30" s="462" t="str">
        <f>IF(C31*0.1&lt;C29,"Exceed 10% Rule","")</f>
        <v/>
      </c>
      <c r="D30" s="463"/>
      <c r="E30" s="462" t="str">
        <f>IF(E31*0.1&lt;E29,"Exceed 10% Rule","")</f>
        <v/>
      </c>
      <c r="F30" s="463"/>
      <c r="G30" s="345" t="str">
        <f>IF(G31*0.1&lt;G29,"Exceed 10% Rule","")</f>
        <v/>
      </c>
    </row>
    <row r="31" spans="1:7">
      <c r="A31" s="210" t="s">
        <v>44</v>
      </c>
      <c r="B31" s="175"/>
      <c r="C31" s="464">
        <f>SUM(C23:C29)</f>
        <v>0</v>
      </c>
      <c r="D31" s="465"/>
      <c r="E31" s="464">
        <f>SUM(E23:E29)</f>
        <v>0</v>
      </c>
      <c r="F31" s="465"/>
      <c r="G31" s="294">
        <f>SUM(G23:G29)</f>
        <v>0</v>
      </c>
    </row>
    <row r="32" spans="1:7">
      <c r="A32" s="50" t="s">
        <v>135</v>
      </c>
      <c r="B32" s="310"/>
      <c r="C32" s="458">
        <f>C21-C31</f>
        <v>0</v>
      </c>
      <c r="D32" s="459"/>
      <c r="E32" s="458">
        <f>E21-E31</f>
        <v>0</v>
      </c>
      <c r="F32" s="459"/>
      <c r="G32" s="54" t="s">
        <v>27</v>
      </c>
    </row>
    <row r="33" spans="1:8">
      <c r="A33" s="80" t="str">
        <f>CONCATENATE("",H3-2,"/",H3-1," Budget Authority Amount:")</f>
        <v>2008/2009 Budget Authority Amount:</v>
      </c>
      <c r="B33" s="328">
        <f>inputOth!B111</f>
        <v>0</v>
      </c>
      <c r="C33" s="361">
        <f>inputPrYr!D26</f>
        <v>0</v>
      </c>
      <c r="D33" s="455" t="s">
        <v>334</v>
      </c>
      <c r="E33" s="456"/>
      <c r="F33" s="457"/>
      <c r="G33" s="21"/>
      <c r="H33" s="288" t="str">
        <f>IF(G31/0.95-G31&lt;G33,"Exceeds 5%","")</f>
        <v/>
      </c>
    </row>
    <row r="34" spans="1:8">
      <c r="A34" s="80" t="str">
        <f>CONCATENATE("Violation of Budget Law for ",H3-2,"/",H3-1,":")</f>
        <v>Violation of Budget Law for 2008/2009:</v>
      </c>
      <c r="B34" s="329" t="str">
        <f>IF(C31&gt;B33,"Yes","No")</f>
        <v>No</v>
      </c>
      <c r="C34" s="329" t="str">
        <f>IF(E31&gt;C33,"Yes","No")</f>
        <v>No</v>
      </c>
      <c r="D34" s="32"/>
      <c r="E34" s="446" t="s">
        <v>335</v>
      </c>
      <c r="F34" s="447"/>
      <c r="G34" s="53">
        <f>G31+G33</f>
        <v>0</v>
      </c>
    </row>
    <row r="35" spans="1:8">
      <c r="A35" s="80" t="str">
        <f>CONCATENATE("Possible Cash Violation for ",H3-2,":")</f>
        <v>Possible Cash Violation for 2008:</v>
      </c>
      <c r="B35" s="329" t="str">
        <f>IF(C32&lt;0,"Yes","No")</f>
        <v>No</v>
      </c>
      <c r="C35" s="32"/>
      <c r="D35" s="32"/>
      <c r="E35" s="446" t="s">
        <v>45</v>
      </c>
      <c r="F35" s="447"/>
      <c r="G35" s="262">
        <f>IF(G34-G21&gt;0,G34-G21,0)</f>
        <v>0</v>
      </c>
    </row>
    <row r="36" spans="1:8">
      <c r="A36" s="81"/>
      <c r="B36" s="81"/>
      <c r="C36" s="81"/>
      <c r="D36" s="448" t="s">
        <v>336</v>
      </c>
      <c r="E36" s="449"/>
      <c r="F36" s="362">
        <f>inputOth!$E$103</f>
        <v>0</v>
      </c>
      <c r="G36" s="53">
        <f>ROUND(IF(F36&gt;0,(G35*F36),0),0)</f>
        <v>0</v>
      </c>
    </row>
    <row r="37" spans="1:8">
      <c r="A37" s="32"/>
      <c r="B37" s="32"/>
      <c r="C37" s="450" t="str">
        <f>CONCATENATE("Amount of  ",$H$3-1," Ad Valorem Tax")</f>
        <v>Amount of  2009 Ad Valorem Tax</v>
      </c>
      <c r="D37" s="451"/>
      <c r="E37" s="451"/>
      <c r="F37" s="452"/>
      <c r="G37" s="262">
        <f>G35+G36</f>
        <v>0</v>
      </c>
    </row>
    <row r="38" spans="1:8">
      <c r="A38" s="32"/>
      <c r="B38" s="32"/>
      <c r="C38" s="32"/>
      <c r="D38" s="32"/>
      <c r="E38" s="32"/>
      <c r="F38" s="32"/>
      <c r="G38" s="32"/>
    </row>
    <row r="39" spans="1:8">
      <c r="A39" s="35" t="s">
        <v>34</v>
      </c>
      <c r="B39" s="35"/>
      <c r="C39" s="37"/>
      <c r="D39" s="37"/>
      <c r="E39" s="37"/>
      <c r="F39" s="37"/>
      <c r="G39" s="37"/>
    </row>
    <row r="40" spans="1:8">
      <c r="A40" s="32"/>
      <c r="B40" s="32"/>
      <c r="C40" s="472" t="s">
        <v>330</v>
      </c>
      <c r="D40" s="473"/>
      <c r="E40" s="476" t="s">
        <v>331</v>
      </c>
      <c r="F40" s="477"/>
      <c r="G40" s="78" t="s">
        <v>332</v>
      </c>
    </row>
    <row r="41" spans="1:8">
      <c r="A41" s="59">
        <f>inputPrYr!B27</f>
        <v>0</v>
      </c>
      <c r="B41" s="59"/>
      <c r="C41" s="474" t="str">
        <f>C6</f>
        <v>Actual 2008</v>
      </c>
      <c r="D41" s="475"/>
      <c r="E41" s="474" t="str">
        <f>E6</f>
        <v>Estimate 2009</v>
      </c>
      <c r="F41" s="475"/>
      <c r="G41" s="204" t="str">
        <f>G6</f>
        <v>Year 2010</v>
      </c>
    </row>
    <row r="42" spans="1:8">
      <c r="A42" s="50" t="s">
        <v>134</v>
      </c>
      <c r="B42" s="310"/>
      <c r="C42" s="453"/>
      <c r="D42" s="454"/>
      <c r="E42" s="470">
        <f>C67</f>
        <v>0</v>
      </c>
      <c r="F42" s="471"/>
      <c r="G42" s="51">
        <f>E67</f>
        <v>0</v>
      </c>
    </row>
    <row r="43" spans="1:8">
      <c r="A43" s="160" t="s">
        <v>136</v>
      </c>
      <c r="B43" s="310"/>
      <c r="C43" s="468"/>
      <c r="D43" s="469"/>
      <c r="E43" s="468"/>
      <c r="F43" s="469"/>
      <c r="G43" s="53"/>
    </row>
    <row r="44" spans="1:8">
      <c r="A44" s="50" t="s">
        <v>35</v>
      </c>
      <c r="B44" s="310"/>
      <c r="C44" s="453"/>
      <c r="D44" s="454"/>
      <c r="E44" s="468">
        <f>inputPrYr!E27</f>
        <v>0</v>
      </c>
      <c r="F44" s="469"/>
      <c r="G44" s="54" t="s">
        <v>27</v>
      </c>
    </row>
    <row r="45" spans="1:8">
      <c r="A45" s="50" t="s">
        <v>36</v>
      </c>
      <c r="B45" s="310"/>
      <c r="C45" s="453"/>
      <c r="D45" s="454"/>
      <c r="E45" s="453"/>
      <c r="F45" s="454"/>
      <c r="G45" s="21"/>
    </row>
    <row r="46" spans="1:8">
      <c r="A46" s="50" t="s">
        <v>37</v>
      </c>
      <c r="B46" s="310"/>
      <c r="C46" s="453"/>
      <c r="D46" s="454"/>
      <c r="E46" s="453"/>
      <c r="F46" s="454"/>
      <c r="G46" s="51">
        <f>mvalloc!D14</f>
        <v>0</v>
      </c>
    </row>
    <row r="47" spans="1:8">
      <c r="A47" s="50" t="s">
        <v>38</v>
      </c>
      <c r="B47" s="310"/>
      <c r="C47" s="453"/>
      <c r="D47" s="454"/>
      <c r="E47" s="453"/>
      <c r="F47" s="454"/>
      <c r="G47" s="51">
        <f>mvalloc!E14</f>
        <v>0</v>
      </c>
    </row>
    <row r="48" spans="1:8">
      <c r="A48" s="312" t="s">
        <v>118</v>
      </c>
      <c r="B48" s="310"/>
      <c r="C48" s="453"/>
      <c r="D48" s="454"/>
      <c r="E48" s="453"/>
      <c r="F48" s="454"/>
      <c r="G48" s="51">
        <f>mvalloc!F14</f>
        <v>0</v>
      </c>
    </row>
    <row r="49" spans="1:7">
      <c r="A49" s="312" t="s">
        <v>199</v>
      </c>
      <c r="B49" s="310"/>
      <c r="C49" s="453"/>
      <c r="D49" s="454"/>
      <c r="E49" s="453"/>
      <c r="F49" s="454"/>
      <c r="G49" s="51">
        <f>mvalloc!G14</f>
        <v>0</v>
      </c>
    </row>
    <row r="50" spans="1:7">
      <c r="A50" s="307"/>
      <c r="B50" s="311"/>
      <c r="C50" s="453"/>
      <c r="D50" s="454"/>
      <c r="E50" s="453"/>
      <c r="F50" s="454"/>
      <c r="G50" s="21"/>
    </row>
    <row r="51" spans="1:7">
      <c r="A51" s="307"/>
      <c r="B51" s="311"/>
      <c r="C51" s="453"/>
      <c r="D51" s="454"/>
      <c r="E51" s="453"/>
      <c r="F51" s="454"/>
      <c r="G51" s="21"/>
    </row>
    <row r="52" spans="1:7">
      <c r="A52" s="308" t="s">
        <v>40</v>
      </c>
      <c r="B52" s="311"/>
      <c r="C52" s="453"/>
      <c r="D52" s="454"/>
      <c r="E52" s="453"/>
      <c r="F52" s="454"/>
      <c r="G52" s="21"/>
    </row>
    <row r="53" spans="1:7">
      <c r="A53" s="346" t="s">
        <v>264</v>
      </c>
      <c r="B53" s="320"/>
      <c r="C53" s="460"/>
      <c r="D53" s="461"/>
      <c r="E53" s="460"/>
      <c r="F53" s="461"/>
      <c r="G53" s="309"/>
    </row>
    <row r="54" spans="1:7">
      <c r="A54" s="346" t="s">
        <v>265</v>
      </c>
      <c r="B54" s="320"/>
      <c r="C54" s="462" t="str">
        <f>IF(C55*0.1&lt;C53,"Exceed 10% Rule","")</f>
        <v/>
      </c>
      <c r="D54" s="463"/>
      <c r="E54" s="462" t="str">
        <f>IF(E55*0.1&lt;E53,"Exceed 10% Rule","")</f>
        <v/>
      </c>
      <c r="F54" s="463"/>
      <c r="G54" s="345" t="str">
        <f>IF(G55*0.1+G72&lt;G53,"Exceed 10% Rule","")</f>
        <v/>
      </c>
    </row>
    <row r="55" spans="1:7">
      <c r="A55" s="210" t="s">
        <v>41</v>
      </c>
      <c r="B55" s="310"/>
      <c r="C55" s="464">
        <f>SUM(C44:C53)</f>
        <v>0</v>
      </c>
      <c r="D55" s="465"/>
      <c r="E55" s="464">
        <f>SUM(E44:E53)</f>
        <v>0</v>
      </c>
      <c r="F55" s="465"/>
      <c r="G55" s="294">
        <f>SUM(G44:G53)</f>
        <v>0</v>
      </c>
    </row>
    <row r="56" spans="1:7">
      <c r="A56" s="210" t="s">
        <v>42</v>
      </c>
      <c r="B56" s="310"/>
      <c r="C56" s="464">
        <f>C42+C55</f>
        <v>0</v>
      </c>
      <c r="D56" s="465"/>
      <c r="E56" s="464">
        <f>E42+E55</f>
        <v>0</v>
      </c>
      <c r="F56" s="465"/>
      <c r="G56" s="294">
        <f>G42+G55</f>
        <v>0</v>
      </c>
    </row>
    <row r="57" spans="1:7">
      <c r="A57" s="50" t="s">
        <v>43</v>
      </c>
      <c r="B57" s="310"/>
      <c r="C57" s="466"/>
      <c r="D57" s="467"/>
      <c r="E57" s="466"/>
      <c r="F57" s="467"/>
      <c r="G57" s="49"/>
    </row>
    <row r="58" spans="1:7">
      <c r="A58" s="307"/>
      <c r="B58" s="311"/>
      <c r="C58" s="453"/>
      <c r="D58" s="454"/>
      <c r="E58" s="453"/>
      <c r="F58" s="454"/>
      <c r="G58" s="21"/>
    </row>
    <row r="59" spans="1:7">
      <c r="A59" s="307"/>
      <c r="B59" s="311"/>
      <c r="C59" s="453"/>
      <c r="D59" s="454"/>
      <c r="E59" s="453"/>
      <c r="F59" s="454"/>
      <c r="G59" s="21"/>
    </row>
    <row r="60" spans="1:7">
      <c r="A60" s="307"/>
      <c r="B60" s="311"/>
      <c r="C60" s="453"/>
      <c r="D60" s="454"/>
      <c r="E60" s="453"/>
      <c r="F60" s="454"/>
      <c r="G60" s="21"/>
    </row>
    <row r="61" spans="1:7">
      <c r="A61" s="307"/>
      <c r="B61" s="311"/>
      <c r="C61" s="453"/>
      <c r="D61" s="454"/>
      <c r="E61" s="453"/>
      <c r="F61" s="454"/>
      <c r="G61" s="21"/>
    </row>
    <row r="62" spans="1:7">
      <c r="A62" s="307"/>
      <c r="B62" s="311"/>
      <c r="C62" s="453"/>
      <c r="D62" s="454"/>
      <c r="E62" s="453"/>
      <c r="F62" s="454"/>
      <c r="G62" s="21"/>
    </row>
    <row r="63" spans="1:7">
      <c r="A63" s="52" t="s">
        <v>263</v>
      </c>
      <c r="B63" s="320"/>
      <c r="C63" s="460"/>
      <c r="D63" s="461"/>
      <c r="E63" s="460"/>
      <c r="F63" s="461"/>
      <c r="G63" s="262" t="str">
        <f>Nhood!E10</f>
        <v/>
      </c>
    </row>
    <row r="64" spans="1:7">
      <c r="A64" s="52" t="s">
        <v>264</v>
      </c>
      <c r="B64" s="320"/>
      <c r="C64" s="460"/>
      <c r="D64" s="461"/>
      <c r="E64" s="460"/>
      <c r="F64" s="461"/>
      <c r="G64" s="309"/>
    </row>
    <row r="65" spans="1:8">
      <c r="A65" s="52" t="s">
        <v>266</v>
      </c>
      <c r="B65" s="320"/>
      <c r="C65" s="462" t="str">
        <f>IF(C66*0.1&lt;C64,"Exceed 10% Rule","")</f>
        <v/>
      </c>
      <c r="D65" s="463"/>
      <c r="E65" s="462" t="str">
        <f>IF(E66*0.1&lt;E64,"Exceed 10% Rule","")</f>
        <v/>
      </c>
      <c r="F65" s="463"/>
      <c r="G65" s="345" t="str">
        <f>IF(G66*0.1&lt;G64,"Exceed 10% Rule","")</f>
        <v/>
      </c>
    </row>
    <row r="66" spans="1:8">
      <c r="A66" s="210" t="s">
        <v>44</v>
      </c>
      <c r="B66" s="310"/>
      <c r="C66" s="464">
        <f>SUM(C58:C64)</f>
        <v>0</v>
      </c>
      <c r="D66" s="465"/>
      <c r="E66" s="464">
        <f>SUM(E58:E64)</f>
        <v>0</v>
      </c>
      <c r="F66" s="465"/>
      <c r="G66" s="294">
        <f>SUM(G58:G64)</f>
        <v>0</v>
      </c>
    </row>
    <row r="67" spans="1:8">
      <c r="A67" s="50" t="s">
        <v>135</v>
      </c>
      <c r="B67" s="310"/>
      <c r="C67" s="458">
        <f>C56-C66</f>
        <v>0</v>
      </c>
      <c r="D67" s="459"/>
      <c r="E67" s="458">
        <f>E56-E66</f>
        <v>0</v>
      </c>
      <c r="F67" s="459"/>
      <c r="G67" s="54" t="s">
        <v>27</v>
      </c>
    </row>
    <row r="68" spans="1:8">
      <c r="A68" s="80" t="str">
        <f>CONCATENATE("",H3-2,"/",H3-1," Budget Authority Amount:")</f>
        <v>2008/2009 Budget Authority Amount:</v>
      </c>
      <c r="B68" s="328">
        <f>inputOth!B112</f>
        <v>0</v>
      </c>
      <c r="C68" s="361">
        <f>inputPrYr!D27</f>
        <v>0</v>
      </c>
      <c r="D68" s="455" t="s">
        <v>334</v>
      </c>
      <c r="E68" s="456"/>
      <c r="F68" s="457"/>
      <c r="G68" s="21"/>
      <c r="H68" s="288" t="str">
        <f>IF(G66/0.95-G66&lt;G68,"Exceeds 5%","")</f>
        <v/>
      </c>
    </row>
    <row r="69" spans="1:8">
      <c r="A69" s="80" t="str">
        <f>CONCATENATE("Violation of Budget Law for ",H3-2,"/",H3-1,":")</f>
        <v>Violation of Budget Law for 2008/2009:</v>
      </c>
      <c r="B69" s="329" t="str">
        <f>IF(C66&gt;B68,"Yes","No")</f>
        <v>No</v>
      </c>
      <c r="C69" s="329" t="str">
        <f>IF(E66&gt;C68,"Yes","No")</f>
        <v>No</v>
      </c>
      <c r="D69" s="32"/>
      <c r="E69" s="446" t="s">
        <v>335</v>
      </c>
      <c r="F69" s="447"/>
      <c r="G69" s="53">
        <f>G66+G68</f>
        <v>0</v>
      </c>
    </row>
    <row r="70" spans="1:8">
      <c r="A70" s="80" t="str">
        <f>CONCATENATE("Possible Cash Violation for ",H3-2,":")</f>
        <v>Possible Cash Violation for 2008:</v>
      </c>
      <c r="B70" s="329" t="str">
        <f>IF(C67&lt;0,"Yes","No")</f>
        <v>No</v>
      </c>
      <c r="C70" s="32"/>
      <c r="D70" s="32"/>
      <c r="E70" s="446" t="s">
        <v>45</v>
      </c>
      <c r="F70" s="447"/>
      <c r="G70" s="262">
        <f>IF(G69-G56&gt;0,G69-G56,0)</f>
        <v>0</v>
      </c>
    </row>
    <row r="71" spans="1:8">
      <c r="A71" s="81"/>
      <c r="B71" s="81"/>
      <c r="C71" s="81"/>
      <c r="D71" s="448" t="s">
        <v>336</v>
      </c>
      <c r="E71" s="449"/>
      <c r="F71" s="362">
        <f>inputOth!$E$103</f>
        <v>0</v>
      </c>
      <c r="G71" s="53">
        <f>ROUND(IF(F71&gt;0,(G70*F71),0),0)</f>
        <v>0</v>
      </c>
    </row>
    <row r="72" spans="1:8">
      <c r="A72" s="32"/>
      <c r="B72" s="32"/>
      <c r="C72" s="450" t="str">
        <f>CONCATENATE("Amount of  ",$H$3-1," Ad Valorem Tax")</f>
        <v>Amount of  2009 Ad Valorem Tax</v>
      </c>
      <c r="D72" s="451"/>
      <c r="E72" s="451"/>
      <c r="F72" s="452"/>
      <c r="G72" s="267">
        <f>G70+G71</f>
        <v>0</v>
      </c>
    </row>
    <row r="73" spans="1:8">
      <c r="A73" s="32"/>
      <c r="B73" s="32"/>
      <c r="C73" s="79"/>
      <c r="D73" s="79"/>
      <c r="E73" s="79"/>
      <c r="F73" s="79"/>
      <c r="G73" s="79"/>
    </row>
    <row r="74" spans="1:8">
      <c r="A74" s="80"/>
      <c r="B74" s="80" t="s">
        <v>47</v>
      </c>
      <c r="C74" s="211"/>
      <c r="D74" s="85"/>
      <c r="E74" s="32"/>
      <c r="F74" s="32"/>
      <c r="G74" s="32"/>
    </row>
  </sheetData>
  <sheetProtection sheet="1" objects="1" scenarios="1"/>
  <mergeCells count="122">
    <mergeCell ref="C19:D19"/>
    <mergeCell ref="C20:D20"/>
    <mergeCell ref="D33:F33"/>
    <mergeCell ref="E34:F34"/>
    <mergeCell ref="C21:D21"/>
    <mergeCell ref="C22:D22"/>
    <mergeCell ref="C29:D29"/>
    <mergeCell ref="C30:D30"/>
    <mergeCell ref="C31:D31"/>
    <mergeCell ref="C32:D32"/>
    <mergeCell ref="E31:F31"/>
    <mergeCell ref="E32:F32"/>
    <mergeCell ref="E19:F19"/>
    <mergeCell ref="E20:F20"/>
    <mergeCell ref="E21:F21"/>
    <mergeCell ref="E22:F22"/>
    <mergeCell ref="C25:D25"/>
    <mergeCell ref="E25:F25"/>
    <mergeCell ref="C26:D26"/>
    <mergeCell ref="E26:F26"/>
    <mergeCell ref="C23:D23"/>
    <mergeCell ref="E23:F23"/>
    <mergeCell ref="C24:D24"/>
    <mergeCell ref="E24:F24"/>
    <mergeCell ref="E5:F5"/>
    <mergeCell ref="E6:F6"/>
    <mergeCell ref="E7:F7"/>
    <mergeCell ref="E8:F8"/>
    <mergeCell ref="C5:D5"/>
    <mergeCell ref="C6:D6"/>
    <mergeCell ref="E9:F9"/>
    <mergeCell ref="C7:D7"/>
    <mergeCell ref="C8:D8"/>
    <mergeCell ref="C18:D18"/>
    <mergeCell ref="E18:F18"/>
    <mergeCell ref="C9:D9"/>
    <mergeCell ref="C10:D10"/>
    <mergeCell ref="C11:D11"/>
    <mergeCell ref="C12:D12"/>
    <mergeCell ref="C13:D13"/>
    <mergeCell ref="C14:D14"/>
    <mergeCell ref="C15:D15"/>
    <mergeCell ref="C16:D16"/>
    <mergeCell ref="C17:D17"/>
    <mergeCell ref="E14:F14"/>
    <mergeCell ref="E15:F15"/>
    <mergeCell ref="E16:F16"/>
    <mergeCell ref="E17:F17"/>
    <mergeCell ref="E10:F10"/>
    <mergeCell ref="E11:F11"/>
    <mergeCell ref="E12:F12"/>
    <mergeCell ref="E13:F13"/>
    <mergeCell ref="C59:D59"/>
    <mergeCell ref="C60:D60"/>
    <mergeCell ref="C44:D44"/>
    <mergeCell ref="C45:D45"/>
    <mergeCell ref="C46:D46"/>
    <mergeCell ref="C47:D47"/>
    <mergeCell ref="C27:D27"/>
    <mergeCell ref="E27:F27"/>
    <mergeCell ref="C28:D28"/>
    <mergeCell ref="E28:F28"/>
    <mergeCell ref="E29:F29"/>
    <mergeCell ref="E30:F30"/>
    <mergeCell ref="C53:D53"/>
    <mergeCell ref="E53:F53"/>
    <mergeCell ref="C54:D54"/>
    <mergeCell ref="C55:D55"/>
    <mergeCell ref="C56:D56"/>
    <mergeCell ref="C57:D57"/>
    <mergeCell ref="E54:F54"/>
    <mergeCell ref="E55:F55"/>
    <mergeCell ref="E56:F56"/>
    <mergeCell ref="E57:F57"/>
    <mergeCell ref="C61:D61"/>
    <mergeCell ref="C52:D52"/>
    <mergeCell ref="E45:F45"/>
    <mergeCell ref="E46:F46"/>
    <mergeCell ref="E47:F47"/>
    <mergeCell ref="E48:F48"/>
    <mergeCell ref="E49:F49"/>
    <mergeCell ref="C40:D40"/>
    <mergeCell ref="C41:D41"/>
    <mergeCell ref="E40:F40"/>
    <mergeCell ref="E41:F41"/>
    <mergeCell ref="E42:F42"/>
    <mergeCell ref="E43:F43"/>
    <mergeCell ref="E44:F44"/>
    <mergeCell ref="C42:D42"/>
    <mergeCell ref="C43:D43"/>
    <mergeCell ref="E50:F50"/>
    <mergeCell ref="E51:F51"/>
    <mergeCell ref="E52:F52"/>
    <mergeCell ref="C48:D48"/>
    <mergeCell ref="C49:D49"/>
    <mergeCell ref="C50:D50"/>
    <mergeCell ref="C51:D51"/>
    <mergeCell ref="C58:D58"/>
    <mergeCell ref="E70:F70"/>
    <mergeCell ref="D71:E71"/>
    <mergeCell ref="C72:F72"/>
    <mergeCell ref="E35:F35"/>
    <mergeCell ref="D36:E36"/>
    <mergeCell ref="C37:F37"/>
    <mergeCell ref="D68:F68"/>
    <mergeCell ref="C67:D67"/>
    <mergeCell ref="E64:F64"/>
    <mergeCell ref="E63:F63"/>
    <mergeCell ref="E65:F65"/>
    <mergeCell ref="E66:F66"/>
    <mergeCell ref="E67:F67"/>
    <mergeCell ref="C63:D63"/>
    <mergeCell ref="C64:D64"/>
    <mergeCell ref="C65:D65"/>
    <mergeCell ref="C66:D66"/>
    <mergeCell ref="E69:F69"/>
    <mergeCell ref="C62:D62"/>
    <mergeCell ref="E58:F58"/>
    <mergeCell ref="E59:F59"/>
    <mergeCell ref="E60:F60"/>
    <mergeCell ref="E61:F61"/>
    <mergeCell ref="E62:F62"/>
  </mergeCells>
  <phoneticPr fontId="0" type="noConversion"/>
  <conditionalFormatting sqref="C29:D29">
    <cfRule type="cellIs" dxfId="35" priority="1" stopIfTrue="1" operator="greaterThan">
      <formula>$C$31*0.1</formula>
    </cfRule>
  </conditionalFormatting>
  <conditionalFormatting sqref="E29:F29">
    <cfRule type="cellIs" dxfId="34" priority="2" stopIfTrue="1" operator="greaterThan">
      <formula>$E$31*0.1</formula>
    </cfRule>
  </conditionalFormatting>
  <conditionalFormatting sqref="G29">
    <cfRule type="cellIs" dxfId="33" priority="3" stopIfTrue="1" operator="greaterThan">
      <formula>$G$31*0.1</formula>
    </cfRule>
  </conditionalFormatting>
  <conditionalFormatting sqref="G33">
    <cfRule type="cellIs" dxfId="32" priority="4" stopIfTrue="1" operator="greaterThan">
      <formula>$G$31/0.95-$G$31</formula>
    </cfRule>
  </conditionalFormatting>
  <conditionalFormatting sqref="C18:D18">
    <cfRule type="cellIs" dxfId="31" priority="5" stopIfTrue="1" operator="greaterThan">
      <formula>$C$20*0.1</formula>
    </cfRule>
  </conditionalFormatting>
  <conditionalFormatting sqref="E18:F18">
    <cfRule type="cellIs" dxfId="30" priority="6" stopIfTrue="1" operator="greaterThan">
      <formula>$E$20*0.1</formula>
    </cfRule>
  </conditionalFormatting>
  <conditionalFormatting sqref="G18">
    <cfRule type="cellIs" dxfId="29" priority="7" stopIfTrue="1" operator="greaterThan">
      <formula>$G$20*0.1</formula>
    </cfRule>
  </conditionalFormatting>
  <conditionalFormatting sqref="C53:D53">
    <cfRule type="cellIs" dxfId="28" priority="8" stopIfTrue="1" operator="greaterThan">
      <formula>$C$55*0.1</formula>
    </cfRule>
  </conditionalFormatting>
  <conditionalFormatting sqref="E53:F53">
    <cfRule type="cellIs" dxfId="27" priority="9" stopIfTrue="1" operator="greaterThan">
      <formula>$E$55*0.1</formula>
    </cfRule>
  </conditionalFormatting>
  <conditionalFormatting sqref="C64:D64">
    <cfRule type="cellIs" dxfId="26" priority="10" stopIfTrue="1" operator="greaterThan">
      <formula>$C$66*0.1</formula>
    </cfRule>
  </conditionalFormatting>
  <conditionalFormatting sqref="E64:F64">
    <cfRule type="cellIs" dxfId="25" priority="11" stopIfTrue="1" operator="greaterThan">
      <formula>$E$66*0.1</formula>
    </cfRule>
  </conditionalFormatting>
  <conditionalFormatting sqref="G64">
    <cfRule type="cellIs" dxfId="24" priority="12" stopIfTrue="1" operator="greaterThan">
      <formula>$G$66*0.1</formula>
    </cfRule>
  </conditionalFormatting>
  <conditionalFormatting sqref="G68">
    <cfRule type="cellIs" dxfId="23" priority="13" stopIfTrue="1" operator="greaterThan">
      <formula>$G$66/0.95-$G$66</formula>
    </cfRule>
  </conditionalFormatting>
  <conditionalFormatting sqref="G53">
    <cfRule type="cellIs" dxfId="22" priority="14" stopIfTrue="1" operator="greaterThan">
      <formula>$G$55*0.1+$G$72</formula>
    </cfRule>
  </conditionalFormatting>
  <conditionalFormatting sqref="C67:D67 C32:D32">
    <cfRule type="cellIs" dxfId="21" priority="15" stopIfTrue="1" operator="lessThan">
      <formula>0</formula>
    </cfRule>
  </conditionalFormatting>
  <conditionalFormatting sqref="C66:D66">
    <cfRule type="cellIs" dxfId="20" priority="16" stopIfTrue="1" operator="greaterThan">
      <formula>$B$68</formula>
    </cfRule>
  </conditionalFormatting>
  <conditionalFormatting sqref="E66:F66">
    <cfRule type="cellIs" dxfId="19" priority="17" stopIfTrue="1" operator="greaterThan">
      <formula>$C$68</formula>
    </cfRule>
  </conditionalFormatting>
  <conditionalFormatting sqref="C31:D31">
    <cfRule type="cellIs" dxfId="18" priority="18" stopIfTrue="1" operator="greaterThan">
      <formula>$B$33</formula>
    </cfRule>
  </conditionalFormatting>
  <conditionalFormatting sqref="E31:F31">
    <cfRule type="cellIs" dxfId="17" priority="19" stopIfTrue="1" operator="greaterThan">
      <formula>$C$33</formula>
    </cfRule>
  </conditionalFormatting>
  <pageMargins left="1" right="1" top="0.5" bottom="0.5" header="0.5" footer="0.5"/>
  <pageSetup scale="59" orientation="portrait" blackAndWhite="1" horizontalDpi="120" verticalDpi="144" r:id="rId1"/>
  <headerFooter alignWithMargins="0">
    <oddHeader xml:space="preserve">&amp;RState of Kansas
Special District
</oddHeader>
    <oddFooter>&amp;Lrevised 10/24/08</oddFooter>
  </headerFooter>
</worksheet>
</file>

<file path=xl/worksheets/sheet13.xml><?xml version="1.0" encoding="utf-8"?>
<worksheet xmlns="http://schemas.openxmlformats.org/spreadsheetml/2006/main" xmlns:r="http://schemas.openxmlformats.org/officeDocument/2006/relationships">
  <sheetPr>
    <pageSetUpPr fitToPage="1"/>
  </sheetPr>
  <dimension ref="A1:F71"/>
  <sheetViews>
    <sheetView workbookViewId="0">
      <selection activeCell="D33" sqref="D33"/>
    </sheetView>
  </sheetViews>
  <sheetFormatPr defaultColWidth="27.77734375" defaultRowHeight="15.75"/>
  <cols>
    <col min="1" max="1" width="27.77734375" style="1" customWidth="1"/>
    <col min="2" max="2" width="9.5546875" style="1" customWidth="1"/>
    <col min="3" max="5" width="15.77734375" style="1" customWidth="1"/>
    <col min="6" max="16384" width="27.77734375" style="1"/>
  </cols>
  <sheetData>
    <row r="1" spans="1:6">
      <c r="A1" s="32" t="str">
        <f>inputPrYr!D3</f>
        <v>Fairview</v>
      </c>
      <c r="B1" s="32"/>
      <c r="C1" s="83"/>
      <c r="D1" s="32"/>
      <c r="E1" s="145"/>
    </row>
    <row r="2" spans="1:6">
      <c r="A2" s="32" t="str">
        <f>inputPrYr!D4</f>
        <v>Thomas</v>
      </c>
      <c r="B2" s="32"/>
      <c r="C2" s="83"/>
      <c r="D2" s="32"/>
      <c r="E2" s="80"/>
    </row>
    <row r="3" spans="1:6">
      <c r="A3" s="74" t="s">
        <v>91</v>
      </c>
      <c r="B3" s="74"/>
      <c r="C3" s="83"/>
      <c r="D3" s="83"/>
      <c r="E3" s="84"/>
      <c r="F3" s="1">
        <f>inputPrYr!D11</f>
        <v>2010</v>
      </c>
    </row>
    <row r="4" spans="1:6">
      <c r="A4" s="32"/>
      <c r="B4" s="32"/>
      <c r="C4" s="37"/>
      <c r="D4" s="37"/>
      <c r="E4" s="37"/>
    </row>
    <row r="5" spans="1:6">
      <c r="A5" s="35" t="s">
        <v>34</v>
      </c>
      <c r="B5" s="35"/>
      <c r="C5" s="77" t="s">
        <v>330</v>
      </c>
      <c r="D5" s="78" t="s">
        <v>331</v>
      </c>
      <c r="E5" s="78" t="s">
        <v>333</v>
      </c>
    </row>
    <row r="6" spans="1:6">
      <c r="A6" s="59">
        <f>inputPrYr!B30</f>
        <v>0</v>
      </c>
      <c r="B6" s="59"/>
      <c r="C6" s="204" t="str">
        <f>CONCATENATE("Actual ",F3-2,"")</f>
        <v>Actual 2008</v>
      </c>
      <c r="D6" s="204" t="str">
        <f>CONCATENATE("Estimate ",F3-1,"")</f>
        <v>Estimate 2009</v>
      </c>
      <c r="E6" s="204" t="str">
        <f>CONCATENATE("Year ",F3,"")</f>
        <v>Year 2010</v>
      </c>
    </row>
    <row r="7" spans="1:6">
      <c r="A7" s="50" t="s">
        <v>134</v>
      </c>
      <c r="B7" s="310"/>
      <c r="C7" s="355"/>
      <c r="D7" s="51">
        <f>C32</f>
        <v>0</v>
      </c>
      <c r="E7" s="51">
        <f>D32</f>
        <v>0</v>
      </c>
    </row>
    <row r="8" spans="1:6">
      <c r="A8" s="160" t="s">
        <v>136</v>
      </c>
      <c r="B8" s="310"/>
      <c r="C8" s="47"/>
      <c r="D8" s="49"/>
      <c r="E8" s="49"/>
    </row>
    <row r="9" spans="1:6">
      <c r="A9" s="307"/>
      <c r="B9" s="311"/>
      <c r="C9" s="309"/>
      <c r="D9" s="21"/>
      <c r="E9" s="21"/>
    </row>
    <row r="10" spans="1:6">
      <c r="A10" s="307"/>
      <c r="B10" s="311"/>
      <c r="C10" s="309"/>
      <c r="D10" s="21"/>
      <c r="E10" s="21"/>
    </row>
    <row r="11" spans="1:6">
      <c r="A11" s="307"/>
      <c r="B11" s="311"/>
      <c r="C11" s="309"/>
      <c r="D11" s="21"/>
      <c r="E11" s="21"/>
    </row>
    <row r="12" spans="1:6">
      <c r="A12" s="307"/>
      <c r="B12" s="311"/>
      <c r="C12" s="309"/>
      <c r="D12" s="21"/>
      <c r="E12" s="21"/>
    </row>
    <row r="13" spans="1:6">
      <c r="A13" s="307"/>
      <c r="B13" s="311"/>
      <c r="C13" s="309"/>
      <c r="D13" s="21"/>
      <c r="E13" s="21"/>
    </row>
    <row r="14" spans="1:6">
      <c r="A14" s="307"/>
      <c r="B14" s="311"/>
      <c r="C14" s="309"/>
      <c r="D14" s="21"/>
      <c r="E14" s="21"/>
    </row>
    <row r="15" spans="1:6">
      <c r="A15" s="307"/>
      <c r="B15" s="311"/>
      <c r="C15" s="309"/>
      <c r="D15" s="21"/>
      <c r="E15" s="21"/>
    </row>
    <row r="16" spans="1:6">
      <c r="A16" s="308" t="s">
        <v>40</v>
      </c>
      <c r="B16" s="311"/>
      <c r="C16" s="309"/>
      <c r="D16" s="21"/>
      <c r="E16" s="21"/>
    </row>
    <row r="17" spans="1:5">
      <c r="A17" s="346" t="s">
        <v>264</v>
      </c>
      <c r="B17" s="320"/>
      <c r="C17" s="309"/>
      <c r="D17" s="309"/>
      <c r="E17" s="309"/>
    </row>
    <row r="18" spans="1:5">
      <c r="A18" s="346" t="s">
        <v>265</v>
      </c>
      <c r="B18" s="320"/>
      <c r="C18" s="345" t="str">
        <f>IF(C19*0.1&lt;C17,"Exceed 10% Rule","")</f>
        <v/>
      </c>
      <c r="D18" s="345" t="str">
        <f>IF(D19*0.1&lt;D17,"Exceed 10% Rule","")</f>
        <v/>
      </c>
      <c r="E18" s="345" t="str">
        <f>IF(E19*0.1&lt;E17,"Exceed 10% Rule","")</f>
        <v/>
      </c>
    </row>
    <row r="19" spans="1:5">
      <c r="A19" s="210" t="s">
        <v>41</v>
      </c>
      <c r="B19" s="310"/>
      <c r="C19" s="410">
        <f>SUM(C9:C17)</f>
        <v>0</v>
      </c>
      <c r="D19" s="294">
        <f>SUM(D9:D17)</f>
        <v>0</v>
      </c>
      <c r="E19" s="294">
        <f>SUM(E9:E17)</f>
        <v>0</v>
      </c>
    </row>
    <row r="20" spans="1:5">
      <c r="A20" s="210" t="s">
        <v>42</v>
      </c>
      <c r="B20" s="310"/>
      <c r="C20" s="410">
        <f>C19+C7</f>
        <v>0</v>
      </c>
      <c r="D20" s="294">
        <f>D19+D7</f>
        <v>0</v>
      </c>
      <c r="E20" s="294">
        <f>E19+E7</f>
        <v>0</v>
      </c>
    </row>
    <row r="21" spans="1:5">
      <c r="A21" s="50" t="s">
        <v>43</v>
      </c>
      <c r="B21" s="310"/>
      <c r="C21" s="47"/>
      <c r="D21" s="49"/>
      <c r="E21" s="49"/>
    </row>
    <row r="22" spans="1:5">
      <c r="A22" s="307"/>
      <c r="B22" s="311"/>
      <c r="C22" s="309"/>
      <c r="D22" s="21"/>
      <c r="E22" s="21"/>
    </row>
    <row r="23" spans="1:5">
      <c r="A23" s="307"/>
      <c r="B23" s="311"/>
      <c r="C23" s="309"/>
      <c r="D23" s="21"/>
      <c r="E23" s="21"/>
    </row>
    <row r="24" spans="1:5">
      <c r="A24" s="307"/>
      <c r="B24" s="311"/>
      <c r="C24" s="309"/>
      <c r="D24" s="21"/>
      <c r="E24" s="21"/>
    </row>
    <row r="25" spans="1:5">
      <c r="A25" s="307"/>
      <c r="B25" s="311"/>
      <c r="C25" s="309"/>
      <c r="D25" s="21"/>
      <c r="E25" s="21"/>
    </row>
    <row r="26" spans="1:5">
      <c r="A26" s="307"/>
      <c r="B26" s="311"/>
      <c r="C26" s="309"/>
      <c r="D26" s="21"/>
      <c r="E26" s="21"/>
    </row>
    <row r="27" spans="1:5">
      <c r="A27" s="307"/>
      <c r="B27" s="311"/>
      <c r="C27" s="309"/>
      <c r="D27" s="21"/>
      <c r="E27" s="21"/>
    </row>
    <row r="28" spans="1:5">
      <c r="A28" s="307"/>
      <c r="B28" s="311"/>
      <c r="C28" s="309"/>
      <c r="D28" s="21"/>
      <c r="E28" s="21"/>
    </row>
    <row r="29" spans="1:5">
      <c r="A29" s="52" t="s">
        <v>264</v>
      </c>
      <c r="B29" s="320"/>
      <c r="C29" s="309"/>
      <c r="D29" s="309"/>
      <c r="E29" s="309"/>
    </row>
    <row r="30" spans="1:5">
      <c r="A30" s="52" t="s">
        <v>266</v>
      </c>
      <c r="B30" s="320"/>
      <c r="C30" s="345" t="str">
        <f>IF(C31*0.1&lt;C29,"Exceed 10% Rule","")</f>
        <v/>
      </c>
      <c r="D30" s="345" t="str">
        <f>IF(D31*0.1&lt;D29,"Exceed 10% Rule","")</f>
        <v/>
      </c>
      <c r="E30" s="345" t="str">
        <f>IF(E31*0.1&lt;E29,"Exceed 10% Rule","")</f>
        <v/>
      </c>
    </row>
    <row r="31" spans="1:5">
      <c r="A31" s="210" t="s">
        <v>44</v>
      </c>
      <c r="B31" s="310"/>
      <c r="C31" s="410">
        <f>SUM(C22:C29)</f>
        <v>0</v>
      </c>
      <c r="D31" s="294">
        <f>SUM(D22:D29)</f>
        <v>0</v>
      </c>
      <c r="E31" s="294">
        <f>SUM(E22:E29)</f>
        <v>0</v>
      </c>
    </row>
    <row r="32" spans="1:5">
      <c r="A32" s="50" t="s">
        <v>135</v>
      </c>
      <c r="B32" s="310"/>
      <c r="C32" s="354">
        <f>C20-C31</f>
        <v>0</v>
      </c>
      <c r="D32" s="267">
        <f>D20-D31</f>
        <v>0</v>
      </c>
      <c r="E32" s="267">
        <f>E20-E31</f>
        <v>0</v>
      </c>
    </row>
    <row r="33" spans="1:5">
      <c r="A33" s="80" t="str">
        <f>CONCATENATE("",F3-2,"/",F3-1," Budget Authority Amount:")</f>
        <v>2008/2009 Budget Authority Amount:</v>
      </c>
      <c r="B33" s="328"/>
      <c r="C33" s="328">
        <f>inputOth!B113</f>
        <v>0</v>
      </c>
      <c r="D33" s="328">
        <f>inputPrYr!D30</f>
        <v>0</v>
      </c>
      <c r="E33" s="411" t="str">
        <f>IF(E32&lt;0,"Budget Violation","")</f>
        <v/>
      </c>
    </row>
    <row r="34" spans="1:5">
      <c r="A34" s="80" t="str">
        <f>CONCATENATE("Violation of Budget Law for ",F3-2,"/",F3-1,":")</f>
        <v>Violation of Budget Law for 2008/2009:</v>
      </c>
      <c r="B34" s="329"/>
      <c r="C34" s="329" t="str">
        <f>IF(C31&gt;C33,"Yes","No")</f>
        <v>No</v>
      </c>
      <c r="D34" s="329" t="str">
        <f>IF(D31&gt;D33,"Yes","No")</f>
        <v>No</v>
      </c>
      <c r="E34" s="66"/>
    </row>
    <row r="35" spans="1:5">
      <c r="A35" s="80" t="str">
        <f>CONCATENATE("Possible Cash Violation for ",F3-2,":")</f>
        <v>Possible Cash Violation for 2008:</v>
      </c>
      <c r="B35" s="329"/>
      <c r="C35" s="329" t="str">
        <f>IF(C32&lt;0,"Yes","No")</f>
        <v>No</v>
      </c>
      <c r="D35" s="66"/>
      <c r="E35" s="66"/>
    </row>
    <row r="36" spans="1:5">
      <c r="A36" s="67"/>
      <c r="B36" s="67"/>
      <c r="C36" s="86"/>
      <c r="D36" s="86"/>
      <c r="E36" s="86"/>
    </row>
    <row r="37" spans="1:5">
      <c r="A37" s="67"/>
      <c r="B37" s="67"/>
      <c r="C37" s="86"/>
      <c r="D37" s="86"/>
      <c r="E37" s="86"/>
    </row>
    <row r="38" spans="1:5">
      <c r="A38" s="67"/>
      <c r="B38" s="67"/>
      <c r="C38" s="73"/>
      <c r="D38" s="73"/>
      <c r="E38" s="73"/>
    </row>
    <row r="39" spans="1:5">
      <c r="A39" s="85" t="s">
        <v>34</v>
      </c>
      <c r="B39" s="85"/>
      <c r="C39" s="77" t="s">
        <v>329</v>
      </c>
      <c r="D39" s="78" t="s">
        <v>331</v>
      </c>
      <c r="E39" s="78" t="s">
        <v>332</v>
      </c>
    </row>
    <row r="40" spans="1:5">
      <c r="A40" s="59">
        <f>inputPrYr!B31</f>
        <v>0</v>
      </c>
      <c r="B40" s="59"/>
      <c r="C40" s="204" t="str">
        <f>C6</f>
        <v>Actual 2008</v>
      </c>
      <c r="D40" s="204" t="str">
        <f>D6</f>
        <v>Estimate 2009</v>
      </c>
      <c r="E40" s="204" t="str">
        <f>E6</f>
        <v>Year 2010</v>
      </c>
    </row>
    <row r="41" spans="1:5">
      <c r="A41" s="50" t="s">
        <v>134</v>
      </c>
      <c r="B41" s="310"/>
      <c r="C41" s="355"/>
      <c r="D41" s="51">
        <f>C66</f>
        <v>0</v>
      </c>
      <c r="E41" s="51">
        <f>D66</f>
        <v>0</v>
      </c>
    </row>
    <row r="42" spans="1:5">
      <c r="A42" s="160" t="s">
        <v>136</v>
      </c>
      <c r="B42" s="310"/>
      <c r="C42" s="47"/>
      <c r="D42" s="49"/>
      <c r="E42" s="49"/>
    </row>
    <row r="43" spans="1:5">
      <c r="A43" s="307"/>
      <c r="B43" s="311"/>
      <c r="C43" s="309"/>
      <c r="D43" s="21"/>
      <c r="E43" s="21"/>
    </row>
    <row r="44" spans="1:5">
      <c r="A44" s="307"/>
      <c r="B44" s="311"/>
      <c r="C44" s="309"/>
      <c r="D44" s="21"/>
      <c r="E44" s="21"/>
    </row>
    <row r="45" spans="1:5">
      <c r="A45" s="307"/>
      <c r="B45" s="311"/>
      <c r="C45" s="309"/>
      <c r="D45" s="21"/>
      <c r="E45" s="21"/>
    </row>
    <row r="46" spans="1:5">
      <c r="A46" s="307"/>
      <c r="B46" s="311"/>
      <c r="C46" s="309"/>
      <c r="D46" s="21"/>
      <c r="E46" s="21"/>
    </row>
    <row r="47" spans="1:5">
      <c r="A47" s="307"/>
      <c r="B47" s="311"/>
      <c r="C47" s="309"/>
      <c r="D47" s="21"/>
      <c r="E47" s="21"/>
    </row>
    <row r="48" spans="1:5">
      <c r="A48" s="307"/>
      <c r="B48" s="311"/>
      <c r="C48" s="309"/>
      <c r="D48" s="21"/>
      <c r="E48" s="21"/>
    </row>
    <row r="49" spans="1:5">
      <c r="A49" s="307"/>
      <c r="B49" s="311"/>
      <c r="C49" s="309"/>
      <c r="D49" s="21"/>
      <c r="E49" s="21"/>
    </row>
    <row r="50" spans="1:5">
      <c r="A50" s="308" t="s">
        <v>40</v>
      </c>
      <c r="B50" s="311"/>
      <c r="C50" s="309"/>
      <c r="D50" s="21"/>
      <c r="E50" s="21"/>
    </row>
    <row r="51" spans="1:5">
      <c r="A51" s="346" t="s">
        <v>264</v>
      </c>
      <c r="B51" s="320"/>
      <c r="C51" s="309"/>
      <c r="D51" s="309"/>
      <c r="E51" s="309"/>
    </row>
    <row r="52" spans="1:5">
      <c r="A52" s="346" t="s">
        <v>265</v>
      </c>
      <c r="B52" s="320"/>
      <c r="C52" s="345" t="str">
        <f>IF(C53*0.1&lt;C51,"Exceed 10% Rule","")</f>
        <v/>
      </c>
      <c r="D52" s="345" t="str">
        <f>IF(D53*0.1&lt;D51,"Exceed 10% Rule","")</f>
        <v/>
      </c>
      <c r="E52" s="345" t="str">
        <f>IF(E53*0.1&lt;E51,"Exceed 10% Rule","")</f>
        <v/>
      </c>
    </row>
    <row r="53" spans="1:5">
      <c r="A53" s="210" t="s">
        <v>41</v>
      </c>
      <c r="B53" s="310"/>
      <c r="C53" s="410">
        <f>SUM(C43:C51)</f>
        <v>0</v>
      </c>
      <c r="D53" s="294">
        <f>SUM(D43:D51)</f>
        <v>0</v>
      </c>
      <c r="E53" s="294">
        <f>SUM(E43:E51)</f>
        <v>0</v>
      </c>
    </row>
    <row r="54" spans="1:5">
      <c r="A54" s="210" t="s">
        <v>42</v>
      </c>
      <c r="B54" s="310"/>
      <c r="C54" s="410">
        <f>C53+C41</f>
        <v>0</v>
      </c>
      <c r="D54" s="294">
        <f>D53+D41</f>
        <v>0</v>
      </c>
      <c r="E54" s="294">
        <f>E53+E41</f>
        <v>0</v>
      </c>
    </row>
    <row r="55" spans="1:5">
      <c r="A55" s="50" t="s">
        <v>43</v>
      </c>
      <c r="B55" s="310"/>
      <c r="C55" s="47"/>
      <c r="D55" s="49"/>
      <c r="E55" s="49"/>
    </row>
    <row r="56" spans="1:5">
      <c r="A56" s="307"/>
      <c r="B56" s="311"/>
      <c r="C56" s="309"/>
      <c r="D56" s="21"/>
      <c r="E56" s="21"/>
    </row>
    <row r="57" spans="1:5">
      <c r="A57" s="307"/>
      <c r="B57" s="311"/>
      <c r="C57" s="309"/>
      <c r="D57" s="21"/>
      <c r="E57" s="21"/>
    </row>
    <row r="58" spans="1:5">
      <c r="A58" s="307"/>
      <c r="B58" s="311"/>
      <c r="C58" s="309"/>
      <c r="D58" s="21"/>
      <c r="E58" s="21"/>
    </row>
    <row r="59" spans="1:5">
      <c r="A59" s="307"/>
      <c r="B59" s="311"/>
      <c r="C59" s="309"/>
      <c r="D59" s="21"/>
      <c r="E59" s="21"/>
    </row>
    <row r="60" spans="1:5">
      <c r="A60" s="307"/>
      <c r="B60" s="311"/>
      <c r="C60" s="309"/>
      <c r="D60" s="21"/>
      <c r="E60" s="21"/>
    </row>
    <row r="61" spans="1:5">
      <c r="A61" s="307"/>
      <c r="B61" s="311"/>
      <c r="C61" s="309"/>
      <c r="D61" s="21"/>
      <c r="E61" s="21"/>
    </row>
    <row r="62" spans="1:5">
      <c r="A62" s="307"/>
      <c r="B62" s="311"/>
      <c r="C62" s="309"/>
      <c r="D62" s="21"/>
      <c r="E62" s="21"/>
    </row>
    <row r="63" spans="1:5">
      <c r="A63" s="52" t="s">
        <v>264</v>
      </c>
      <c r="B63" s="320"/>
      <c r="C63" s="309"/>
      <c r="D63" s="309"/>
      <c r="E63" s="309"/>
    </row>
    <row r="64" spans="1:5">
      <c r="A64" s="52" t="s">
        <v>266</v>
      </c>
      <c r="B64" s="320"/>
      <c r="C64" s="345" t="str">
        <f>IF(C65*0.1&lt;C63,"Exceed 10% Rule","")</f>
        <v/>
      </c>
      <c r="D64" s="345" t="str">
        <f>IF(D65*0.1&lt;D63,"Exceed 10% Rule","")</f>
        <v/>
      </c>
      <c r="E64" s="345" t="str">
        <f>IF(E65*0.1&lt;E63,"Exceed 10% Rule","")</f>
        <v/>
      </c>
    </row>
    <row r="65" spans="1:5">
      <c r="A65" s="210" t="s">
        <v>44</v>
      </c>
      <c r="B65" s="310"/>
      <c r="C65" s="410">
        <f>SUM(C56:C63)</f>
        <v>0</v>
      </c>
      <c r="D65" s="294">
        <f>SUM(D56:D63)</f>
        <v>0</v>
      </c>
      <c r="E65" s="294">
        <f>SUM(E56:E63)</f>
        <v>0</v>
      </c>
    </row>
    <row r="66" spans="1:5">
      <c r="A66" s="50" t="s">
        <v>135</v>
      </c>
      <c r="B66" s="310"/>
      <c r="C66" s="354">
        <f>C54-C65</f>
        <v>0</v>
      </c>
      <c r="D66" s="267">
        <f>D54-D65</f>
        <v>0</v>
      </c>
      <c r="E66" s="267">
        <f>E54-E65</f>
        <v>0</v>
      </c>
    </row>
    <row r="67" spans="1:5">
      <c r="A67" s="80" t="str">
        <f>CONCATENATE("",F3-2,"/",F3-1," Budget Authority Amount:")</f>
        <v>2008/2009 Budget Authority Amount:</v>
      </c>
      <c r="B67" s="328"/>
      <c r="C67" s="328">
        <f>inputOth!B114</f>
        <v>0</v>
      </c>
      <c r="D67" s="328">
        <f>inputPrYr!D31</f>
        <v>0</v>
      </c>
      <c r="E67" s="412" t="str">
        <f>IF(E66&lt;0,"Budget Violation","")</f>
        <v/>
      </c>
    </row>
    <row r="68" spans="1:5">
      <c r="A68" s="80" t="str">
        <f>CONCATENATE("Violation of Budget Law for ",F3-2,"/",F3-1,":")</f>
        <v>Violation of Budget Law for 2008/2009:</v>
      </c>
      <c r="B68" s="329"/>
      <c r="C68" s="329" t="str">
        <f>IF(C65&gt;C67,"Yes","No")</f>
        <v>No</v>
      </c>
      <c r="D68" s="329" t="str">
        <f>IF(D65&gt;D67,"Yes","No")</f>
        <v>No</v>
      </c>
      <c r="E68" s="32"/>
    </row>
    <row r="69" spans="1:5">
      <c r="A69" s="80" t="str">
        <f>CONCATENATE("Possible Cash Violation for ",F3-2,":")</f>
        <v>Possible Cash Violation for 2008:</v>
      </c>
      <c r="B69" s="329"/>
      <c r="C69" s="329" t="str">
        <f>IF(C66&lt;0,"Yes","No")</f>
        <v>No</v>
      </c>
      <c r="D69" s="66"/>
      <c r="E69" s="32"/>
    </row>
    <row r="70" spans="1:5">
      <c r="A70" s="32"/>
      <c r="B70" s="32"/>
      <c r="C70" s="32"/>
      <c r="D70" s="83"/>
      <c r="E70" s="83"/>
    </row>
    <row r="71" spans="1:5">
      <c r="A71" s="80"/>
      <c r="B71" s="80" t="s">
        <v>47</v>
      </c>
      <c r="C71" s="211"/>
      <c r="D71" s="32"/>
      <c r="E71" s="32"/>
    </row>
  </sheetData>
  <sheetProtection sheet="1" objects="1" scenarios="1"/>
  <phoneticPr fontId="0" type="noConversion"/>
  <conditionalFormatting sqref="C29">
    <cfRule type="cellIs" dxfId="16" priority="1" stopIfTrue="1" operator="greaterThan">
      <formula>$C$31*0.1</formula>
    </cfRule>
  </conditionalFormatting>
  <conditionalFormatting sqref="D29">
    <cfRule type="cellIs" dxfId="15" priority="2" stopIfTrue="1" operator="greaterThan">
      <formula>$D$31*0.1</formula>
    </cfRule>
  </conditionalFormatting>
  <conditionalFormatting sqref="E29">
    <cfRule type="cellIs" dxfId="14" priority="3" stopIfTrue="1" operator="greaterThan">
      <formula>$E$31*0.1</formula>
    </cfRule>
  </conditionalFormatting>
  <conditionalFormatting sqref="C63">
    <cfRule type="cellIs" dxfId="13" priority="4" stopIfTrue="1" operator="greaterThan">
      <formula>$C$65*0.1</formula>
    </cfRule>
  </conditionalFormatting>
  <conditionalFormatting sqref="D63">
    <cfRule type="cellIs" dxfId="12" priority="5" stopIfTrue="1" operator="greaterThan">
      <formula>$D$65*0.1</formula>
    </cfRule>
  </conditionalFormatting>
  <conditionalFormatting sqref="E63">
    <cfRule type="cellIs" dxfId="11" priority="6" stopIfTrue="1" operator="greaterThan">
      <formula>$E$65*0.1</formula>
    </cfRule>
  </conditionalFormatting>
  <conditionalFormatting sqref="C51">
    <cfRule type="cellIs" dxfId="10" priority="7" stopIfTrue="1" operator="greaterThan">
      <formula>$C$53*0.1</formula>
    </cfRule>
  </conditionalFormatting>
  <conditionalFormatting sqref="D51">
    <cfRule type="cellIs" dxfId="9" priority="8" stopIfTrue="1" operator="greaterThan">
      <formula>$D$53*0.1</formula>
    </cfRule>
  </conditionalFormatting>
  <conditionalFormatting sqref="E51">
    <cfRule type="cellIs" dxfId="8" priority="9" stopIfTrue="1" operator="greaterThan">
      <formula>$E$53*0.1</formula>
    </cfRule>
  </conditionalFormatting>
  <conditionalFormatting sqref="C17">
    <cfRule type="cellIs" dxfId="7" priority="10" stopIfTrue="1" operator="greaterThan">
      <formula>$C$19*0.1</formula>
    </cfRule>
  </conditionalFormatting>
  <conditionalFormatting sqref="D17">
    <cfRule type="cellIs" dxfId="6" priority="11" stopIfTrue="1" operator="greaterThan">
      <formula>$D$19*0.1</formula>
    </cfRule>
  </conditionalFormatting>
  <conditionalFormatting sqref="E17">
    <cfRule type="cellIs" dxfId="5" priority="12" stopIfTrue="1" operator="greaterThan">
      <formula>$E$19*0.1</formula>
    </cfRule>
  </conditionalFormatting>
  <conditionalFormatting sqref="E66 C66 E32 C32">
    <cfRule type="cellIs" dxfId="4" priority="13" stopIfTrue="1" operator="lessThan">
      <formula>0</formula>
    </cfRule>
  </conditionalFormatting>
  <conditionalFormatting sqref="C65">
    <cfRule type="cellIs" dxfId="3" priority="14" stopIfTrue="1" operator="greaterThan">
      <formula>$C$67</formula>
    </cfRule>
  </conditionalFormatting>
  <conditionalFormatting sqref="D65">
    <cfRule type="cellIs" dxfId="2" priority="15" stopIfTrue="1" operator="greaterThan">
      <formula>$D$67</formula>
    </cfRule>
  </conditionalFormatting>
  <conditionalFormatting sqref="C31">
    <cfRule type="cellIs" dxfId="1" priority="16" stopIfTrue="1" operator="greaterThan">
      <formula>$C$33</formula>
    </cfRule>
  </conditionalFormatting>
  <conditionalFormatting sqref="D31">
    <cfRule type="cellIs" dxfId="0" priority="17" stopIfTrue="1" operator="greaterThan">
      <formula>$D$33</formula>
    </cfRule>
  </conditionalFormatting>
  <pageMargins left="1" right="1" top="0.5" bottom="0.5" header="0.5" footer="0.5"/>
  <pageSetup scale="57" orientation="portrait" blackAndWhite="1" horizontalDpi="120" verticalDpi="144" r:id="rId1"/>
  <headerFooter alignWithMargins="0">
    <oddHeader xml:space="preserve">&amp;RState of Kansas
Special District
</oddHeader>
    <oddFooter>&amp;Lrevised 10/24/08</oddFooter>
  </headerFooter>
</worksheet>
</file>

<file path=xl/worksheets/sheet14.xml><?xml version="1.0" encoding="utf-8"?>
<worksheet xmlns="http://schemas.openxmlformats.org/spreadsheetml/2006/main" xmlns:r="http://schemas.openxmlformats.org/officeDocument/2006/relationships">
  <sheetPr>
    <pageSetUpPr fitToPage="1"/>
  </sheetPr>
  <dimension ref="A1:L41"/>
  <sheetViews>
    <sheetView workbookViewId="0">
      <selection activeCell="J13" sqref="J13"/>
    </sheetView>
  </sheetViews>
  <sheetFormatPr defaultRowHeight="15.75"/>
  <cols>
    <col min="1" max="1" width="11.5546875" style="1" customWidth="1"/>
    <col min="2" max="2" width="7.44140625" style="1" customWidth="1"/>
    <col min="3" max="3" width="11.5546875" style="1" customWidth="1"/>
    <col min="4" max="4" width="7.44140625" style="1" customWidth="1"/>
    <col min="5" max="5" width="11.5546875" style="1" customWidth="1"/>
    <col min="6" max="6" width="7.44140625" style="1" customWidth="1"/>
    <col min="7" max="7" width="11.5546875" style="1" customWidth="1"/>
    <col min="8" max="8" width="7.44140625" style="1" customWidth="1"/>
    <col min="9" max="9" width="11.5546875" style="1" customWidth="1"/>
    <col min="10" max="16384" width="8.88671875" style="1"/>
  </cols>
  <sheetData>
    <row r="1" spans="1:11">
      <c r="A1" s="147" t="str">
        <f>inputPrYr!$D$3</f>
        <v>Fairview</v>
      </c>
      <c r="B1" s="363"/>
      <c r="C1" s="63"/>
      <c r="D1" s="63"/>
      <c r="E1" s="63"/>
      <c r="F1" s="364" t="s">
        <v>337</v>
      </c>
      <c r="G1" s="63"/>
      <c r="H1" s="63"/>
      <c r="I1" s="63"/>
      <c r="J1" s="63"/>
      <c r="K1" s="63">
        <f>inputPrYr!$D$11</f>
        <v>2010</v>
      </c>
    </row>
    <row r="2" spans="1:11">
      <c r="A2" s="63"/>
      <c r="B2" s="63"/>
      <c r="C2" s="63"/>
      <c r="D2" s="63"/>
      <c r="E2" s="63"/>
      <c r="F2" s="365" t="str">
        <f>CONCATENATE("(Only the actual budget year for ",K1-2," is to be shown)")</f>
        <v>(Only the actual budget year for 2008 is to be shown)</v>
      </c>
      <c r="G2" s="63"/>
      <c r="H2" s="63"/>
      <c r="I2" s="63"/>
      <c r="J2" s="63"/>
      <c r="K2" s="63"/>
    </row>
    <row r="3" spans="1:11">
      <c r="A3" s="63" t="s">
        <v>338</v>
      </c>
      <c r="B3" s="63"/>
      <c r="C3" s="63"/>
      <c r="D3" s="63"/>
      <c r="E3" s="63"/>
      <c r="F3" s="363"/>
      <c r="G3" s="63"/>
      <c r="H3" s="63"/>
      <c r="I3" s="63"/>
      <c r="J3" s="63"/>
      <c r="K3" s="63"/>
    </row>
    <row r="4" spans="1:11">
      <c r="A4" s="63" t="s">
        <v>339</v>
      </c>
      <c r="B4" s="63"/>
      <c r="C4" s="63" t="s">
        <v>340</v>
      </c>
      <c r="D4" s="63"/>
      <c r="E4" s="63" t="s">
        <v>341</v>
      </c>
      <c r="F4" s="363"/>
      <c r="G4" s="63" t="s">
        <v>342</v>
      </c>
      <c r="H4" s="63"/>
      <c r="I4" s="63" t="s">
        <v>343</v>
      </c>
      <c r="J4" s="63"/>
      <c r="K4" s="63"/>
    </row>
    <row r="5" spans="1:11">
      <c r="A5" s="489">
        <f>inputPrYr!B34</f>
        <v>0</v>
      </c>
      <c r="B5" s="490"/>
      <c r="C5" s="489">
        <f>inputPrYr!B35</f>
        <v>0</v>
      </c>
      <c r="D5" s="490"/>
      <c r="E5" s="489">
        <f>inputPrYr!B36</f>
        <v>0</v>
      </c>
      <c r="F5" s="490"/>
      <c r="G5" s="489">
        <f>inputPrYr!B37</f>
        <v>0</v>
      </c>
      <c r="H5" s="490"/>
      <c r="I5" s="489">
        <f>inputPrYr!B38</f>
        <v>0</v>
      </c>
      <c r="J5" s="490"/>
      <c r="K5" s="366"/>
    </row>
    <row r="6" spans="1:11">
      <c r="A6" s="367" t="s">
        <v>344</v>
      </c>
      <c r="B6" s="368"/>
      <c r="C6" s="369" t="s">
        <v>344</v>
      </c>
      <c r="D6" s="370"/>
      <c r="E6" s="369" t="s">
        <v>344</v>
      </c>
      <c r="F6" s="371"/>
      <c r="G6" s="369" t="s">
        <v>344</v>
      </c>
      <c r="H6" s="372"/>
      <c r="I6" s="369" t="s">
        <v>344</v>
      </c>
      <c r="J6" s="63"/>
      <c r="K6" s="373" t="s">
        <v>14</v>
      </c>
    </row>
    <row r="7" spans="1:11">
      <c r="A7" s="374" t="s">
        <v>345</v>
      </c>
      <c r="B7" s="375"/>
      <c r="C7" s="376" t="s">
        <v>345</v>
      </c>
      <c r="D7" s="375"/>
      <c r="E7" s="376" t="s">
        <v>345</v>
      </c>
      <c r="F7" s="375"/>
      <c r="G7" s="376" t="s">
        <v>345</v>
      </c>
      <c r="H7" s="375"/>
      <c r="I7" s="376" t="s">
        <v>345</v>
      </c>
      <c r="J7" s="375"/>
      <c r="K7" s="377">
        <f>SUM(B7+D7+F7+H7+J7)</f>
        <v>0</v>
      </c>
    </row>
    <row r="8" spans="1:11">
      <c r="A8" s="378" t="s">
        <v>136</v>
      </c>
      <c r="B8" s="379"/>
      <c r="C8" s="378" t="s">
        <v>136</v>
      </c>
      <c r="D8" s="380"/>
      <c r="E8" s="378" t="s">
        <v>136</v>
      </c>
      <c r="F8" s="363"/>
      <c r="G8" s="378" t="s">
        <v>136</v>
      </c>
      <c r="H8" s="63"/>
      <c r="I8" s="378" t="s">
        <v>136</v>
      </c>
      <c r="J8" s="63"/>
      <c r="K8" s="363"/>
    </row>
    <row r="9" spans="1:11">
      <c r="A9" s="381"/>
      <c r="B9" s="375"/>
      <c r="C9" s="381"/>
      <c r="D9" s="375"/>
      <c r="E9" s="381"/>
      <c r="F9" s="375"/>
      <c r="G9" s="381"/>
      <c r="H9" s="375"/>
      <c r="I9" s="381"/>
      <c r="J9" s="375"/>
      <c r="K9" s="363"/>
    </row>
    <row r="10" spans="1:11">
      <c r="A10" s="381"/>
      <c r="B10" s="375"/>
      <c r="C10" s="381"/>
      <c r="D10" s="375"/>
      <c r="E10" s="381"/>
      <c r="F10" s="375"/>
      <c r="G10" s="381"/>
      <c r="H10" s="375"/>
      <c r="I10" s="381"/>
      <c r="J10" s="375"/>
      <c r="K10" s="363"/>
    </row>
    <row r="11" spans="1:11">
      <c r="A11" s="381"/>
      <c r="B11" s="375"/>
      <c r="C11" s="382"/>
      <c r="D11" s="383"/>
      <c r="E11" s="382"/>
      <c r="F11" s="375"/>
      <c r="G11" s="382"/>
      <c r="H11" s="375"/>
      <c r="I11" s="384"/>
      <c r="J11" s="375"/>
      <c r="K11" s="363"/>
    </row>
    <row r="12" spans="1:11">
      <c r="A12" s="381"/>
      <c r="B12" s="385"/>
      <c r="C12" s="381"/>
      <c r="D12" s="386"/>
      <c r="E12" s="387"/>
      <c r="F12" s="375"/>
      <c r="G12" s="387"/>
      <c r="H12" s="375"/>
      <c r="I12" s="387"/>
      <c r="J12" s="375"/>
      <c r="K12" s="363"/>
    </row>
    <row r="13" spans="1:11">
      <c r="A13" s="388"/>
      <c r="B13" s="389"/>
      <c r="C13" s="390"/>
      <c r="D13" s="386"/>
      <c r="E13" s="390"/>
      <c r="F13" s="375"/>
      <c r="G13" s="390"/>
      <c r="H13" s="375"/>
      <c r="I13" s="384"/>
      <c r="J13" s="375"/>
      <c r="K13" s="363"/>
    </row>
    <row r="14" spans="1:11">
      <c r="A14" s="381"/>
      <c r="B14" s="375"/>
      <c r="C14" s="387"/>
      <c r="D14" s="386"/>
      <c r="E14" s="387"/>
      <c r="F14" s="375"/>
      <c r="G14" s="387"/>
      <c r="H14" s="375"/>
      <c r="I14" s="387"/>
      <c r="J14" s="375"/>
      <c r="K14" s="363"/>
    </row>
    <row r="15" spans="1:11">
      <c r="A15" s="381"/>
      <c r="B15" s="375"/>
      <c r="C15" s="387"/>
      <c r="D15" s="386"/>
      <c r="E15" s="387"/>
      <c r="F15" s="375"/>
      <c r="G15" s="387"/>
      <c r="H15" s="375"/>
      <c r="I15" s="387"/>
      <c r="J15" s="375"/>
      <c r="K15" s="363"/>
    </row>
    <row r="16" spans="1:11">
      <c r="A16" s="381"/>
      <c r="B16" s="389"/>
      <c r="C16" s="381"/>
      <c r="D16" s="386"/>
      <c r="E16" s="381"/>
      <c r="F16" s="375"/>
      <c r="G16" s="387"/>
      <c r="H16" s="375"/>
      <c r="I16" s="381"/>
      <c r="J16" s="375"/>
      <c r="K16" s="363"/>
    </row>
    <row r="17" spans="1:12">
      <c r="A17" s="378" t="s">
        <v>41</v>
      </c>
      <c r="B17" s="377">
        <f>SUM(B9:B16)</f>
        <v>0</v>
      </c>
      <c r="C17" s="378" t="s">
        <v>41</v>
      </c>
      <c r="D17" s="377">
        <f>SUM(D9:D16)</f>
        <v>0</v>
      </c>
      <c r="E17" s="378" t="s">
        <v>41</v>
      </c>
      <c r="F17" s="391">
        <f>SUM(F9:F16)</f>
        <v>0</v>
      </c>
      <c r="G17" s="378" t="s">
        <v>41</v>
      </c>
      <c r="H17" s="377">
        <f>SUM(H9:H16)</f>
        <v>0</v>
      </c>
      <c r="I17" s="378" t="s">
        <v>41</v>
      </c>
      <c r="J17" s="377">
        <f>SUM(J9:J16)</f>
        <v>0</v>
      </c>
      <c r="K17" s="377">
        <f>SUM(B17+D17+F17+H17+J17)</f>
        <v>0</v>
      </c>
    </row>
    <row r="18" spans="1:12">
      <c r="A18" s="378" t="s">
        <v>42</v>
      </c>
      <c r="B18" s="377">
        <f>SUM(B7+B17)</f>
        <v>0</v>
      </c>
      <c r="C18" s="378" t="s">
        <v>42</v>
      </c>
      <c r="D18" s="377">
        <f>SUM(D7+D17)</f>
        <v>0</v>
      </c>
      <c r="E18" s="378" t="s">
        <v>42</v>
      </c>
      <c r="F18" s="377">
        <f>SUM(F7+F17)</f>
        <v>0</v>
      </c>
      <c r="G18" s="378" t="s">
        <v>42</v>
      </c>
      <c r="H18" s="377">
        <f>SUM(H7+H17)</f>
        <v>0</v>
      </c>
      <c r="I18" s="378" t="s">
        <v>42</v>
      </c>
      <c r="J18" s="377">
        <f>SUM(J7+J17)</f>
        <v>0</v>
      </c>
      <c r="K18" s="377">
        <f>SUM(B18+D18+F18+H18+J18)</f>
        <v>0</v>
      </c>
    </row>
    <row r="19" spans="1:12">
      <c r="A19" s="378" t="s">
        <v>43</v>
      </c>
      <c r="B19" s="379"/>
      <c r="C19" s="378" t="s">
        <v>43</v>
      </c>
      <c r="D19" s="380"/>
      <c r="E19" s="378" t="s">
        <v>43</v>
      </c>
      <c r="F19" s="363"/>
      <c r="G19" s="378" t="s">
        <v>43</v>
      </c>
      <c r="H19" s="63"/>
      <c r="I19" s="378" t="s">
        <v>43</v>
      </c>
      <c r="J19" s="63"/>
      <c r="K19" s="363"/>
    </row>
    <row r="20" spans="1:12">
      <c r="A20" s="381"/>
      <c r="B20" s="375"/>
      <c r="C20" s="387"/>
      <c r="D20" s="375"/>
      <c r="E20" s="387"/>
      <c r="F20" s="375"/>
      <c r="G20" s="387"/>
      <c r="H20" s="375"/>
      <c r="I20" s="387"/>
      <c r="J20" s="375"/>
      <c r="K20" s="363"/>
    </row>
    <row r="21" spans="1:12">
      <c r="A21" s="381"/>
      <c r="B21" s="375"/>
      <c r="C21" s="387"/>
      <c r="D21" s="375"/>
      <c r="E21" s="387"/>
      <c r="F21" s="375"/>
      <c r="G21" s="387"/>
      <c r="H21" s="375"/>
      <c r="I21" s="387"/>
      <c r="J21" s="375"/>
      <c r="K21" s="363"/>
    </row>
    <row r="22" spans="1:12">
      <c r="A22" s="381"/>
      <c r="B22" s="375"/>
      <c r="C22" s="390"/>
      <c r="D22" s="375"/>
      <c r="E22" s="390"/>
      <c r="F22" s="375"/>
      <c r="G22" s="390"/>
      <c r="H22" s="375"/>
      <c r="I22" s="384"/>
      <c r="J22" s="375"/>
      <c r="K22" s="363"/>
    </row>
    <row r="23" spans="1:12">
      <c r="A23" s="381"/>
      <c r="B23" s="375"/>
      <c r="C23" s="387"/>
      <c r="D23" s="375"/>
      <c r="E23" s="387"/>
      <c r="F23" s="375"/>
      <c r="G23" s="387"/>
      <c r="H23" s="375"/>
      <c r="I23" s="387"/>
      <c r="J23" s="375"/>
      <c r="K23" s="363"/>
    </row>
    <row r="24" spans="1:12">
      <c r="A24" s="381"/>
      <c r="B24" s="375"/>
      <c r="C24" s="390"/>
      <c r="D24" s="375"/>
      <c r="E24" s="390"/>
      <c r="F24" s="375"/>
      <c r="G24" s="390"/>
      <c r="H24" s="375"/>
      <c r="I24" s="384"/>
      <c r="J24" s="375"/>
      <c r="K24" s="363"/>
    </row>
    <row r="25" spans="1:12">
      <c r="A25" s="381"/>
      <c r="B25" s="375"/>
      <c r="C25" s="387"/>
      <c r="D25" s="375"/>
      <c r="E25" s="387"/>
      <c r="F25" s="375"/>
      <c r="G25" s="387"/>
      <c r="H25" s="375"/>
      <c r="I25" s="387"/>
      <c r="J25" s="375"/>
      <c r="K25" s="363"/>
    </row>
    <row r="26" spans="1:12">
      <c r="A26" s="381"/>
      <c r="B26" s="375"/>
      <c r="C26" s="387"/>
      <c r="D26" s="375"/>
      <c r="E26" s="387"/>
      <c r="F26" s="375"/>
      <c r="G26" s="387"/>
      <c r="H26" s="375"/>
      <c r="I26" s="387"/>
      <c r="J26" s="375"/>
      <c r="K26" s="363"/>
    </row>
    <row r="27" spans="1:12">
      <c r="A27" s="381"/>
      <c r="B27" s="375"/>
      <c r="C27" s="381"/>
      <c r="D27" s="375"/>
      <c r="E27" s="381"/>
      <c r="F27" s="375"/>
      <c r="G27" s="387"/>
      <c r="H27" s="375"/>
      <c r="I27" s="387"/>
      <c r="J27" s="375"/>
      <c r="K27" s="363"/>
    </row>
    <row r="28" spans="1:12">
      <c r="A28" s="378" t="s">
        <v>44</v>
      </c>
      <c r="B28" s="377">
        <f>SUM(B20:B27)</f>
        <v>0</v>
      </c>
      <c r="C28" s="378" t="s">
        <v>44</v>
      </c>
      <c r="D28" s="392">
        <f>SUM(D20:D27)</f>
        <v>0</v>
      </c>
      <c r="E28" s="378" t="s">
        <v>44</v>
      </c>
      <c r="F28" s="393">
        <f>SUM(F20:F27)</f>
        <v>0</v>
      </c>
      <c r="G28" s="378" t="s">
        <v>44</v>
      </c>
      <c r="H28" s="393">
        <f>SUM(H20:H27)</f>
        <v>0</v>
      </c>
      <c r="I28" s="378" t="s">
        <v>44</v>
      </c>
      <c r="J28" s="392">
        <f>SUM(J20:J27)</f>
        <v>0</v>
      </c>
      <c r="K28" s="377">
        <f>SUM(B28+D28+F28+H28+J28)</f>
        <v>0</v>
      </c>
    </row>
    <row r="29" spans="1:12">
      <c r="A29" s="378" t="s">
        <v>346</v>
      </c>
      <c r="B29" s="377">
        <f>SUM(B18-B28)</f>
        <v>0</v>
      </c>
      <c r="C29" s="378" t="s">
        <v>346</v>
      </c>
      <c r="D29" s="377">
        <f>SUM(D18-D28)</f>
        <v>0</v>
      </c>
      <c r="E29" s="378" t="s">
        <v>346</v>
      </c>
      <c r="F29" s="377">
        <f>SUM(F18-F28)</f>
        <v>0</v>
      </c>
      <c r="G29" s="378" t="s">
        <v>346</v>
      </c>
      <c r="H29" s="377">
        <f>SUM(H18-H28)</f>
        <v>0</v>
      </c>
      <c r="I29" s="378" t="s">
        <v>346</v>
      </c>
      <c r="J29" s="377">
        <f>SUM(J18-J28)</f>
        <v>0</v>
      </c>
      <c r="K29" s="394">
        <f>SUM(B29+D29+F29+H29+J29)</f>
        <v>0</v>
      </c>
      <c r="L29" s="1" t="s">
        <v>347</v>
      </c>
    </row>
    <row r="30" spans="1:12">
      <c r="A30" s="378"/>
      <c r="B30" s="395" t="str">
        <f>IF(B29&lt;0,"Neg Bal","")</f>
        <v/>
      </c>
      <c r="C30" s="378"/>
      <c r="D30" s="395" t="str">
        <f>IF(D29&lt;0,"Neg Bal","")</f>
        <v/>
      </c>
      <c r="E30" s="378"/>
      <c r="F30" s="395" t="str">
        <f>IF(F29&lt;0,"Neg Bal","")</f>
        <v/>
      </c>
      <c r="G30" s="63"/>
      <c r="H30" s="395" t="str">
        <f>IF(H29&lt;0,"Neg Bal","")</f>
        <v/>
      </c>
      <c r="I30" s="63"/>
      <c r="J30" s="395" t="str">
        <f>IF(J29&lt;0,"Neg Bal","")</f>
        <v/>
      </c>
      <c r="K30" s="394">
        <f>SUM(K7+K17-K28)</f>
        <v>0</v>
      </c>
      <c r="L30" s="1" t="s">
        <v>347</v>
      </c>
    </row>
    <row r="31" spans="1:12">
      <c r="A31" s="63"/>
      <c r="B31" s="396"/>
      <c r="C31" s="63"/>
      <c r="D31" s="363"/>
      <c r="E31" s="63"/>
      <c r="F31" s="63"/>
      <c r="G31" s="397" t="s">
        <v>348</v>
      </c>
      <c r="H31" s="397"/>
      <c r="I31" s="397"/>
      <c r="J31" s="397"/>
      <c r="K31" s="63"/>
    </row>
    <row r="32" spans="1:12">
      <c r="A32" s="63"/>
      <c r="B32" s="396"/>
      <c r="C32" s="63"/>
      <c r="D32" s="63"/>
      <c r="E32" s="63"/>
      <c r="F32" s="63"/>
      <c r="G32" s="63"/>
      <c r="H32" s="63"/>
      <c r="I32" s="63"/>
      <c r="J32" s="63"/>
      <c r="K32" s="63"/>
    </row>
    <row r="33" spans="1:11">
      <c r="A33" s="63"/>
      <c r="B33" s="396"/>
      <c r="C33" s="63"/>
      <c r="D33" s="63"/>
      <c r="E33" s="338" t="s">
        <v>47</v>
      </c>
      <c r="F33" s="211"/>
      <c r="G33" s="63"/>
      <c r="H33" s="63"/>
      <c r="I33" s="63"/>
      <c r="J33" s="63"/>
      <c r="K33" s="63"/>
    </row>
    <row r="34" spans="1:11">
      <c r="B34" s="398"/>
    </row>
    <row r="35" spans="1:11">
      <c r="B35" s="398"/>
    </row>
    <row r="36" spans="1:11">
      <c r="B36" s="398"/>
    </row>
    <row r="37" spans="1:11">
      <c r="B37" s="398"/>
    </row>
    <row r="38" spans="1:11">
      <c r="B38" s="398"/>
    </row>
    <row r="39" spans="1:11">
      <c r="B39" s="398"/>
    </row>
    <row r="40" spans="1:11">
      <c r="B40" s="398"/>
    </row>
    <row r="41" spans="1:11">
      <c r="B41" s="398"/>
    </row>
  </sheetData>
  <sheetProtection sheet="1" objects="1" scenarios="1"/>
  <mergeCells count="5">
    <mergeCell ref="I5:J5"/>
    <mergeCell ref="A5:B5"/>
    <mergeCell ref="C5:D5"/>
    <mergeCell ref="E5:F5"/>
    <mergeCell ref="G5:H5"/>
  </mergeCells>
  <phoneticPr fontId="15" type="noConversion"/>
  <pageMargins left="0.75" right="0.75" top="1" bottom="1" header="0.5" footer="0.5"/>
  <pageSetup scale="83" orientation="landscape" blackAndWhite="1" r:id="rId1"/>
  <headerFooter alignWithMargins="0">
    <oddHeader>&amp;RState of Kansas
Special District</oddHeader>
    <oddFooter>&amp;Lrevised 10/24/08</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I51"/>
  <sheetViews>
    <sheetView workbookViewId="0">
      <selection activeCell="A40" sqref="A40"/>
    </sheetView>
  </sheetViews>
  <sheetFormatPr defaultRowHeight="15.75"/>
  <cols>
    <col min="1" max="1" width="15.77734375" style="1" customWidth="1"/>
    <col min="2" max="2" width="12.77734375" style="1" customWidth="1"/>
    <col min="3" max="3" width="8.77734375" style="1" customWidth="1"/>
    <col min="4" max="4" width="12.77734375" style="1" customWidth="1"/>
    <col min="5" max="5" width="8.77734375" style="1" customWidth="1"/>
    <col min="6" max="6" width="12.77734375" style="1" customWidth="1"/>
    <col min="7" max="7" width="10.77734375" style="1" customWidth="1"/>
    <col min="8" max="8" width="8.77734375" style="1" customWidth="1"/>
    <col min="9" max="16384" width="8.88671875" style="1"/>
  </cols>
  <sheetData>
    <row r="1" spans="1:9">
      <c r="A1" s="441" t="s">
        <v>92</v>
      </c>
      <c r="B1" s="441"/>
      <c r="C1" s="441"/>
      <c r="D1" s="441"/>
      <c r="E1" s="441"/>
      <c r="F1" s="441"/>
      <c r="G1" s="441"/>
      <c r="H1" s="34"/>
    </row>
    <row r="2" spans="1:9">
      <c r="A2" s="32"/>
      <c r="B2" s="32"/>
      <c r="C2" s="32"/>
      <c r="D2" s="32"/>
      <c r="E2" s="32"/>
      <c r="F2" s="32"/>
      <c r="G2" s="32"/>
      <c r="H2" s="32"/>
    </row>
    <row r="3" spans="1:9">
      <c r="A3" s="440" t="s">
        <v>119</v>
      </c>
      <c r="B3" s="440"/>
      <c r="C3" s="440"/>
      <c r="D3" s="440"/>
      <c r="E3" s="440"/>
      <c r="F3" s="440"/>
      <c r="G3" s="440"/>
      <c r="H3" s="440"/>
      <c r="I3" s="67">
        <f>inputPrYr!D11</f>
        <v>2010</v>
      </c>
    </row>
    <row r="4" spans="1:9">
      <c r="A4" s="436" t="str">
        <f>inputPrYr!D3</f>
        <v>Fairview</v>
      </c>
      <c r="B4" s="436"/>
      <c r="C4" s="436"/>
      <c r="D4" s="436"/>
      <c r="E4" s="436"/>
      <c r="F4" s="436"/>
      <c r="G4" s="436"/>
      <c r="H4" s="436"/>
    </row>
    <row r="5" spans="1:9">
      <c r="A5" s="436" t="str">
        <f>inputPrYr!D4</f>
        <v>Thomas</v>
      </c>
      <c r="B5" s="436"/>
      <c r="C5" s="436"/>
      <c r="D5" s="436"/>
      <c r="E5" s="436"/>
      <c r="F5" s="436"/>
      <c r="G5" s="436"/>
      <c r="H5" s="436"/>
    </row>
    <row r="6" spans="1:9">
      <c r="A6" s="493" t="s">
        <v>388</v>
      </c>
      <c r="B6" s="493"/>
      <c r="C6" s="493"/>
      <c r="D6" s="493"/>
      <c r="E6" s="493"/>
      <c r="F6" s="493"/>
      <c r="G6" s="493"/>
      <c r="H6" s="493"/>
    </row>
    <row r="7" spans="1:9">
      <c r="A7" s="92" t="s">
        <v>54</v>
      </c>
      <c r="B7" s="93"/>
      <c r="C7" s="93"/>
      <c r="D7" s="93"/>
      <c r="E7" s="93"/>
      <c r="F7" s="93"/>
      <c r="G7" s="93"/>
      <c r="H7" s="68"/>
    </row>
    <row r="8" spans="1:9">
      <c r="A8" s="68" t="s">
        <v>55</v>
      </c>
      <c r="B8" s="68"/>
      <c r="C8" s="68"/>
      <c r="D8" s="68"/>
      <c r="E8" s="68"/>
      <c r="F8" s="68"/>
      <c r="G8" s="68"/>
      <c r="H8" s="68"/>
    </row>
    <row r="9" spans="1:9">
      <c r="A9" s="25" t="s">
        <v>387</v>
      </c>
      <c r="B9" s="26"/>
      <c r="C9" s="26"/>
      <c r="D9" s="24"/>
      <c r="E9" s="24"/>
      <c r="F9" s="24"/>
      <c r="G9" s="93"/>
      <c r="H9" s="68"/>
    </row>
    <row r="10" spans="1:9">
      <c r="A10" s="33" t="s">
        <v>56</v>
      </c>
      <c r="B10" s="34"/>
      <c r="C10" s="34"/>
      <c r="D10" s="34"/>
      <c r="E10" s="34"/>
      <c r="F10" s="34"/>
      <c r="G10" s="34"/>
      <c r="H10" s="34"/>
    </row>
    <row r="11" spans="1:9">
      <c r="A11" s="33"/>
      <c r="B11" s="34"/>
      <c r="C11" s="34"/>
      <c r="D11" s="34"/>
      <c r="E11" s="34"/>
      <c r="F11" s="34"/>
      <c r="G11" s="34"/>
      <c r="H11" s="34"/>
    </row>
    <row r="12" spans="1:9">
      <c r="A12" s="112" t="s">
        <v>93</v>
      </c>
      <c r="B12" s="34"/>
      <c r="C12" s="34"/>
      <c r="D12" s="34"/>
      <c r="E12" s="34"/>
      <c r="F12" s="34"/>
      <c r="G12" s="34"/>
      <c r="H12" s="34"/>
    </row>
    <row r="13" spans="1:9">
      <c r="A13" s="33" t="str">
        <f>CONCATENATE("Proposed Budget ",I3," Expenditures and Amount of ",I3-1," Ad Valorem Tax establish the maximum limits")</f>
        <v>Proposed Budget 2010 Expenditures and Amount of 2009 Ad Valorem Tax establish the maximum limits</v>
      </c>
      <c r="B13" s="34"/>
      <c r="C13" s="34"/>
      <c r="D13" s="34"/>
      <c r="E13" s="34"/>
      <c r="F13" s="34"/>
      <c r="G13" s="34"/>
      <c r="H13" s="34"/>
    </row>
    <row r="14" spans="1:9">
      <c r="A14" s="33" t="str">
        <f>CONCATENATE("of the ",I3," budget.  Estimated Tax Rate is subject to change depending on the final assessed valuation.")</f>
        <v>of the 2010 budget.  Estimated Tax Rate is subject to change depending on the final assessed valuation.</v>
      </c>
      <c r="B14" s="34"/>
      <c r="C14" s="34"/>
      <c r="D14" s="34"/>
      <c r="E14" s="34"/>
      <c r="F14" s="34"/>
      <c r="G14" s="34"/>
      <c r="H14" s="34"/>
    </row>
    <row r="15" spans="1:9">
      <c r="A15" s="32"/>
      <c r="B15" s="36"/>
      <c r="C15" s="36"/>
      <c r="D15" s="36"/>
      <c r="E15" s="36"/>
      <c r="F15" s="36"/>
      <c r="G15" s="36"/>
      <c r="H15" s="36"/>
    </row>
    <row r="16" spans="1:9">
      <c r="A16" s="32"/>
      <c r="B16" s="228" t="str">
        <f>CONCATENATE("Prior Year Actual ",I3-2,"")</f>
        <v>Prior Year Actual 2008</v>
      </c>
      <c r="C16" s="229"/>
      <c r="D16" s="230" t="str">
        <f>CONCATENATE("Current Year Estimate for ",I3-1,"")</f>
        <v>Current Year Estimate for 2009</v>
      </c>
      <c r="E16" s="229"/>
      <c r="F16" s="228" t="str">
        <f>CONCATENATE("Proposed Budget Year for ",I3,"")</f>
        <v>Proposed Budget Year for 2010</v>
      </c>
      <c r="G16" s="231"/>
      <c r="H16" s="229"/>
    </row>
    <row r="17" spans="1:8">
      <c r="A17" s="32"/>
      <c r="B17" s="43"/>
      <c r="C17" s="69" t="s">
        <v>57</v>
      </c>
      <c r="D17" s="43"/>
      <c r="E17" s="69" t="s">
        <v>57</v>
      </c>
      <c r="F17" s="193"/>
      <c r="G17" s="491" t="str">
        <f>CONCATENATE("Amount of ",I3-1," Ad Valorem Tax")</f>
        <v>Amount of 2009 Ad Valorem Tax</v>
      </c>
      <c r="H17" s="69" t="s">
        <v>57</v>
      </c>
    </row>
    <row r="18" spans="1:8">
      <c r="A18" s="232" t="s">
        <v>58</v>
      </c>
      <c r="B18" s="87" t="s">
        <v>59</v>
      </c>
      <c r="C18" s="70" t="s">
        <v>202</v>
      </c>
      <c r="D18" s="87" t="s">
        <v>59</v>
      </c>
      <c r="E18" s="70" t="s">
        <v>202</v>
      </c>
      <c r="F18" s="87" t="s">
        <v>59</v>
      </c>
      <c r="G18" s="492"/>
      <c r="H18" s="70" t="s">
        <v>202</v>
      </c>
    </row>
    <row r="19" spans="1:8">
      <c r="A19" s="49" t="str">
        <f>inputPrYr!B23</f>
        <v>General</v>
      </c>
      <c r="B19" s="53">
        <f>IF(gen!$C$42&lt;&gt;0,gen!$C$42,"  ")</f>
        <v>9839</v>
      </c>
      <c r="C19" s="94">
        <f>IF(inputPrYr!D42&gt;0,inputPrYr!D42,"  ")</f>
        <v>2.3780000000000001</v>
      </c>
      <c r="D19" s="53">
        <f>IF(gen!$E$42&lt;&gt;0,gen!$E$42,"  ")</f>
        <v>10835</v>
      </c>
      <c r="E19" s="94">
        <f>IF(inputOth!D46&gt;0,inputOth!D46,"  ")</f>
        <v>2.3530000000000002</v>
      </c>
      <c r="F19" s="53">
        <f>IF(gen!$G$42&lt;&gt;0,gen!$G$42,"  ")</f>
        <v>12140</v>
      </c>
      <c r="G19" s="53">
        <f>IF(gen!$G$48&lt;&gt;0,gen!$G$48,"  ")</f>
        <v>7116</v>
      </c>
      <c r="H19" s="94">
        <f>IF(gen!G48&gt;0,ROUND(G19/$F$24*1000,3)," ")</f>
        <v>2.3530000000000002</v>
      </c>
    </row>
    <row r="20" spans="1:8">
      <c r="A20" s="75" t="s">
        <v>143</v>
      </c>
      <c r="B20" s="262">
        <f t="shared" ref="B20:H20" si="0">SUM(B19:B19)</f>
        <v>9839</v>
      </c>
      <c r="C20" s="263">
        <f t="shared" si="0"/>
        <v>2.3780000000000001</v>
      </c>
      <c r="D20" s="262">
        <f t="shared" si="0"/>
        <v>10835</v>
      </c>
      <c r="E20" s="263">
        <f t="shared" si="0"/>
        <v>2.3530000000000002</v>
      </c>
      <c r="F20" s="262">
        <f t="shared" si="0"/>
        <v>12140</v>
      </c>
      <c r="G20" s="267">
        <f t="shared" si="0"/>
        <v>7116</v>
      </c>
      <c r="H20" s="263">
        <f t="shared" si="0"/>
        <v>2.3530000000000002</v>
      </c>
    </row>
    <row r="21" spans="1:8">
      <c r="A21" s="75" t="s">
        <v>207</v>
      </c>
      <c r="B21" s="53">
        <f>transfers!C26</f>
        <v>0</v>
      </c>
      <c r="C21" s="233"/>
      <c r="D21" s="53">
        <f>transfers!D26</f>
        <v>0</v>
      </c>
      <c r="E21" s="233"/>
      <c r="F21" s="234">
        <f>transfers!E26</f>
        <v>0</v>
      </c>
      <c r="G21" s="235"/>
      <c r="H21" s="236"/>
    </row>
    <row r="22" spans="1:8" ht="16.5" thickBot="1">
      <c r="A22" s="75" t="s">
        <v>208</v>
      </c>
      <c r="B22" s="264">
        <f>SUM(B20-B21)</f>
        <v>9839</v>
      </c>
      <c r="C22" s="237"/>
      <c r="D22" s="264">
        <f>SUM(D20-D21)</f>
        <v>10835</v>
      </c>
      <c r="E22" s="237"/>
      <c r="F22" s="265">
        <f>SUM(F20-F21)</f>
        <v>12140</v>
      </c>
      <c r="G22" s="235"/>
      <c r="H22" s="236"/>
    </row>
    <row r="23" spans="1:8" ht="16.5" thickTop="1">
      <c r="A23" s="75" t="s">
        <v>60</v>
      </c>
      <c r="B23" s="238">
        <f>inputPrYr!E49</f>
        <v>7792</v>
      </c>
      <c r="C23" s="193"/>
      <c r="D23" s="238">
        <f>inputPrYr!E28</f>
        <v>7826</v>
      </c>
      <c r="E23" s="193"/>
      <c r="F23" s="239" t="s">
        <v>209</v>
      </c>
      <c r="G23" s="32"/>
      <c r="H23" s="32"/>
    </row>
    <row r="24" spans="1:8" ht="16.5" thickBot="1">
      <c r="A24" s="75" t="s">
        <v>244</v>
      </c>
      <c r="B24" s="56">
        <f>inputPrYr!E50</f>
        <v>3276533</v>
      </c>
      <c r="C24" s="193"/>
      <c r="D24" s="56">
        <f>inputOth!E60</f>
        <v>3326351</v>
      </c>
      <c r="E24" s="193"/>
      <c r="F24" s="56">
        <f>inputOth!E12</f>
        <v>3023807</v>
      </c>
      <c r="G24" s="32"/>
      <c r="H24" s="32"/>
    </row>
    <row r="25" spans="1:8" ht="16.5" thickTop="1">
      <c r="A25" s="115"/>
      <c r="B25" s="235"/>
      <c r="C25" s="59"/>
      <c r="D25" s="235"/>
      <c r="E25" s="59"/>
      <c r="F25" s="235"/>
      <c r="G25" s="32"/>
      <c r="H25" s="32"/>
    </row>
    <row r="26" spans="1:8">
      <c r="A26" s="35" t="s">
        <v>61</v>
      </c>
      <c r="B26" s="32"/>
      <c r="C26" s="32"/>
      <c r="D26" s="32"/>
      <c r="E26" s="32"/>
      <c r="F26" s="32"/>
      <c r="G26" s="32"/>
      <c r="H26" s="32"/>
    </row>
    <row r="27" spans="1:8">
      <c r="A27" s="35" t="s">
        <v>210</v>
      </c>
      <c r="B27" s="163">
        <f>I3-2</f>
        <v>2008</v>
      </c>
      <c r="C27" s="32"/>
      <c r="D27" s="163">
        <f>I3-1</f>
        <v>2009</v>
      </c>
      <c r="E27" s="32"/>
      <c r="F27" s="163">
        <f>I3</f>
        <v>2010</v>
      </c>
      <c r="G27" s="32"/>
      <c r="H27" s="32"/>
    </row>
    <row r="28" spans="1:8">
      <c r="A28" s="35" t="s">
        <v>62</v>
      </c>
      <c r="B28" s="240">
        <f>inputPrYr!D53</f>
        <v>0</v>
      </c>
      <c r="C28" s="79"/>
      <c r="D28" s="240">
        <f>inputPrYr!E53</f>
        <v>0</v>
      </c>
      <c r="E28" s="32"/>
      <c r="F28" s="240">
        <f>debt!E12</f>
        <v>0</v>
      </c>
      <c r="G28" s="32"/>
      <c r="H28" s="67"/>
    </row>
    <row r="29" spans="1:8">
      <c r="A29" s="32" t="s">
        <v>63</v>
      </c>
      <c r="B29" s="240">
        <f>inputPrYr!D54</f>
        <v>0</v>
      </c>
      <c r="C29" s="32"/>
      <c r="D29" s="240">
        <f>inputPrYr!E54</f>
        <v>0</v>
      </c>
      <c r="E29" s="32"/>
      <c r="F29" s="240">
        <f>debt!E16</f>
        <v>0</v>
      </c>
      <c r="G29" s="32"/>
      <c r="H29" s="67"/>
    </row>
    <row r="30" spans="1:8">
      <c r="A30" s="35" t="s">
        <v>235</v>
      </c>
      <c r="B30" s="240">
        <f>inputPrYr!D55</f>
        <v>0</v>
      </c>
      <c r="C30" s="79"/>
      <c r="D30" s="240">
        <f>inputPrYr!E55</f>
        <v>0</v>
      </c>
      <c r="E30" s="32"/>
      <c r="F30" s="240">
        <f>debt!E20</f>
        <v>0</v>
      </c>
      <c r="G30" s="32"/>
      <c r="H30" s="67"/>
    </row>
    <row r="31" spans="1:8">
      <c r="A31" s="35" t="s">
        <v>144</v>
      </c>
      <c r="B31" s="240">
        <f>inputPrYr!D56</f>
        <v>0</v>
      </c>
      <c r="C31" s="32"/>
      <c r="D31" s="240">
        <f>inputPrYr!E56</f>
        <v>0</v>
      </c>
      <c r="E31" s="32"/>
      <c r="F31" s="240">
        <f>debt!F41</f>
        <v>0</v>
      </c>
      <c r="G31" s="32"/>
      <c r="H31" s="67"/>
    </row>
    <row r="32" spans="1:8">
      <c r="A32" s="67"/>
      <c r="B32" s="284"/>
      <c r="C32" s="79"/>
      <c r="D32" s="284"/>
      <c r="E32" s="32"/>
      <c r="F32" s="241"/>
      <c r="G32" s="67"/>
      <c r="H32" s="67"/>
    </row>
    <row r="33" spans="1:8" ht="16.5" thickBot="1">
      <c r="A33" s="85" t="s">
        <v>64</v>
      </c>
      <c r="B33" s="266">
        <f>SUM(B28:B32)</f>
        <v>0</v>
      </c>
      <c r="C33" s="32"/>
      <c r="D33" s="266">
        <f>SUM(D28:D32)</f>
        <v>0</v>
      </c>
      <c r="E33" s="32"/>
      <c r="F33" s="266">
        <f>SUM(F28:F32)</f>
        <v>0</v>
      </c>
      <c r="G33" s="76"/>
      <c r="H33" s="67"/>
    </row>
    <row r="34" spans="1:8" ht="16.5" thickTop="1">
      <c r="A34" s="67"/>
      <c r="B34" s="32"/>
      <c r="C34" s="32"/>
      <c r="D34" s="32"/>
      <c r="E34" s="32"/>
      <c r="F34" s="32"/>
      <c r="G34" s="32"/>
      <c r="H34" s="67"/>
    </row>
    <row r="35" spans="1:8">
      <c r="A35" s="85" t="s">
        <v>65</v>
      </c>
      <c r="B35" s="32"/>
      <c r="C35" s="32"/>
      <c r="D35" s="32"/>
      <c r="E35" s="83"/>
      <c r="F35" s="83"/>
      <c r="G35" s="32"/>
      <c r="H35" s="67"/>
    </row>
    <row r="36" spans="1:8">
      <c r="A36" s="67"/>
      <c r="B36" s="32"/>
      <c r="C36" s="32"/>
      <c r="D36" s="32"/>
      <c r="E36" s="32"/>
      <c r="F36" s="32"/>
      <c r="G36" s="32"/>
      <c r="H36" s="67"/>
    </row>
    <row r="37" spans="1:8">
      <c r="A37" s="63"/>
      <c r="B37" s="32"/>
      <c r="C37" s="32"/>
      <c r="D37" s="32"/>
      <c r="E37" s="32"/>
      <c r="F37" s="32"/>
      <c r="G37" s="32"/>
      <c r="H37" s="63"/>
    </row>
    <row r="38" spans="1:8">
      <c r="A38" s="415" t="s">
        <v>389</v>
      </c>
      <c r="B38" s="37"/>
      <c r="C38" s="36"/>
      <c r="D38" s="32"/>
      <c r="E38" s="32"/>
      <c r="F38" s="32"/>
      <c r="G38" s="32"/>
      <c r="H38" s="67"/>
    </row>
    <row r="39" spans="1:8">
      <c r="A39" s="68" t="s">
        <v>390</v>
      </c>
      <c r="B39" s="34"/>
      <c r="C39" s="32"/>
      <c r="D39" s="80" t="s">
        <v>47</v>
      </c>
      <c r="E39" s="413">
        <v>7</v>
      </c>
      <c r="F39" s="32"/>
      <c r="G39" s="32"/>
      <c r="H39" s="67"/>
    </row>
    <row r="41" spans="1:8">
      <c r="A41" s="13"/>
      <c r="B41" s="13"/>
      <c r="C41" s="13"/>
      <c r="D41" s="13"/>
      <c r="E41" s="13"/>
      <c r="F41" s="13"/>
      <c r="G41" s="13"/>
      <c r="H41" s="13"/>
    </row>
    <row r="43" spans="1:8">
      <c r="A43" s="13"/>
      <c r="B43" s="13"/>
      <c r="C43" s="13"/>
      <c r="D43" s="13"/>
      <c r="E43" s="13"/>
      <c r="F43" s="13"/>
      <c r="G43" s="13"/>
      <c r="H43" s="13"/>
    </row>
    <row r="44" spans="1:8">
      <c r="A44" s="13"/>
      <c r="B44" s="13"/>
      <c r="C44" s="13"/>
      <c r="D44" s="13"/>
      <c r="E44" s="13"/>
      <c r="F44" s="13"/>
      <c r="G44" s="13"/>
      <c r="H44" s="13"/>
    </row>
    <row r="45" spans="1:8">
      <c r="A45" s="13"/>
      <c r="B45" s="13"/>
      <c r="C45" s="13"/>
      <c r="D45" s="13"/>
      <c r="E45" s="13"/>
      <c r="F45" s="13"/>
      <c r="G45" s="13"/>
      <c r="H45" s="13"/>
    </row>
    <row r="46" spans="1:8">
      <c r="A46" s="13"/>
      <c r="B46" s="13"/>
      <c r="C46" s="13"/>
      <c r="D46" s="13"/>
      <c r="E46" s="13"/>
      <c r="F46" s="13"/>
      <c r="G46" s="13"/>
      <c r="H46" s="13"/>
    </row>
    <row r="47" spans="1:8">
      <c r="A47" s="13"/>
      <c r="B47" s="13"/>
      <c r="C47" s="13"/>
      <c r="D47" s="13"/>
      <c r="E47" s="13"/>
      <c r="F47" s="13"/>
      <c r="G47" s="13"/>
      <c r="H47" s="13"/>
    </row>
    <row r="48" spans="1:8">
      <c r="A48" s="13"/>
      <c r="B48" s="13"/>
      <c r="C48" s="13"/>
      <c r="D48" s="13"/>
      <c r="E48" s="13"/>
      <c r="F48" s="13"/>
      <c r="G48" s="13"/>
      <c r="H48" s="13"/>
    </row>
    <row r="49" spans="1:8">
      <c r="A49" s="13"/>
      <c r="B49" s="13"/>
      <c r="C49" s="13"/>
      <c r="D49" s="13"/>
      <c r="E49" s="13"/>
      <c r="F49" s="13"/>
      <c r="G49" s="13"/>
      <c r="H49" s="13"/>
    </row>
    <row r="50" spans="1:8">
      <c r="A50" s="13"/>
      <c r="B50" s="13"/>
      <c r="C50" s="13"/>
      <c r="D50" s="13"/>
      <c r="E50" s="13"/>
      <c r="F50" s="13"/>
      <c r="G50" s="13"/>
      <c r="H50" s="13"/>
    </row>
    <row r="51" spans="1:8">
      <c r="A51" s="13"/>
      <c r="B51" s="13"/>
      <c r="C51" s="13"/>
      <c r="D51" s="13"/>
      <c r="E51" s="13"/>
      <c r="F51" s="13"/>
      <c r="G51" s="13"/>
      <c r="H51" s="13"/>
    </row>
  </sheetData>
  <mergeCells count="6">
    <mergeCell ref="A1:G1"/>
    <mergeCell ref="G17:G18"/>
    <mergeCell ref="A3:H3"/>
    <mergeCell ref="A4:H4"/>
    <mergeCell ref="A5:H5"/>
    <mergeCell ref="A6:H6"/>
  </mergeCells>
  <phoneticPr fontId="0" type="noConversion"/>
  <pageMargins left="1" right="1" top="0.5" bottom="0.5" header="0.5" footer="0.5"/>
  <pageSetup scale="64" orientation="portrait" blackAndWhite="1" horizontalDpi="120" verticalDpi="144" r:id="rId1"/>
  <headerFooter alignWithMargins="0">
    <oddHeader xml:space="preserve">&amp;RState of Kansas
Special District
</oddHeader>
    <oddFooter xml:space="preserve">&amp;Lrevised 3/19/09
</oddFooter>
  </headerFooter>
</worksheet>
</file>

<file path=xl/worksheets/sheet16.xml><?xml version="1.0" encoding="utf-8"?>
<worksheet xmlns="http://schemas.openxmlformats.org/spreadsheetml/2006/main" xmlns:r="http://schemas.openxmlformats.org/officeDocument/2006/relationships">
  <sheetPr>
    <pageSetUpPr fitToPage="1"/>
  </sheetPr>
  <dimension ref="A1:F29"/>
  <sheetViews>
    <sheetView workbookViewId="0">
      <selection activeCell="C7" sqref="C7:C10"/>
    </sheetView>
  </sheetViews>
  <sheetFormatPr defaultRowHeight="15"/>
  <cols>
    <col min="1" max="1" width="11.44140625" customWidth="1"/>
    <col min="2" max="2" width="20" customWidth="1"/>
    <col min="3" max="5" width="11.77734375" customWidth="1"/>
  </cols>
  <sheetData>
    <row r="1" spans="1:6" ht="15.75">
      <c r="A1" s="86" t="str">
        <f>inputPrYr!D3</f>
        <v>Fairview</v>
      </c>
      <c r="B1" s="67"/>
      <c r="C1" s="67"/>
      <c r="D1" s="67"/>
      <c r="E1" s="67"/>
      <c r="F1" s="67">
        <f>inputPrYr!D11</f>
        <v>2010</v>
      </c>
    </row>
    <row r="2" spans="1:6" ht="15.75">
      <c r="A2" s="86"/>
      <c r="B2" s="67"/>
      <c r="C2" s="67"/>
      <c r="D2" s="67"/>
      <c r="E2" s="67"/>
      <c r="F2" s="67"/>
    </row>
    <row r="3" spans="1:6" ht="15.75">
      <c r="A3" s="67"/>
      <c r="B3" s="67"/>
      <c r="C3" s="67"/>
      <c r="D3" s="67"/>
      <c r="E3" s="67"/>
      <c r="F3" s="67"/>
    </row>
    <row r="4" spans="1:6" ht="15.75">
      <c r="A4" s="32"/>
      <c r="B4" s="432" t="str">
        <f>CONCATENATE("",F1," Neighborhood Revitalization Rebate")</f>
        <v>2010 Neighborhood Revitalization Rebate</v>
      </c>
      <c r="C4" s="496"/>
      <c r="D4" s="496"/>
      <c r="E4" s="497"/>
      <c r="F4" s="67"/>
    </row>
    <row r="5" spans="1:6" ht="15.75">
      <c r="A5" s="32"/>
      <c r="B5" s="32"/>
      <c r="C5" s="32"/>
      <c r="D5" s="32"/>
      <c r="E5" s="32"/>
      <c r="F5" s="67"/>
    </row>
    <row r="6" spans="1:6" ht="51.75" customHeight="1">
      <c r="A6" s="32"/>
      <c r="B6" s="192" t="str">
        <f>CONCATENATE("Budgeted Funds for ",F1-1,"")</f>
        <v>Budgeted Funds for 2009</v>
      </c>
      <c r="C6" s="330" t="str">
        <f>CONCATENATE("",F1-1," Ad Valorem before Rebate")</f>
        <v>2009 Ad Valorem before Rebate</v>
      </c>
      <c r="D6" s="331" t="str">
        <f>CONCATENATE("",F1-1," Mil Rate before Rebate")</f>
        <v>2009 Mil Rate before Rebate</v>
      </c>
      <c r="E6" s="332" t="str">
        <f>CONCATENATE("Estimate ",F1," NR Rebate")</f>
        <v>Estimate 2010 NR Rebate</v>
      </c>
      <c r="F6" s="67"/>
    </row>
    <row r="7" spans="1:6" ht="15.75">
      <c r="A7" s="32"/>
      <c r="B7" s="333" t="str">
        <f>inputPrYr!B23</f>
        <v>General</v>
      </c>
      <c r="C7" s="334"/>
      <c r="D7" s="290" t="str">
        <f t="shared" ref="D7:D12" si="0">IF(C7&gt;0,C7/$D$18,"")</f>
        <v/>
      </c>
      <c r="E7" s="144" t="str">
        <f t="shared" ref="E7:E12" si="1">IF(C7&gt;0,ROUND(D7*$D$22,0),"")</f>
        <v/>
      </c>
      <c r="F7" s="67"/>
    </row>
    <row r="8" spans="1:6" ht="15.75">
      <c r="A8" s="32"/>
      <c r="B8" s="333" t="str">
        <f>inputPrYr!B24</f>
        <v>Bond &amp; Interest</v>
      </c>
      <c r="C8" s="334"/>
      <c r="D8" s="290" t="str">
        <f t="shared" si="0"/>
        <v/>
      </c>
      <c r="E8" s="144" t="str">
        <f t="shared" si="1"/>
        <v/>
      </c>
      <c r="F8" s="67"/>
    </row>
    <row r="9" spans="1:6" ht="15.75">
      <c r="A9" s="32"/>
      <c r="B9" s="53" t="str">
        <f>IF(inputPrYr!$B26&gt;"  ",(inputPrYr!$B26),"  ")</f>
        <v xml:space="preserve">  </v>
      </c>
      <c r="C9" s="334"/>
      <c r="D9" s="290" t="str">
        <f t="shared" si="0"/>
        <v/>
      </c>
      <c r="E9" s="144" t="str">
        <f t="shared" si="1"/>
        <v/>
      </c>
      <c r="F9" s="67"/>
    </row>
    <row r="10" spans="1:6" ht="15.75">
      <c r="A10" s="32"/>
      <c r="B10" s="53" t="str">
        <f>IF(inputPrYr!$B27&gt;"  ",(inputPrYr!$B27),"  ")</f>
        <v xml:space="preserve">  </v>
      </c>
      <c r="C10" s="334"/>
      <c r="D10" s="290" t="str">
        <f t="shared" si="0"/>
        <v/>
      </c>
      <c r="E10" s="144" t="str">
        <f t="shared" si="1"/>
        <v/>
      </c>
      <c r="F10" s="67"/>
    </row>
    <row r="11" spans="1:6" ht="15.75">
      <c r="A11" s="32"/>
      <c r="B11" s="53"/>
      <c r="C11" s="334"/>
      <c r="D11" s="290" t="str">
        <f t="shared" si="0"/>
        <v/>
      </c>
      <c r="E11" s="144" t="str">
        <f t="shared" si="1"/>
        <v/>
      </c>
      <c r="F11" s="67"/>
    </row>
    <row r="12" spans="1:6" ht="15.75">
      <c r="A12" s="32"/>
      <c r="B12" s="53"/>
      <c r="C12" s="334"/>
      <c r="D12" s="290" t="str">
        <f t="shared" si="0"/>
        <v/>
      </c>
      <c r="E12" s="144" t="str">
        <f t="shared" si="1"/>
        <v/>
      </c>
      <c r="F12" s="67"/>
    </row>
    <row r="13" spans="1:6" ht="16.5" thickBot="1">
      <c r="A13" s="32"/>
      <c r="B13" s="49" t="s">
        <v>247</v>
      </c>
      <c r="C13" s="335">
        <f>SUM(C7:C12)</f>
        <v>0</v>
      </c>
      <c r="D13" s="291">
        <f>SUM(D7:D12)</f>
        <v>0</v>
      </c>
      <c r="E13" s="335">
        <f>SUM(E7:E12)</f>
        <v>0</v>
      </c>
      <c r="F13" s="67"/>
    </row>
    <row r="14" spans="1:6" ht="16.5" thickTop="1">
      <c r="A14" s="32"/>
      <c r="B14" s="32"/>
      <c r="C14" s="32"/>
      <c r="D14" s="32"/>
      <c r="E14" s="32"/>
      <c r="F14" s="67"/>
    </row>
    <row r="15" spans="1:6" ht="15.75">
      <c r="A15" s="32"/>
      <c r="B15" s="32"/>
      <c r="C15" s="32"/>
      <c r="D15" s="32"/>
      <c r="E15" s="32"/>
      <c r="F15" s="67"/>
    </row>
    <row r="16" spans="1:6" ht="15.75">
      <c r="A16" s="498" t="str">
        <f>CONCATENATE("",F1-1," Net Valuation (July 1 less NR Valuation)")</f>
        <v>2009 Net Valuation (July 1 less NR Valuation)</v>
      </c>
      <c r="B16" s="495"/>
      <c r="C16" s="498"/>
      <c r="D16" s="292">
        <f>(inputOth!E12)-(inputOth!D42)</f>
        <v>3023807</v>
      </c>
      <c r="E16" s="32"/>
      <c r="F16" s="67"/>
    </row>
    <row r="17" spans="1:6" ht="15.75">
      <c r="A17" s="32"/>
      <c r="B17" s="32"/>
      <c r="C17" s="32"/>
      <c r="D17" s="32"/>
      <c r="E17" s="32"/>
      <c r="F17" s="67"/>
    </row>
    <row r="18" spans="1:6" ht="15.75">
      <c r="A18" s="32"/>
      <c r="B18" s="498" t="s">
        <v>260</v>
      </c>
      <c r="C18" s="498"/>
      <c r="D18" s="336">
        <f>IF(D16&gt;0,(D16*0.001),"")</f>
        <v>3023.8070000000002</v>
      </c>
      <c r="E18" s="32"/>
      <c r="F18" s="67"/>
    </row>
    <row r="19" spans="1:6" ht="15.75">
      <c r="A19" s="32"/>
      <c r="B19" s="80"/>
      <c r="C19" s="80"/>
      <c r="D19" s="337"/>
      <c r="E19" s="32"/>
      <c r="F19" s="67"/>
    </row>
    <row r="20" spans="1:6" ht="15.75">
      <c r="A20" s="494" t="s">
        <v>261</v>
      </c>
      <c r="B20" s="497"/>
      <c r="C20" s="497"/>
      <c r="D20" s="339">
        <f>inputOth!D42</f>
        <v>0</v>
      </c>
      <c r="E20" s="322"/>
      <c r="F20" s="322"/>
    </row>
    <row r="21" spans="1:6">
      <c r="A21" s="322"/>
      <c r="B21" s="322"/>
      <c r="C21" s="322"/>
      <c r="D21" s="340"/>
      <c r="E21" s="322"/>
      <c r="F21" s="322"/>
    </row>
    <row r="22" spans="1:6" ht="15.75">
      <c r="A22" s="322"/>
      <c r="B22" s="494" t="s">
        <v>262</v>
      </c>
      <c r="C22" s="495"/>
      <c r="D22" s="341" t="str">
        <f>IF(D20&gt;0,(D20*0.001),"")</f>
        <v/>
      </c>
      <c r="E22" s="322"/>
      <c r="F22" s="322"/>
    </row>
    <row r="23" spans="1:6">
      <c r="A23" s="322"/>
      <c r="B23" s="322"/>
      <c r="C23" s="322"/>
      <c r="D23" s="322"/>
      <c r="E23" s="322"/>
      <c r="F23" s="322"/>
    </row>
    <row r="24" spans="1:6">
      <c r="A24" s="322"/>
      <c r="B24" s="322"/>
      <c r="C24" s="322"/>
      <c r="D24" s="322"/>
      <c r="E24" s="322"/>
      <c r="F24" s="322"/>
    </row>
    <row r="25" spans="1:6">
      <c r="A25" s="322"/>
      <c r="B25" s="322"/>
      <c r="C25" s="322"/>
      <c r="D25" s="322"/>
      <c r="E25" s="322"/>
      <c r="F25" s="322"/>
    </row>
    <row r="26" spans="1:6">
      <c r="A26" s="322"/>
      <c r="B26" s="322"/>
      <c r="C26" s="322"/>
      <c r="D26" s="322"/>
      <c r="E26" s="322"/>
      <c r="F26" s="322"/>
    </row>
    <row r="27" spans="1:6">
      <c r="A27" s="322"/>
      <c r="B27" s="322"/>
      <c r="C27" s="322"/>
      <c r="D27" s="322"/>
      <c r="E27" s="322"/>
      <c r="F27" s="322"/>
    </row>
    <row r="28" spans="1:6">
      <c r="A28" s="322"/>
      <c r="B28" s="322"/>
      <c r="C28" s="322"/>
      <c r="D28" s="322"/>
      <c r="E28" s="322"/>
      <c r="F28" s="322"/>
    </row>
    <row r="29" spans="1:6" ht="15.75">
      <c r="A29" s="322"/>
      <c r="B29" s="338" t="s">
        <v>47</v>
      </c>
      <c r="C29" s="211"/>
      <c r="D29" s="322"/>
      <c r="E29" s="322"/>
      <c r="F29" s="322"/>
    </row>
  </sheetData>
  <sheetProtection sheet="1" objects="1" scenarios="1"/>
  <mergeCells count="5">
    <mergeCell ref="B22:C22"/>
    <mergeCell ref="B4:E4"/>
    <mergeCell ref="A16:C16"/>
    <mergeCell ref="B18:C18"/>
    <mergeCell ref="A20:C20"/>
  </mergeCells>
  <phoneticPr fontId="15" type="noConversion"/>
  <pageMargins left="0.75" right="0.75" top="1" bottom="1" header="0.5" footer="0.5"/>
  <pageSetup scale="92" orientation="portrait" blackAndWhite="1" r:id="rId1"/>
  <headerFooter alignWithMargins="0">
    <oddHeader>&amp;RState of Kansas
Special District</oddHeader>
    <oddFooter>&amp;Lrevised 10/24/08</oddFooter>
  </headerFooter>
</worksheet>
</file>

<file path=xl/worksheets/sheet17.xml><?xml version="1.0" encoding="utf-8"?>
<worksheet xmlns="http://schemas.openxmlformats.org/spreadsheetml/2006/main" xmlns:r="http://schemas.openxmlformats.org/officeDocument/2006/relationships">
  <sheetPr>
    <pageSetUpPr fitToPage="1"/>
  </sheetPr>
  <dimension ref="B1:J53"/>
  <sheetViews>
    <sheetView workbookViewId="0">
      <selection activeCell="E45" sqref="E45"/>
    </sheetView>
  </sheetViews>
  <sheetFormatPr defaultColWidth="9.77734375" defaultRowHeight="15.75"/>
  <cols>
    <col min="1" max="1" width="8.88671875" style="132" customWidth="1"/>
    <col min="2" max="16384" width="9.77734375" style="132"/>
  </cols>
  <sheetData>
    <row r="1" spans="2:10">
      <c r="B1" s="503" t="s">
        <v>150</v>
      </c>
      <c r="C1" s="503"/>
      <c r="D1" s="503"/>
      <c r="E1" s="503"/>
      <c r="F1" s="503"/>
      <c r="G1" s="503"/>
      <c r="H1" s="503"/>
    </row>
    <row r="2" spans="2:10">
      <c r="B2" s="136"/>
      <c r="C2"/>
      <c r="D2"/>
      <c r="E2"/>
      <c r="F2"/>
      <c r="G2"/>
      <c r="H2"/>
    </row>
    <row r="3" spans="2:10">
      <c r="B3" s="504" t="s">
        <v>147</v>
      </c>
      <c r="C3" s="504"/>
      <c r="D3" s="504"/>
      <c r="E3" s="504"/>
      <c r="F3" s="504"/>
      <c r="G3" s="504"/>
      <c r="H3" s="504"/>
    </row>
    <row r="4" spans="2:10">
      <c r="B4" s="137"/>
      <c r="C4"/>
      <c r="D4"/>
      <c r="E4"/>
      <c r="F4"/>
      <c r="G4"/>
      <c r="H4"/>
    </row>
    <row r="5" spans="2:10">
      <c r="B5" s="505" t="str">
        <f>CONCATENATE("A resolution expressing the property taxation policy of the Board of ",(inputPrYr!D3)," District with respect to financing the ",inputPrYr!D11," annual budget for ", (inputPrYr!D3)," , ",(inputPrYr!D4)," , Kansas.")</f>
        <v>A resolution expressing the property taxation policy of the Board of Fairview District with respect to financing the 2010 annual budget for Fairview , Thomas , Kansas.</v>
      </c>
      <c r="C5" s="502"/>
      <c r="D5" s="502"/>
      <c r="E5" s="502"/>
      <c r="F5" s="502"/>
      <c r="G5" s="502"/>
      <c r="H5" s="502"/>
    </row>
    <row r="6" spans="2:10">
      <c r="B6" s="502"/>
      <c r="C6" s="502"/>
      <c r="D6" s="502"/>
      <c r="E6" s="502"/>
      <c r="F6" s="502"/>
      <c r="G6" s="502"/>
      <c r="H6" s="502"/>
      <c r="J6" s="132" t="str">
        <f>CONCATENATE(J7)</f>
        <v/>
      </c>
    </row>
    <row r="7" spans="2:10">
      <c r="B7" s="141"/>
      <c r="C7"/>
      <c r="D7"/>
      <c r="E7"/>
      <c r="F7"/>
      <c r="G7"/>
      <c r="H7"/>
    </row>
    <row r="8" spans="2:10">
      <c r="B8" s="142" t="s">
        <v>211</v>
      </c>
      <c r="C8"/>
      <c r="D8"/>
      <c r="E8"/>
      <c r="F8"/>
      <c r="G8"/>
      <c r="H8"/>
    </row>
    <row r="9" spans="2:10">
      <c r="B9" s="142" t="str">
        <f>CONCATENATE("",inputPrYr!D11," ",(inputPrYr!D3), " district budget exceed the amount levied to finance the")</f>
        <v>2010 Fairview district budget exceed the amount levied to finance the</v>
      </c>
      <c r="C9"/>
      <c r="D9"/>
      <c r="E9"/>
      <c r="F9"/>
      <c r="G9"/>
      <c r="H9"/>
    </row>
    <row r="10" spans="2:10">
      <c r="B10" s="142" t="str">
        <f>CONCATENATE("",inputPrYr!D11-1," ",inputPrYr!D3," except with regard to revenue produced and attributable to the")</f>
        <v>2009 Fairview except with regard to revenue produced and attributable to the</v>
      </c>
      <c r="C10"/>
      <c r="D10"/>
      <c r="E10"/>
      <c r="F10"/>
      <c r="G10"/>
      <c r="H10"/>
    </row>
    <row r="11" spans="2:10">
      <c r="B11" s="506" t="s">
        <v>212</v>
      </c>
      <c r="C11" s="507"/>
      <c r="D11" s="507"/>
      <c r="E11" s="507"/>
      <c r="F11" s="507"/>
      <c r="G11" s="507"/>
      <c r="H11" s="507"/>
    </row>
    <row r="12" spans="2:10">
      <c r="B12" s="507"/>
      <c r="C12" s="507"/>
      <c r="D12" s="507"/>
      <c r="E12" s="507"/>
      <c r="F12" s="507"/>
      <c r="G12" s="507"/>
      <c r="H12" s="507"/>
    </row>
    <row r="13" spans="2:10">
      <c r="B13" s="507"/>
      <c r="C13" s="507"/>
      <c r="D13" s="507"/>
      <c r="E13" s="507"/>
      <c r="F13" s="507"/>
      <c r="G13" s="507"/>
      <c r="H13" s="507"/>
    </row>
    <row r="14" spans="2:10">
      <c r="B14" s="507"/>
      <c r="C14" s="507"/>
      <c r="D14" s="507"/>
      <c r="E14" s="507"/>
      <c r="F14" s="507"/>
      <c r="G14" s="507"/>
      <c r="H14" s="507"/>
    </row>
    <row r="15" spans="2:10">
      <c r="B15" s="113"/>
      <c r="C15" s="113"/>
      <c r="D15" s="113"/>
      <c r="E15" s="113"/>
      <c r="F15" s="113"/>
      <c r="G15" s="113"/>
      <c r="H15" s="113"/>
    </row>
    <row r="16" spans="2:10">
      <c r="B16" s="501" t="s">
        <v>173</v>
      </c>
      <c r="C16" s="508"/>
      <c r="D16" s="508"/>
      <c r="E16" s="508"/>
      <c r="F16" s="508"/>
      <c r="G16" s="508"/>
      <c r="H16" s="508"/>
    </row>
    <row r="17" spans="2:8">
      <c r="B17" s="508"/>
      <c r="C17" s="508"/>
      <c r="D17" s="508"/>
      <c r="E17" s="508"/>
      <c r="F17" s="508"/>
      <c r="G17" s="508"/>
      <c r="H17" s="508"/>
    </row>
    <row r="18" spans="2:8">
      <c r="B18" s="142"/>
      <c r="C18"/>
      <c r="D18"/>
      <c r="E18"/>
      <c r="F18"/>
      <c r="G18"/>
      <c r="H18"/>
    </row>
    <row r="19" spans="2:8">
      <c r="B19" s="142" t="str">
        <f>CONCATENATE("Whereas, ",(inputPrYr!D3)," provides essential services to district residents; and")</f>
        <v>Whereas, Fairview provides essential services to district residents; and</v>
      </c>
      <c r="C19"/>
      <c r="D19"/>
      <c r="E19"/>
      <c r="F19"/>
      <c r="G19"/>
      <c r="H19"/>
    </row>
    <row r="20" spans="2:8">
      <c r="B20" s="142"/>
      <c r="C20"/>
      <c r="D20"/>
      <c r="E20"/>
      <c r="F20"/>
      <c r="G20"/>
      <c r="H20"/>
    </row>
    <row r="21" spans="2:8">
      <c r="B21" s="142" t="s">
        <v>174</v>
      </c>
      <c r="C21"/>
      <c r="D21"/>
      <c r="E21"/>
      <c r="F21"/>
      <c r="G21"/>
      <c r="H21"/>
    </row>
    <row r="22" spans="2:8">
      <c r="B22" s="142"/>
      <c r="C22"/>
      <c r="D22"/>
      <c r="E22"/>
      <c r="F22"/>
      <c r="G22"/>
      <c r="H22"/>
    </row>
    <row r="23" spans="2:8">
      <c r="B23" s="506" t="str">
        <f>CONCATENATE("NOW, THEREFORE, BE IT RESOLVED by the Board of the ",(inputPrYr!D3)," that is our desire to notify the public of the possibility of increased property taxes to finance the ",inputPrYr!D11," ",(inputPrYr!D3), "  budget as defined above.")</f>
        <v>NOW, THEREFORE, BE IT RESOLVED by the Board of the Fairview that is our desire to notify the public of the possibility of increased property taxes to finance the 2010 Fairview  budget as defined above.</v>
      </c>
      <c r="C23" s="509"/>
      <c r="D23" s="509"/>
      <c r="E23" s="509"/>
      <c r="F23" s="509"/>
      <c r="G23" s="509"/>
      <c r="H23" s="509"/>
    </row>
    <row r="24" spans="2:8">
      <c r="B24" s="509"/>
      <c r="C24" s="509"/>
      <c r="D24" s="509"/>
      <c r="E24" s="509"/>
      <c r="F24" s="509"/>
      <c r="G24" s="509"/>
      <c r="H24" s="509"/>
    </row>
    <row r="25" spans="2:8">
      <c r="B25" s="509"/>
      <c r="C25" s="509"/>
      <c r="D25" s="509"/>
      <c r="E25" s="509"/>
      <c r="F25" s="509"/>
      <c r="G25" s="509"/>
      <c r="H25" s="509"/>
    </row>
    <row r="26" spans="2:8">
      <c r="B26" s="142"/>
      <c r="C26"/>
      <c r="D26"/>
      <c r="E26"/>
      <c r="F26"/>
      <c r="G26"/>
      <c r="H26"/>
    </row>
    <row r="27" spans="2:8">
      <c r="B27" s="501" t="str">
        <f>CONCATENATE("Adopted this _________ day of ___________, ",inputPrYr!D11-1," by the ",(inputPrYr!D3)," District Board, ",(inputPrYr!D4),", State of Kansas.")</f>
        <v>Adopted this _________ day of ___________, 2009 by the Fairview District Board, Thomas, State of Kansas.</v>
      </c>
      <c r="C27" s="502"/>
      <c r="D27" s="502"/>
      <c r="E27" s="502"/>
      <c r="F27" s="502"/>
      <c r="G27" s="502"/>
      <c r="H27" s="502"/>
    </row>
    <row r="28" spans="2:8">
      <c r="B28" s="502"/>
      <c r="C28" s="502"/>
      <c r="D28" s="502"/>
      <c r="E28" s="502"/>
      <c r="F28" s="502"/>
      <c r="G28" s="502"/>
      <c r="H28" s="502"/>
    </row>
    <row r="29" spans="2:8">
      <c r="B29" s="138"/>
      <c r="C29"/>
      <c r="D29"/>
      <c r="E29"/>
      <c r="F29"/>
      <c r="G29"/>
      <c r="H29"/>
    </row>
    <row r="30" spans="2:8">
      <c r="B30" s="138"/>
      <c r="C30"/>
      <c r="D30"/>
      <c r="E30"/>
      <c r="F30"/>
      <c r="G30"/>
      <c r="H30"/>
    </row>
    <row r="31" spans="2:8">
      <c r="B31" s="139" t="str">
        <f>CONCATENATE(" ",(inputPrYr!D3)," District Board")</f>
        <v xml:space="preserve"> Fairview District Board</v>
      </c>
      <c r="C31"/>
      <c r="D31"/>
      <c r="E31"/>
      <c r="F31"/>
      <c r="G31"/>
      <c r="H31"/>
    </row>
    <row r="32" spans="2:8">
      <c r="B32" s="138"/>
      <c r="C32"/>
      <c r="D32"/>
      <c r="E32"/>
      <c r="F32"/>
      <c r="G32"/>
      <c r="H32"/>
    </row>
    <row r="33" spans="2:8">
      <c r="B33"/>
      <c r="C33"/>
      <c r="D33"/>
      <c r="E33" s="500" t="s">
        <v>148</v>
      </c>
      <c r="F33" s="500"/>
      <c r="G33" s="500"/>
      <c r="H33" s="500"/>
    </row>
    <row r="34" spans="2:8">
      <c r="B34"/>
      <c r="C34"/>
      <c r="D34"/>
      <c r="E34" s="500" t="s">
        <v>151</v>
      </c>
      <c r="F34" s="500"/>
      <c r="G34" s="500"/>
      <c r="H34" s="500"/>
    </row>
    <row r="35" spans="2:8">
      <c r="B35" s="138"/>
      <c r="C35"/>
      <c r="D35"/>
      <c r="E35" s="500"/>
      <c r="F35" s="500"/>
      <c r="G35" s="500"/>
      <c r="H35" s="500"/>
    </row>
    <row r="36" spans="2:8">
      <c r="B36"/>
      <c r="C36"/>
      <c r="D36"/>
      <c r="E36" s="500" t="s">
        <v>148</v>
      </c>
      <c r="F36" s="500"/>
      <c r="G36" s="500"/>
      <c r="H36" s="500"/>
    </row>
    <row r="37" spans="2:8">
      <c r="B37"/>
      <c r="C37"/>
      <c r="D37"/>
      <c r="E37" s="500" t="s">
        <v>152</v>
      </c>
      <c r="F37" s="500"/>
      <c r="G37" s="500"/>
      <c r="H37" s="500"/>
    </row>
    <row r="38" spans="2:8">
      <c r="B38" s="138"/>
      <c r="C38"/>
      <c r="D38"/>
      <c r="E38" s="500"/>
      <c r="F38" s="500"/>
      <c r="G38" s="500"/>
      <c r="H38" s="500"/>
    </row>
    <row r="39" spans="2:8">
      <c r="B39"/>
      <c r="C39"/>
      <c r="D39"/>
      <c r="E39" s="500" t="s">
        <v>148</v>
      </c>
      <c r="F39" s="500"/>
      <c r="G39" s="500"/>
      <c r="H39" s="500"/>
    </row>
    <row r="40" spans="2:8">
      <c r="B40"/>
      <c r="C40"/>
      <c r="D40"/>
      <c r="E40" s="500" t="s">
        <v>153</v>
      </c>
      <c r="F40" s="500"/>
      <c r="G40" s="500"/>
      <c r="H40" s="500"/>
    </row>
    <row r="41" spans="2:8">
      <c r="B41" s="138"/>
      <c r="C41"/>
      <c r="D41"/>
      <c r="E41"/>
      <c r="F41"/>
      <c r="G41"/>
      <c r="H41"/>
    </row>
    <row r="42" spans="2:8">
      <c r="B42" s="140"/>
      <c r="C42"/>
      <c r="D42"/>
      <c r="E42"/>
      <c r="F42"/>
      <c r="G42"/>
      <c r="H42"/>
    </row>
    <row r="43" spans="2:8">
      <c r="C43"/>
      <c r="D43"/>
      <c r="E43"/>
      <c r="F43"/>
      <c r="G43"/>
      <c r="H43"/>
    </row>
    <row r="44" spans="2:8">
      <c r="B44" s="134"/>
      <c r="E44" s="162"/>
      <c r="F44" s="162"/>
      <c r="G44" s="162"/>
      <c r="H44" s="162"/>
    </row>
    <row r="45" spans="2:8">
      <c r="D45" s="242" t="s">
        <v>47</v>
      </c>
      <c r="E45" s="261"/>
      <c r="F45" s="162"/>
      <c r="G45" s="162"/>
      <c r="H45" s="162"/>
    </row>
    <row r="46" spans="2:8">
      <c r="B46" s="140" t="s">
        <v>149</v>
      </c>
      <c r="E46" s="499"/>
      <c r="F46" s="499"/>
      <c r="G46" s="499"/>
      <c r="H46" s="499"/>
    </row>
    <row r="47" spans="2:8">
      <c r="B47" s="133"/>
      <c r="E47" s="499"/>
      <c r="F47" s="499"/>
      <c r="G47" s="499"/>
      <c r="H47" s="499"/>
    </row>
    <row r="48" spans="2:8">
      <c r="E48" s="499"/>
      <c r="F48" s="499"/>
      <c r="G48" s="499"/>
      <c r="H48" s="499"/>
    </row>
    <row r="49" spans="2:8">
      <c r="E49" s="499"/>
      <c r="F49" s="499"/>
      <c r="G49" s="499"/>
      <c r="H49" s="499"/>
    </row>
    <row r="50" spans="2:8">
      <c r="B50" s="133"/>
      <c r="E50" s="499"/>
      <c r="F50" s="499"/>
      <c r="G50" s="499"/>
      <c r="H50" s="499"/>
    </row>
    <row r="51" spans="2:8">
      <c r="B51" s="135"/>
    </row>
    <row r="52" spans="2:8">
      <c r="B52" s="135"/>
    </row>
    <row r="53" spans="2:8">
      <c r="B53" s="135"/>
    </row>
  </sheetData>
  <sheetProtection sheet="1" objects="1" scenarios="1"/>
  <mergeCells count="20">
    <mergeCell ref="B27:H28"/>
    <mergeCell ref="E33:H33"/>
    <mergeCell ref="B1:H1"/>
    <mergeCell ref="B3:H3"/>
    <mergeCell ref="B5:H6"/>
    <mergeCell ref="B11:H14"/>
    <mergeCell ref="B16:H17"/>
    <mergeCell ref="B23:H25"/>
    <mergeCell ref="E34:H34"/>
    <mergeCell ref="E35:H35"/>
    <mergeCell ref="E38:H38"/>
    <mergeCell ref="E39:H39"/>
    <mergeCell ref="E36:H36"/>
    <mergeCell ref="E37:H37"/>
    <mergeCell ref="E49:H49"/>
    <mergeCell ref="E50:H50"/>
    <mergeCell ref="E40:H40"/>
    <mergeCell ref="E46:H46"/>
    <mergeCell ref="E47:H47"/>
    <mergeCell ref="E48:H48"/>
  </mergeCells>
  <phoneticPr fontId="11" type="noConversion"/>
  <pageMargins left="0.75" right="0.75" top="1" bottom="1" header="0.5" footer="0.5"/>
  <pageSetup scale="72" orientation="portrait" blackAndWhite="1" r:id="rId1"/>
  <headerFooter alignWithMargins="0">
    <oddFooter>&amp;Lrevised</oddFooter>
  </headerFooter>
</worksheet>
</file>

<file path=xl/worksheets/sheet18.xml><?xml version="1.0" encoding="utf-8"?>
<worksheet xmlns="http://schemas.openxmlformats.org/spreadsheetml/2006/main" xmlns:r="http://schemas.openxmlformats.org/officeDocument/2006/relationships">
  <dimension ref="A1:A59"/>
  <sheetViews>
    <sheetView workbookViewId="0">
      <selection activeCell="A2" sqref="A2"/>
    </sheetView>
  </sheetViews>
  <sheetFormatPr defaultRowHeight="15.75"/>
  <cols>
    <col min="1" max="1" width="67.21875" style="1" customWidth="1"/>
    <col min="2" max="2" width="14.5546875" style="1" customWidth="1"/>
    <col min="3" max="3" width="14.21875" style="1" customWidth="1"/>
    <col min="4" max="16384" width="8.88671875" style="1"/>
  </cols>
  <sheetData>
    <row r="1" spans="1:1">
      <c r="A1" s="1" t="s">
        <v>368</v>
      </c>
    </row>
    <row r="2" spans="1:1">
      <c r="A2" s="1" t="s">
        <v>369</v>
      </c>
    </row>
    <row r="4" spans="1:1">
      <c r="A4" s="1" t="s">
        <v>364</v>
      </c>
    </row>
    <row r="5" spans="1:1">
      <c r="A5" s="1" t="s">
        <v>365</v>
      </c>
    </row>
    <row r="6" spans="1:1">
      <c r="A6" s="1" t="s">
        <v>366</v>
      </c>
    </row>
    <row r="7" spans="1:1">
      <c r="A7" s="1" t="s">
        <v>367</v>
      </c>
    </row>
    <row r="9" spans="1:1">
      <c r="A9" s="1" t="s">
        <v>360</v>
      </c>
    </row>
    <row r="10" spans="1:1">
      <c r="A10" s="1" t="s">
        <v>361</v>
      </c>
    </row>
    <row r="11" spans="1:1">
      <c r="A11" s="1" t="s">
        <v>362</v>
      </c>
    </row>
    <row r="13" spans="1:1">
      <c r="A13" s="1" t="s">
        <v>328</v>
      </c>
    </row>
    <row r="14" spans="1:1">
      <c r="A14" s="1" t="s">
        <v>312</v>
      </c>
    </row>
    <row r="15" spans="1:1" ht="33" customHeight="1">
      <c r="A15" s="4" t="s">
        <v>313</v>
      </c>
    </row>
    <row r="16" spans="1:1">
      <c r="A16" s="1" t="s">
        <v>314</v>
      </c>
    </row>
    <row r="17" spans="1:1">
      <c r="A17" s="1" t="s">
        <v>315</v>
      </c>
    </row>
    <row r="18" spans="1:1">
      <c r="A18" s="1" t="s">
        <v>316</v>
      </c>
    </row>
    <row r="19" spans="1:1">
      <c r="A19" s="1" t="s">
        <v>317</v>
      </c>
    </row>
    <row r="20" spans="1:1" ht="36" customHeight="1">
      <c r="A20" s="4" t="s">
        <v>318</v>
      </c>
    </row>
    <row r="21" spans="1:1" ht="35.25" customHeight="1">
      <c r="A21" s="4" t="s">
        <v>319</v>
      </c>
    </row>
    <row r="22" spans="1:1" ht="33" customHeight="1">
      <c r="A22" s="4" t="s">
        <v>320</v>
      </c>
    </row>
    <row r="23" spans="1:1" ht="24" customHeight="1">
      <c r="A23" s="4" t="s">
        <v>321</v>
      </c>
    </row>
    <row r="24" spans="1:1" ht="35.25" customHeight="1">
      <c r="A24" s="4" t="s">
        <v>322</v>
      </c>
    </row>
    <row r="25" spans="1:1">
      <c r="A25" s="1" t="s">
        <v>323</v>
      </c>
    </row>
    <row r="26" spans="1:1">
      <c r="A26" s="1" t="s">
        <v>324</v>
      </c>
    </row>
    <row r="27" spans="1:1">
      <c r="A27" s="1" t="s">
        <v>325</v>
      </c>
    </row>
    <row r="28" spans="1:1">
      <c r="A28" s="1" t="s">
        <v>326</v>
      </c>
    </row>
    <row r="29" spans="1:1">
      <c r="A29" s="1" t="s">
        <v>327</v>
      </c>
    </row>
    <row r="32" spans="1:1">
      <c r="A32" s="1" t="s">
        <v>213</v>
      </c>
    </row>
    <row r="33" spans="1:1">
      <c r="A33" s="1" t="s">
        <v>214</v>
      </c>
    </row>
    <row r="34" spans="1:1">
      <c r="A34" s="1" t="s">
        <v>215</v>
      </c>
    </row>
    <row r="35" spans="1:1">
      <c r="A35" s="1" t="s">
        <v>216</v>
      </c>
    </row>
    <row r="36" spans="1:1">
      <c r="A36" s="1" t="s">
        <v>217</v>
      </c>
    </row>
    <row r="37" spans="1:1">
      <c r="A37" s="1" t="s">
        <v>218</v>
      </c>
    </row>
    <row r="38" spans="1:1">
      <c r="A38" s="1" t="s">
        <v>219</v>
      </c>
    </row>
    <row r="39" spans="1:1">
      <c r="A39" s="1" t="s">
        <v>220</v>
      </c>
    </row>
    <row r="40" spans="1:1">
      <c r="A40" s="1" t="s">
        <v>221</v>
      </c>
    </row>
    <row r="41" spans="1:1">
      <c r="A41" s="1" t="s">
        <v>222</v>
      </c>
    </row>
    <row r="42" spans="1:1">
      <c r="A42" s="1" t="s">
        <v>223</v>
      </c>
    </row>
    <row r="43" spans="1:1">
      <c r="A43" s="1" t="s">
        <v>224</v>
      </c>
    </row>
    <row r="44" spans="1:1">
      <c r="A44" s="1" t="s">
        <v>225</v>
      </c>
    </row>
    <row r="45" spans="1:1">
      <c r="A45" s="1" t="s">
        <v>226</v>
      </c>
    </row>
    <row r="46" spans="1:1">
      <c r="A46" s="1" t="s">
        <v>227</v>
      </c>
    </row>
    <row r="47" spans="1:1">
      <c r="A47" s="1" t="s">
        <v>236</v>
      </c>
    </row>
    <row r="48" spans="1:1">
      <c r="A48" s="1" t="s">
        <v>245</v>
      </c>
    </row>
    <row r="49" spans="1:1">
      <c r="A49" s="1" t="s">
        <v>246</v>
      </c>
    </row>
    <row r="50" spans="1:1">
      <c r="A50" s="1" t="s">
        <v>284</v>
      </c>
    </row>
    <row r="51" spans="1:1">
      <c r="A51" s="1" t="s">
        <v>285</v>
      </c>
    </row>
    <row r="52" spans="1:1">
      <c r="A52" s="1" t="s">
        <v>286</v>
      </c>
    </row>
    <row r="53" spans="1:1">
      <c r="A53" s="1" t="s">
        <v>257</v>
      </c>
    </row>
    <row r="54" spans="1:1">
      <c r="A54" s="1" t="s">
        <v>258</v>
      </c>
    </row>
    <row r="55" spans="1:1">
      <c r="A55" s="1" t="s">
        <v>287</v>
      </c>
    </row>
    <row r="56" spans="1:1">
      <c r="A56" s="1" t="s">
        <v>288</v>
      </c>
    </row>
    <row r="57" spans="1:1">
      <c r="A57" s="1" t="s">
        <v>306</v>
      </c>
    </row>
    <row r="58" spans="1:1">
      <c r="A58" s="1" t="s">
        <v>307</v>
      </c>
    </row>
    <row r="59" spans="1:1">
      <c r="A59" s="1" t="s">
        <v>311</v>
      </c>
    </row>
  </sheetData>
  <sheetProtection sheet="1" objects="1" scenarios="1"/>
  <phoneticPr fontId="0" type="noConversion"/>
  <pageMargins left="0.75" right="0.75" top="1" bottom="1"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legacyDrawing r:id="rId1"/>
  <oleObjects>
    <oleObject progId="AcroExch.Document.7" shapeId="1025" r:id="rId2"/>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vt:i4>
      </vt:variant>
    </vt:vector>
  </HeadingPairs>
  <TitlesOfParts>
    <vt:vector size="20" baseType="lpstr">
      <vt:lpstr>instructions</vt:lpstr>
      <vt:lpstr>inputPrYr</vt:lpstr>
      <vt:lpstr>inputOth</vt:lpstr>
      <vt:lpstr>cert</vt:lpstr>
      <vt:lpstr>Signed Cert. Page</vt:lpstr>
      <vt:lpstr>computation</vt:lpstr>
      <vt:lpstr>mvalloc</vt:lpstr>
      <vt:lpstr>transfers</vt:lpstr>
      <vt:lpstr>debt</vt:lpstr>
      <vt:lpstr>gen</vt:lpstr>
      <vt:lpstr>debt service</vt:lpstr>
      <vt:lpstr>levypage8</vt:lpstr>
      <vt:lpstr>nolevypage9</vt:lpstr>
      <vt:lpstr>NonBud</vt:lpstr>
      <vt:lpstr>summ</vt:lpstr>
      <vt:lpstr>Nhood</vt:lpstr>
      <vt:lpstr>Resolution</vt:lpstr>
      <vt:lpstr>legend</vt:lpstr>
      <vt:lpstr>CFP Publication</vt:lpstr>
      <vt:lpstr>cert!Print_Area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 district</dc:title>
  <dc:creator>Valued Customer of</dc:creator>
  <cp:lastModifiedBy>NexTech</cp:lastModifiedBy>
  <cp:lastPrinted>2009-03-19T14:39:16Z</cp:lastPrinted>
  <dcterms:created xsi:type="dcterms:W3CDTF">1999-08-06T13:59:57Z</dcterms:created>
  <dcterms:modified xsi:type="dcterms:W3CDTF">2009-10-13T21:06:32Z</dcterms:modified>
</cp:coreProperties>
</file>