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10" tabRatio="909" firstSheet="17" activeTab="23"/>
  </bookViews>
  <sheets>
    <sheet name="Instructions" sheetId="1" r:id="rId1"/>
    <sheet name="inputPrYr" sheetId="2" r:id="rId2"/>
    <sheet name="inputOth" sheetId="3" r:id="rId3"/>
    <sheet name="cert" sheetId="4" r:id="rId4"/>
    <sheet name="computation" sheetId="5" r:id="rId5"/>
    <sheet name="mvalloc" sheetId="6" r:id="rId6"/>
    <sheet name="transfers" sheetId="7" r:id="rId7"/>
    <sheet name="debt" sheetId="8" r:id="rId8"/>
    <sheet name="lpform" sheetId="9" r:id="rId9"/>
    <sheet name="general" sheetId="10" r:id="rId10"/>
    <sheet name="GenDetail" sheetId="11" r:id="rId11"/>
    <sheet name="DebtService" sheetId="12" r:id="rId12"/>
    <sheet name="levy page9" sheetId="13" r:id="rId13"/>
    <sheet name="levy page10" sheetId="14" r:id="rId14"/>
    <sheet name="levy page11" sheetId="15" r:id="rId15"/>
    <sheet name="levy page12" sheetId="16" r:id="rId16"/>
    <sheet name="levy page13" sheetId="17" r:id="rId17"/>
    <sheet name="Sp Hiway" sheetId="18" r:id="rId18"/>
    <sheet name="no levy page15" sheetId="19" r:id="rId19"/>
    <sheet name="no levy page16" sheetId="20" r:id="rId20"/>
    <sheet name="no levy page17" sheetId="21" r:id="rId21"/>
    <sheet name="no levy page18" sheetId="22" r:id="rId22"/>
    <sheet name="no levy page19" sheetId="23" r:id="rId23"/>
    <sheet name="SinNoLevy20" sheetId="24" r:id="rId24"/>
    <sheet name="SinNoLevy21" sheetId="25" r:id="rId25"/>
    <sheet name="SinNoLevy22" sheetId="26" r:id="rId26"/>
    <sheet name="SinNoLevy23" sheetId="27" r:id="rId27"/>
    <sheet name="NonBudA" sheetId="28" r:id="rId28"/>
    <sheet name="NonBudB" sheetId="29" r:id="rId29"/>
    <sheet name="NonBudC" sheetId="30" r:id="rId30"/>
    <sheet name="NonBudD" sheetId="31" r:id="rId31"/>
    <sheet name="summ" sheetId="32" r:id="rId32"/>
    <sheet name="nhood" sheetId="33" r:id="rId33"/>
    <sheet name="ordinance" sheetId="34" r:id="rId34"/>
    <sheet name="legend" sheetId="35" r:id="rId35"/>
  </sheets>
  <externalReferences>
    <externalReference r:id="rId38"/>
  </externalReferences>
  <definedNames>
    <definedName name="_xlnm.Print_Area" localSheetId="10">'GenDetail'!$A$1:$D$98</definedName>
    <definedName name="_xlnm.Print_Area" localSheetId="1">'inputPrYr'!$A$1:$E$118</definedName>
    <definedName name="_xlnm.Print_Area" localSheetId="13">'levy page10'!$A$1:$G$74</definedName>
    <definedName name="_xlnm.Print_Area" localSheetId="8">'lpform'!$A$1:$H$38</definedName>
    <definedName name="_xlnm.Print_Area" localSheetId="31">'summ'!$A$1:$H$53</definedName>
  </definedNames>
  <calcPr fullCalcOnLoad="1"/>
</workbook>
</file>

<file path=xl/sharedStrings.xml><?xml version="1.0" encoding="utf-8"?>
<sst xmlns="http://schemas.openxmlformats.org/spreadsheetml/2006/main" count="1711" uniqueCount="641">
  <si>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</si>
  <si>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</si>
  <si>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</si>
  <si>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 xml:space="preserve">8.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</si>
  <si>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Outstanding Indebtedness, January 1:</t>
  </si>
  <si>
    <t>If any of the numbers are wrong, change them on this input sheet.</t>
  </si>
  <si>
    <t>Enter the following information from the sources shown.  This information                                              will be entered on the budget forms in the appropriate locations.</t>
  </si>
  <si>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</si>
  <si>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</si>
  <si>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</si>
  <si>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</si>
  <si>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</si>
  <si>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</si>
  <si>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</si>
  <si>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</si>
  <si>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Funds</t>
  </si>
  <si>
    <t>Budget Authority</t>
  </si>
  <si>
    <t xml:space="preserve">expenditure amounts should reflect the amended </t>
  </si>
  <si>
    <t>expenditure amounts.</t>
  </si>
  <si>
    <r>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r>
    <r>
      <rPr>
        <b/>
        <sz val="12"/>
        <rFont val="Times New Roman"/>
        <family val="1"/>
      </rPr>
      <t>Do not use the copy and move functions on this page.  Do not add or delete lines on this page.</t>
    </r>
  </si>
  <si>
    <r>
      <t xml:space="preserve">Note: Adjustments are only required if the transfer expenditure </t>
    </r>
    <r>
      <rPr>
        <u val="single"/>
        <sz val="12"/>
        <rFont val="Times New Roman"/>
        <family val="1"/>
      </rPr>
      <t>is not shown</t>
    </r>
    <r>
      <rPr>
        <sz val="12"/>
        <rFont val="Times New Roman"/>
        <family val="1"/>
      </rPr>
      <t xml:space="preserve"> in the Budget Summary total.</t>
    </r>
  </si>
  <si>
    <t>FUND PAGE</t>
  </si>
  <si>
    <t>Net Valuation Factor:</t>
  </si>
  <si>
    <t>Neighborhood Revitalization Subj to Rebate</t>
  </si>
  <si>
    <t>Neighborhood Revitalization factor</t>
  </si>
  <si>
    <t>Neighborhood Revitalization Rebate</t>
  </si>
  <si>
    <t>Miscellaneous</t>
  </si>
  <si>
    <t>Does miscellaneous exceed 10% of Total Expenditures</t>
  </si>
  <si>
    <t>Does miscellaneous exceed 10% of Total Receipts</t>
  </si>
  <si>
    <r>
      <t xml:space="preserve">10.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</si>
  <si>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</si>
  <si>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</si>
  <si>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</si>
  <si>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</si>
  <si>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t xml:space="preserve">           General Fund - Detail Expend</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</si>
  <si>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r>
      <rPr>
        <b/>
        <sz val="12"/>
        <rFont val="Times New Roman"/>
        <family val="1"/>
      </rPr>
      <t>Do not use the copy and move functions on this page.   Do not add or delete lines on this page</t>
    </r>
    <r>
      <rPr>
        <sz val="12"/>
        <rFont val="Times New Roman"/>
        <family val="1"/>
      </rPr>
      <t>.</t>
    </r>
  </si>
  <si>
    <r>
      <t xml:space="preserve">Budgets are required to be sent to the County Clerk </t>
    </r>
    <r>
      <rPr>
        <b/>
        <sz val="12"/>
        <rFont val="Times New Roman"/>
        <family val="1"/>
      </rPr>
      <t>by August 25</t>
    </r>
    <r>
      <rPr>
        <sz val="12"/>
        <rFont val="Times New Roman"/>
        <family val="1"/>
      </rPr>
      <t xml:space="preserve"> of each year. </t>
    </r>
  </si>
  <si>
    <t>5.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</si>
  <si>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r>
      <t xml:space="preserve">6a. Transfers total are at the bottom of the schedule which are linked to the Budget Summary page. Adjustments are needed to reduce the expenditures when the expenditure transfer </t>
    </r>
    <r>
      <rPr>
        <b/>
        <sz val="12"/>
        <rFont val="Times New Roman"/>
        <family val="1"/>
      </rPr>
      <t>does</t>
    </r>
    <r>
      <rPr>
        <sz val="12"/>
        <rFont val="Times New Roman"/>
        <family val="1"/>
      </rPr>
      <t xml:space="preserve"> not appear in the total for the Budget Summary.</t>
    </r>
  </si>
  <si>
    <t>Enter City Name (City of)</t>
  </si>
  <si>
    <t>Enter County Name followed by "County"</t>
  </si>
  <si>
    <r>
      <t xml:space="preserve">11a.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</si>
  <si>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11b. The second green shaded area, you will to provide the location where the budget information will be available for review.</t>
  </si>
  <si>
    <t>11c. The third green shaded area, provide the title of person that will be signing the form.</t>
  </si>
  <si>
    <t>11d. The fourth green shaded area, enter the page number.</t>
  </si>
  <si>
    <t xml:space="preserve">11e. Before printing, review the form to ensure all the information is provided and the figures are correct. Print the page, have official sign it, and take to the local newspaper for printing. </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</si>
  <si>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</si>
  <si>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12.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</si>
  <si>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</si>
  <si>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</si>
  <si>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</si>
  <si>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</si>
  <si>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</si>
  <si>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</si>
  <si>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</si>
  <si>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</si>
  <si>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</si>
  <si>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</si>
  <si>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</si>
  <si>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</si>
  <si>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</si>
  <si>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</si>
  <si>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</si>
  <si>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</si>
  <si>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</si>
  <si>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</si>
  <si>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</si>
  <si>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</si>
  <si>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</si>
  <si>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</si>
  <si>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</si>
  <si>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</si>
  <si>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</si>
  <si>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</si>
  <si>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r>
      <t xml:space="preserve">9b.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</si>
  <si>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t>9g. The non-budgeted pages in the last column, the last two boxes should have the same figures as the last box take totals from the right side with the next to last box takes totals from the bottom.</t>
  </si>
  <si>
    <t>Debt Service</t>
  </si>
  <si>
    <t>Non-Appr Bal</t>
  </si>
  <si>
    <t>Tot Exp/Non-Appr Bal</t>
  </si>
  <si>
    <t xml:space="preserve"> Del Comp Rate:</t>
  </si>
  <si>
    <r>
      <t xml:space="preserve"> Sub-Total detail page (</t>
    </r>
    <r>
      <rPr>
        <sz val="12"/>
        <color indexed="10"/>
        <rFont val="Times New Roman"/>
        <family val="1"/>
      </rPr>
      <t>Note should agree with detail</t>
    </r>
    <r>
      <rPr>
        <sz val="12"/>
        <rFont val="Times New Roman"/>
        <family val="1"/>
      </rPr>
      <t>)</t>
    </r>
  </si>
  <si>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</si>
  <si>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</si>
  <si>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</si>
  <si>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</si>
  <si>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</si>
  <si>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</si>
  <si>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</si>
  <si>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</si>
  <si>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</si>
  <si>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</si>
  <si>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t xml:space="preserve">9e. The 4 single no levy pages (SinNoLevy18 to SinNoLevy21) are for a fund that has numerous lines for receipts or expenditures that does not fit on one of the other no levy pages.  Additional lines may be added as needed. </t>
  </si>
  <si>
    <r>
      <t xml:space="preserve">9h.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</si>
  <si>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 xml:space="preserve">10b.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</si>
  <si>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10c. </t>
    </r>
    <r>
      <rPr>
        <b/>
        <sz val="12"/>
        <rFont val="Times New Roman"/>
        <family val="1"/>
      </rPr>
      <t>Note: If you do not have Neighborhood Revitalization, these steps are not done.</t>
    </r>
  </si>
  <si>
    <r>
      <t xml:space="preserve">10a.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</si>
  <si>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</si>
  <si>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</si>
  <si>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</si>
  <si>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r>
      <t>9l.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</si>
  <si>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r>
      <t xml:space="preserve">9d.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</si>
  <si>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</si>
  <si>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</si>
  <si>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</si>
  <si>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</si>
  <si>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4b. Print the Ordinance page (ordinance) if the max levy is exceeded.  Complete the printed ordinance and have it published.  Ensure the published ordinance is attached to the budget.</t>
  </si>
  <si>
    <t xml:space="preserve">Ad Valorem Tax </t>
  </si>
  <si>
    <r>
      <t>4a.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</si>
  <si>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4.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</si>
  <si>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t>City 2 spreadsheets has General Fund page (general), Debt Service page (DebtService), 10 tax levy pages (levy page9 to levy page13), Special Highway page (Sp Hiway), 11 no levy fund pages (nolevypage15 to nolevypage19 with one under the Sp Hiway tab), 4 single no levy pages (SinNoLevy18-SinNolevy21), and 20 non-budgeted fund pages (NonBudA to NonBudB).</t>
  </si>
  <si>
    <t>9.  The spreadsheet has individual fund sheets for General Fund (general), Debt Service (DebtService),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</si>
  <si>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</si>
  <si>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9a. General Detail page 7a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</si>
  <si>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</si>
  <si>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9i. Each fund after the "unencumbered cash bal dec31", will show the budget authority expenditure amount for the actual and current year, Violation of Budget Law, and Possible Cash Violation. </t>
  </si>
  <si>
    <r>
      <t>9j.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Yes</t>
    </r>
    <r>
      <rPr>
        <sz val="12"/>
        <rFont val="Times New Roman"/>
        <family val="1"/>
      </rPr>
      <t>' appears to indicate a violation and the expenditure blocks turns red.  Another comparison is made for the unencumbered cash balance dec 31 to determine if the fund ended with a negative cash balance and if so, then a '</t>
    </r>
    <r>
      <rPr>
        <sz val="12"/>
        <color indexed="10"/>
        <rFont val="Times New Roman"/>
        <family val="1"/>
      </rPr>
      <t>Yes</t>
    </r>
    <r>
      <rPr>
        <sz val="12"/>
        <rFont val="Times New Roman"/>
        <family val="1"/>
      </rPr>
      <t>' will appear for the violation and the unencumbered cash block turns red. No Action is required at this time to correct the violation. The purpose of this tool is to make you aware of the violation and corrective action should take place to prevent future occurrences. The actual year receipts and expenditures should always reflect the events that had taken place even if a violation occurs. If a violation does not occur, then a red '</t>
    </r>
    <r>
      <rPr>
        <sz val="12"/>
        <color indexed="10"/>
        <rFont val="Times New Roman"/>
        <family val="1"/>
      </rPr>
      <t>No</t>
    </r>
    <r>
      <rPr>
        <sz val="12"/>
        <rFont val="Times New Roman"/>
        <family val="1"/>
      </rPr>
      <t>' will appear.</t>
    </r>
  </si>
  <si>
    <r>
      <t>9k. A comparison is mabe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</si>
  <si>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</si>
  <si>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</si>
  <si>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</si>
  <si>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</si>
  <si>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r>
      <t>9f. The 2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</si>
  <si>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</si>
  <si>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</si>
  <si>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</si>
  <si>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</si>
  <si>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</si>
  <si>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</si>
  <si>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</si>
  <si>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</si>
  <si>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</si>
  <si>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</si>
  <si>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</si>
  <si>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</si>
  <si>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</si>
  <si>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</si>
  <si>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</si>
  <si>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</si>
  <si>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</si>
  <si>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</si>
  <si>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</si>
  <si>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</si>
  <si>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</si>
  <si>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</si>
  <si>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</si>
  <si>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</si>
  <si>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State Use Only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</si>
  <si>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</si>
  <si>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</si>
  <si>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</si>
  <si>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</si>
  <si>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</si>
  <si>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</si>
  <si>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</si>
  <si>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</si>
  <si>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</si>
  <si>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</si>
  <si>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</si>
  <si>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</si>
  <si>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</si>
  <si>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</si>
  <si>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</si>
  <si>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</si>
  <si>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</si>
  <si>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</si>
  <si>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</si>
  <si>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</si>
  <si>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</si>
  <si>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</si>
  <si>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</si>
  <si>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</si>
  <si>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</si>
  <si>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</si>
  <si>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</si>
  <si>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</si>
  <si>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</si>
  <si>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</si>
  <si>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and will be available at this hearing.</t>
  </si>
  <si>
    <t>Prior Year Actual</t>
  </si>
  <si>
    <t>Actual</t>
  </si>
  <si>
    <t xml:space="preserve">     FUND</t>
  </si>
  <si>
    <t xml:space="preserve"> Expenditures</t>
  </si>
  <si>
    <t>Tax Rate *</t>
  </si>
  <si>
    <t>Expenditures</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</si>
  <si>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</si>
  <si>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</si>
  <si>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</si>
  <si>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</si>
  <si>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</si>
  <si>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</si>
  <si>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</si>
  <si>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</si>
  <si>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</si>
  <si>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</si>
  <si>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</si>
  <si>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</si>
  <si>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</si>
  <si>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</si>
  <si>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</si>
  <si>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</si>
  <si>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</si>
  <si>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</si>
  <si>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</si>
  <si>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</si>
  <si>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</si>
  <si>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</si>
  <si>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</si>
  <si>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</si>
  <si>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</si>
  <si>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</si>
  <si>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</si>
  <si>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</si>
  <si>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</si>
  <si>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</si>
  <si>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</si>
  <si>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</si>
  <si>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</si>
  <si>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</si>
  <si>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</si>
  <si>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</si>
  <si>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</si>
  <si>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</si>
  <si>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We, the undersigned,  officers of</t>
  </si>
  <si>
    <t>Received_______________</t>
  </si>
  <si>
    <t>Reviewed by___________</t>
  </si>
  <si>
    <t>Follow-up:  Yes___No___</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</si>
  <si>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</si>
  <si>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</si>
  <si>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</si>
  <si>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</si>
  <si>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</si>
  <si>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</si>
  <si>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</si>
  <si>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</si>
  <si>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</si>
  <si>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</si>
  <si>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</si>
  <si>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</si>
  <si>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</si>
  <si>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hearing and answering objections of taxpayers relating  to the proposed use of all funds and the amount of ad valorem tax.</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</si>
  <si>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</si>
  <si>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</si>
  <si>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</si>
  <si>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</si>
  <si>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</si>
  <si>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</si>
  <si>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</si>
  <si>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</si>
  <si>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</si>
  <si>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</si>
  <si>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</si>
  <si>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</si>
  <si>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</si>
  <si>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</si>
  <si>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</si>
  <si>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</si>
  <si>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</si>
  <si>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</si>
  <si>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</si>
  <si>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</si>
  <si>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</si>
  <si>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</si>
  <si>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</si>
  <si>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</si>
  <si>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</si>
  <si>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</si>
  <si>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</si>
  <si>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</si>
  <si>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</si>
  <si>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</si>
  <si>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</si>
  <si>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</si>
  <si>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</si>
  <si>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</si>
  <si>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</si>
  <si>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</si>
  <si>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</si>
  <si>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</si>
  <si>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</si>
  <si>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</si>
  <si>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</si>
  <si>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</si>
  <si>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</si>
  <si>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</si>
  <si>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</si>
  <si>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</si>
  <si>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</si>
  <si>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</si>
  <si>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</si>
  <si>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</si>
  <si>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</si>
  <si>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</si>
  <si>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</si>
  <si>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</si>
  <si>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</si>
  <si>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</si>
  <si>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</si>
  <si>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Page No. 7</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</si>
  <si>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</si>
  <si>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</si>
  <si>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</si>
  <si>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</si>
  <si>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</si>
  <si>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</si>
  <si>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</si>
  <si>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</si>
  <si>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</si>
  <si>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Page No. 7a</t>
  </si>
  <si>
    <t>7b</t>
  </si>
  <si>
    <t xml:space="preserve">Fund </t>
  </si>
  <si>
    <t>Current</t>
  </si>
  <si>
    <t>Proposed</t>
  </si>
  <si>
    <t>City 2 Spreadsheet Instructions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</si>
  <si>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</si>
  <si>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</si>
  <si>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</si>
  <si>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</si>
  <si>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</si>
  <si>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</si>
  <si>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</si>
  <si>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</si>
  <si>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</si>
  <si>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</si>
  <si>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</si>
  <si>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</si>
  <si>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</si>
  <si>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</si>
  <si>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</si>
  <si>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</si>
  <si>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Bond &amp; Interest</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</si>
  <si>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</si>
  <si>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</si>
  <si>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</si>
  <si>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</si>
  <si>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</si>
  <si>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</si>
  <si>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</si>
  <si>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</si>
  <si>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</si>
  <si>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</si>
  <si>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</si>
  <si>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</si>
  <si>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</si>
  <si>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</si>
  <si>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</si>
  <si>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 xml:space="preserve">Prior Year Actual </t>
  </si>
  <si>
    <t>County Transfers Gas</t>
  </si>
  <si>
    <t>Ad Valorem</t>
  </si>
  <si>
    <t>Tax</t>
  </si>
  <si>
    <t>Beginning Amount</t>
  </si>
  <si>
    <t xml:space="preserve">of </t>
  </si>
  <si>
    <t>Outstanding</t>
  </si>
  <si>
    <t>Retirement</t>
  </si>
  <si>
    <t xml:space="preserve">Total Other </t>
  </si>
  <si>
    <t>Transfers</t>
  </si>
  <si>
    <t xml:space="preserve">Transferred </t>
  </si>
  <si>
    <t>Transferred</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</si>
  <si>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</si>
  <si>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</si>
  <si>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</si>
  <si>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</si>
  <si>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</si>
  <si>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</si>
  <si>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</si>
  <si>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</si>
  <si>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</si>
  <si>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</si>
  <si>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</si>
  <si>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</si>
  <si>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</si>
  <si>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</si>
  <si>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</si>
  <si>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</si>
  <si>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</si>
  <si>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</si>
  <si>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</si>
  <si>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</si>
  <si>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</si>
  <si>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</si>
  <si>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</si>
  <si>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</si>
  <si>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</si>
  <si>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</si>
  <si>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</si>
  <si>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</si>
  <si>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</si>
  <si>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</si>
  <si>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</si>
  <si>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</si>
  <si>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</si>
  <si>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</si>
  <si>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</si>
  <si>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</si>
  <si>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</si>
  <si>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</si>
  <si>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</si>
  <si>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</si>
  <si>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</si>
  <si>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</si>
  <si>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3.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</si>
  <si>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3a.  If someone other than a municipal employee assists in preparing the budget, please enter the person's or firm's name and address in the area provided. </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</si>
  <si>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</si>
  <si>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</si>
  <si>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</si>
  <si>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</si>
  <si>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</si>
  <si>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</si>
  <si>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</si>
  <si>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</si>
  <si>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</si>
  <si>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November 1st Total Assessed Valuation</t>
  </si>
  <si>
    <t>3b.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</si>
  <si>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 xml:space="preserve">7.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</si>
  <si>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t>**</t>
  </si>
  <si>
    <t>**Note: The two bold yellow figures should agree.</t>
  </si>
  <si>
    <t>**Note: These two block figures should agree.</t>
  </si>
  <si>
    <t>6.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</si>
  <si>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9c.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</si>
  <si>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</si>
  <si>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</si>
  <si>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</si>
  <si>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</si>
  <si>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</si>
  <si>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</si>
  <si>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</si>
  <si>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</si>
  <si>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</si>
  <si>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</si>
  <si>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</si>
  <si>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</si>
  <si>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</si>
  <si>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</si>
  <si>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</si>
  <si>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City of Ellsworth</t>
  </si>
  <si>
    <t>County of Ellsworth</t>
  </si>
  <si>
    <t>Library</t>
  </si>
  <si>
    <t>12-1220</t>
  </si>
  <si>
    <t>Fire/Police Equipment</t>
  </si>
  <si>
    <t>12-110b</t>
  </si>
  <si>
    <t>Special Parks &amp; Recreation</t>
  </si>
  <si>
    <t>Solid Waste</t>
  </si>
  <si>
    <t>Capital Improvements</t>
  </si>
  <si>
    <t>Municipal Equipment</t>
  </si>
  <si>
    <t>Tourism &amp; Convention</t>
  </si>
  <si>
    <t>Transportaion District</t>
  </si>
  <si>
    <t>W/S Improvenment</t>
  </si>
  <si>
    <t>WWTP Improvement</t>
  </si>
  <si>
    <t>Water/Sewer</t>
  </si>
  <si>
    <t>Recreation &amp; Pool</t>
  </si>
  <si>
    <t>W/S Emergency Depreciation</t>
  </si>
  <si>
    <t>G.O. Bond 2001</t>
  </si>
  <si>
    <t>2/1 &amp; 8/1</t>
  </si>
  <si>
    <t>G.O. Bond 2005</t>
  </si>
  <si>
    <t>6/1 &amp; 12/1</t>
  </si>
  <si>
    <t>KDH&amp;E Water Loan</t>
  </si>
  <si>
    <t>KDH&amp;E Waste Water Loan</t>
  </si>
  <si>
    <t>3/1 &amp; 9/1</t>
  </si>
  <si>
    <t>2/1 &amp; 9/1</t>
  </si>
  <si>
    <t>Fire Truck</t>
  </si>
  <si>
    <t>Backhoe/Street Sweeper</t>
  </si>
  <si>
    <t>Connecting Link</t>
  </si>
  <si>
    <t>Electric Franchise</t>
  </si>
  <si>
    <t>Gas Franchise</t>
  </si>
  <si>
    <t>Telephone Franchise</t>
  </si>
  <si>
    <t>Water/Sewer Franchise</t>
  </si>
  <si>
    <t>Airport</t>
  </si>
  <si>
    <t>Licenses</t>
  </si>
  <si>
    <t>Burial Permits</t>
  </si>
  <si>
    <t>Cemetery Lots</t>
  </si>
  <si>
    <t>Building Permits</t>
  </si>
  <si>
    <t>Leases</t>
  </si>
  <si>
    <t>Hall Rent</t>
  </si>
  <si>
    <t>Dog Impoundment</t>
  </si>
  <si>
    <t>Cable Franchise</t>
  </si>
  <si>
    <t>Local Sales Tax</t>
  </si>
  <si>
    <t>County Sales Tax</t>
  </si>
  <si>
    <t>Donations</t>
  </si>
  <si>
    <t>Fines</t>
  </si>
  <si>
    <t>Fees</t>
  </si>
  <si>
    <t>Refunds &amp; Reimbursements</t>
  </si>
  <si>
    <t>Rural Fire Contracts</t>
  </si>
  <si>
    <t>Administrative Fees</t>
  </si>
  <si>
    <t>Concessions - Golf Course</t>
  </si>
  <si>
    <t>Season Pass</t>
  </si>
  <si>
    <t>Transfer from W/S Non-Oper to Emp. Benefits</t>
  </si>
  <si>
    <t>Sales Tax - Golf Course</t>
  </si>
  <si>
    <t>Green Fees</t>
  </si>
  <si>
    <t>Cart Rental</t>
  </si>
  <si>
    <t>Sponsorships for Tournaments</t>
  </si>
  <si>
    <t>Tournament Fees</t>
  </si>
  <si>
    <t>Jr. Golf Fees</t>
  </si>
  <si>
    <t>GHIN Handicap Fees</t>
  </si>
  <si>
    <t>Room Rental - Golf Course</t>
  </si>
  <si>
    <t>Trail Fees</t>
  </si>
  <si>
    <t>General Government</t>
  </si>
  <si>
    <t xml:space="preserve">  Transfer to Capital Improvements</t>
  </si>
  <si>
    <t xml:space="preserve">  Transfer to Municipal Equipement</t>
  </si>
  <si>
    <t>Police</t>
  </si>
  <si>
    <t>Fire</t>
  </si>
  <si>
    <t xml:space="preserve">  Fire Prevention Activities</t>
  </si>
  <si>
    <t>Street</t>
  </si>
  <si>
    <t>Street Lighting</t>
  </si>
  <si>
    <t>ECF Parks</t>
  </si>
  <si>
    <t>Cemetery</t>
  </si>
  <si>
    <t>Central Inspection</t>
  </si>
  <si>
    <t>Clubhouse</t>
  </si>
  <si>
    <t>Industrial</t>
  </si>
  <si>
    <t>Noxious Weed</t>
  </si>
  <si>
    <t>Recreation/Community Development</t>
  </si>
  <si>
    <t xml:space="preserve">  Transfer to Recreation</t>
  </si>
  <si>
    <t xml:space="preserve">  Community Development</t>
  </si>
  <si>
    <t>Golf Course</t>
  </si>
  <si>
    <t>Special Assessments</t>
  </si>
  <si>
    <t>Sales Tax</t>
  </si>
  <si>
    <t>Transfer from W/S Non-Operating</t>
  </si>
  <si>
    <t xml:space="preserve">  Bond Principal</t>
  </si>
  <si>
    <t xml:space="preserve">  Bond Interest</t>
  </si>
  <si>
    <t xml:space="preserve">  Library Board</t>
  </si>
  <si>
    <t xml:space="preserve">  Police Equipment</t>
  </si>
  <si>
    <t xml:space="preserve">  Fire Equipment</t>
  </si>
  <si>
    <t xml:space="preserve">  Maintenance</t>
  </si>
  <si>
    <t xml:space="preserve">  Contracual</t>
  </si>
  <si>
    <t xml:space="preserve">  Transfer to Capital Improvement</t>
  </si>
  <si>
    <t xml:space="preserve">  Transfer to Municipal Equipment</t>
  </si>
  <si>
    <t>Local Alcoholic Liqour</t>
  </si>
  <si>
    <t xml:space="preserve">  Uniforms</t>
  </si>
  <si>
    <t xml:space="preserve">  Electric</t>
  </si>
  <si>
    <t xml:space="preserve">  Equipment</t>
  </si>
  <si>
    <t xml:space="preserve">  Summer Recreation</t>
  </si>
  <si>
    <t>Collection Fees</t>
  </si>
  <si>
    <t xml:space="preserve">  Trash Collections</t>
  </si>
  <si>
    <t xml:space="preserve">  Publication &amp; Advertising</t>
  </si>
  <si>
    <t xml:space="preserve">  Supplies &amp; Parts</t>
  </si>
  <si>
    <t xml:space="preserve">  Administrative Expense</t>
  </si>
  <si>
    <t>Transfer From General Fund - General Government</t>
  </si>
  <si>
    <t>Transfer from General Fund - Police Department</t>
  </si>
  <si>
    <t>Transfer from General Fund - Fire Department</t>
  </si>
  <si>
    <t>Transfer from General Fund - Street Department</t>
  </si>
  <si>
    <t>Transfer from General Fund - Parks (ECF)</t>
  </si>
  <si>
    <t>Transfer from General Fund - Cemetery</t>
  </si>
  <si>
    <t>Transfer from General Fund - Central Inspection</t>
  </si>
  <si>
    <t>Transfer from General Fund - Airport</t>
  </si>
  <si>
    <t>Transfer from General Fund - Golf Course</t>
  </si>
  <si>
    <t>Transfer from Special Highway</t>
  </si>
  <si>
    <t>Transfer from Water/Sewer - Transmission</t>
  </si>
  <si>
    <t>Transfer from Water/Sewer - Sewage Disposal</t>
  </si>
  <si>
    <t>Transfer from Recreation &amp; Pool - Recreation</t>
  </si>
  <si>
    <t>Transfer from Recreation &amp; Pool - Pool</t>
  </si>
  <si>
    <t>Contractual</t>
  </si>
  <si>
    <t>Capital Outlay</t>
  </si>
  <si>
    <t>Downtown Street Scape</t>
  </si>
  <si>
    <t>Sales of Equipment</t>
  </si>
  <si>
    <t>Transfer from General Fund - General Government</t>
  </si>
  <si>
    <t>Transfer from General Fund - Street</t>
  </si>
  <si>
    <t>Transfer from General Fund - ECF Parks</t>
  </si>
  <si>
    <t>Transfer from General Fund - Clubhouse</t>
  </si>
  <si>
    <t xml:space="preserve">  Payments</t>
  </si>
  <si>
    <t>Transient Guest Tax</t>
  </si>
  <si>
    <t>Training</t>
  </si>
  <si>
    <t>Special Services</t>
  </si>
  <si>
    <t>Publication - Legal/Advertising</t>
  </si>
  <si>
    <t>Membership Dues</t>
  </si>
  <si>
    <t>Travel Expense</t>
  </si>
  <si>
    <t>Special Events</t>
  </si>
  <si>
    <t>Other Contractual</t>
  </si>
  <si>
    <t>Administrative Expense</t>
  </si>
  <si>
    <t>1% Sales Tax in District</t>
  </si>
  <si>
    <t xml:space="preserve">  Principal Payments</t>
  </si>
  <si>
    <t xml:space="preserve">  Interest Payments</t>
  </si>
  <si>
    <t xml:space="preserve">  Service Fees</t>
  </si>
  <si>
    <t>State Revolving Loan</t>
  </si>
  <si>
    <t>Grant Funding</t>
  </si>
  <si>
    <t>User Fee</t>
  </si>
  <si>
    <t>User Fee for WTP</t>
  </si>
  <si>
    <t>Sales &amp; Charges</t>
  </si>
  <si>
    <t>Sales &amp; Charges for Wtp</t>
  </si>
  <si>
    <t>Sewer Service Charges</t>
  </si>
  <si>
    <t>Sewer Sercies Charges for WWTP</t>
  </si>
  <si>
    <t>Penalties</t>
  </si>
  <si>
    <t>Consumer Deposit</t>
  </si>
  <si>
    <t>Refunds &amp; Reimbursemenets</t>
  </si>
  <si>
    <t>State Water Fee</t>
  </si>
  <si>
    <t>Administration</t>
  </si>
  <si>
    <t>Production</t>
  </si>
  <si>
    <t>Transmission</t>
  </si>
  <si>
    <t>Sewage Disposal</t>
  </si>
  <si>
    <t>Non-Operating Expense</t>
  </si>
  <si>
    <t xml:space="preserve">  Sales Tax, State Water Fee, Consumption Fee</t>
  </si>
  <si>
    <t xml:space="preserve">  Transfer to Water/Sewer Emergence Depr</t>
  </si>
  <si>
    <t xml:space="preserve">  Transfer to Bond &amp; Interest</t>
  </si>
  <si>
    <t xml:space="preserve">  Transfer to General - Employee Benefits</t>
  </si>
  <si>
    <t xml:space="preserve">  Transfer to Recreation &amp; Pool</t>
  </si>
  <si>
    <t xml:space="preserve">  Transfer to Water/Sewer Improvement Fund</t>
  </si>
  <si>
    <t>Miscellaneous Expense</t>
  </si>
  <si>
    <t>Commodities</t>
  </si>
  <si>
    <t>Season Passes</t>
  </si>
  <si>
    <t>Daily Fees</t>
  </si>
  <si>
    <t>Pool Maintenance Fee</t>
  </si>
  <si>
    <t>Change Fund Returned</t>
  </si>
  <si>
    <t>Concessions - Rec Center</t>
  </si>
  <si>
    <t>Concessions - Pool</t>
  </si>
  <si>
    <t>Facility User Fees</t>
  </si>
  <si>
    <t>Roadrunner</t>
  </si>
  <si>
    <t>Lessons</t>
  </si>
  <si>
    <t>Miscellaneous Income</t>
  </si>
  <si>
    <t>Reimbursed Expenses</t>
  </si>
  <si>
    <t>Transfer from General Fund</t>
  </si>
  <si>
    <t>Transfer from Water/Sewer</t>
  </si>
  <si>
    <t>Recreation</t>
  </si>
  <si>
    <t xml:space="preserve">  Commidities</t>
  </si>
  <si>
    <t>Pool</t>
  </si>
  <si>
    <t xml:space="preserve">  Personal Services</t>
  </si>
  <si>
    <t>General Fund - General Gov't</t>
  </si>
  <si>
    <t>CIP</t>
  </si>
  <si>
    <t>K.S.A. 12-1, 118</t>
  </si>
  <si>
    <t>ME</t>
  </si>
  <si>
    <t>K.S.A. 12-1, 117</t>
  </si>
  <si>
    <t>GeneraL Fund - Police</t>
  </si>
  <si>
    <t>General Fund - Police</t>
  </si>
  <si>
    <t>General Funhd - Fire Department</t>
  </si>
  <si>
    <t>General Fund - Fire Department</t>
  </si>
  <si>
    <t>General Fund - Street Department</t>
  </si>
  <si>
    <t>General Fund - ECF Parks</t>
  </si>
  <si>
    <t>General Fund - Cemetery</t>
  </si>
  <si>
    <t>General Fund - Central Inspection</t>
  </si>
  <si>
    <t>General Fund - Club House</t>
  </si>
  <si>
    <t>General Fund - Airport</t>
  </si>
  <si>
    <t>General Fund - Rec/Community</t>
  </si>
  <si>
    <t>Recration &amp; Pool</t>
  </si>
  <si>
    <t>K.S.A. 12-197</t>
  </si>
  <si>
    <t>General Fund - Golf Course</t>
  </si>
  <si>
    <t>Water/Sewer - Transmission</t>
  </si>
  <si>
    <t>Water/Sewer - Sewer</t>
  </si>
  <si>
    <t>Water/Sewer - Non Operating</t>
  </si>
  <si>
    <t>K.S.A. 12-825d</t>
  </si>
  <si>
    <t>Water/Sewer Improvement</t>
  </si>
  <si>
    <t>Recreation &amp; Pool - Recreation</t>
  </si>
  <si>
    <t>Recreation &amp; Pool - Pool</t>
  </si>
  <si>
    <t>General Fund - Emp Benefits</t>
  </si>
  <si>
    <t>will meet on the 10th day of August, 2009, at 6:45 P.M. at the City Hall Council Chambers for the purpose of</t>
  </si>
  <si>
    <t>Detailed budget information is available at 121 W. First Street, Ellsworth, KS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</si>
</sst>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s>
  <fonts count="57">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8"/>
      <color indexed="10"/>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double"/>
    </border>
    <border>
      <left>
        <color indexed="63"/>
      </left>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22">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5" fillId="0" borderId="0" xfId="0" applyFont="1" applyAlignment="1" applyProtection="1">
      <alignment horizontal="left" wrapText="1"/>
      <protection/>
    </xf>
    <xf numFmtId="0" fontId="5" fillId="0" borderId="0" xfId="0" applyFont="1" applyAlignment="1">
      <alignment horizontal="left"/>
    </xf>
    <xf numFmtId="0" fontId="5" fillId="0" borderId="0" xfId="0" applyFont="1" applyAlignment="1">
      <alignment wrapText="1"/>
    </xf>
    <xf numFmtId="0" fontId="5" fillId="0" borderId="0" xfId="0" applyFont="1" applyAlignment="1" applyProtection="1">
      <alignment wrapText="1"/>
      <protection/>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3" fontId="5" fillId="33" borderId="10" xfId="0" applyNumberFormat="1" applyFont="1" applyFill="1" applyBorder="1" applyAlignment="1" applyProtection="1">
      <alignment/>
      <protection locked="0"/>
    </xf>
    <xf numFmtId="164" fontId="5" fillId="33" borderId="10" xfId="0" applyNumberFormat="1" applyFont="1" applyFill="1" applyBorder="1" applyAlignment="1" applyProtection="1">
      <alignment/>
      <protection locked="0"/>
    </xf>
    <xf numFmtId="37" fontId="5" fillId="0" borderId="0" xfId="0" applyNumberFormat="1" applyFont="1" applyAlignment="1" applyProtection="1">
      <alignment/>
      <protection locked="0"/>
    </xf>
    <xf numFmtId="0" fontId="5" fillId="0" borderId="0" xfId="0" applyFont="1" applyAlignment="1">
      <alignment horizontal="centerContinuous"/>
    </xf>
    <xf numFmtId="37" fontId="5" fillId="33" borderId="10" xfId="0" applyNumberFormat="1" applyFont="1" applyFill="1" applyBorder="1" applyAlignment="1" applyProtection="1">
      <alignment/>
      <protection locked="0"/>
    </xf>
    <xf numFmtId="0" fontId="5" fillId="33" borderId="10" xfId="0" applyFont="1" applyFill="1" applyBorder="1" applyAlignment="1" applyProtection="1">
      <alignment horizontal="left"/>
      <protection locked="0"/>
    </xf>
    <xf numFmtId="3" fontId="5" fillId="0" borderId="0" xfId="0" applyNumberFormat="1" applyFont="1" applyAlignment="1" applyProtection="1">
      <alignment horizontal="fill"/>
      <protection locked="0"/>
    </xf>
    <xf numFmtId="0" fontId="5" fillId="33" borderId="0" xfId="0" applyFont="1" applyFill="1" applyAlignment="1" applyProtection="1">
      <alignment/>
      <protection locked="0"/>
    </xf>
    <xf numFmtId="3" fontId="5" fillId="33" borderId="10" xfId="0" applyNumberFormat="1" applyFont="1" applyFill="1" applyBorder="1" applyAlignment="1" applyProtection="1">
      <alignment/>
      <protection locked="0"/>
    </xf>
    <xf numFmtId="37" fontId="5" fillId="33" borderId="10" xfId="0" applyNumberFormat="1" applyFont="1" applyFill="1" applyBorder="1" applyAlignment="1" applyProtection="1">
      <alignment/>
      <protection locked="0"/>
    </xf>
    <xf numFmtId="0" fontId="7" fillId="0" borderId="0" xfId="0" applyFont="1" applyAlignment="1">
      <alignment/>
    </xf>
    <xf numFmtId="0" fontId="5" fillId="34" borderId="11" xfId="0" applyFont="1" applyFill="1" applyBorder="1" applyAlignment="1" applyProtection="1">
      <alignment/>
      <protection/>
    </xf>
    <xf numFmtId="0" fontId="5" fillId="34" borderId="0" xfId="0" applyFont="1" applyFill="1" applyAlignment="1" applyProtection="1">
      <alignment/>
      <protection/>
    </xf>
    <xf numFmtId="37" fontId="4" fillId="34" borderId="0" xfId="0" applyNumberFormat="1" applyFont="1" applyFill="1" applyAlignment="1" applyProtection="1">
      <alignment horizontal="lef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37" fontId="5" fillId="34" borderId="0" xfId="0" applyNumberFormat="1" applyFont="1" applyFill="1" applyAlignment="1" applyProtection="1">
      <alignment horizontal="left"/>
      <protection/>
    </xf>
    <xf numFmtId="37" fontId="5"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37" fontId="5" fillId="34" borderId="12" xfId="0" applyNumberFormat="1" applyFont="1" applyFill="1" applyBorder="1" applyAlignment="1" applyProtection="1">
      <alignment horizontal="centerContinuous"/>
      <protection/>
    </xf>
    <xf numFmtId="0" fontId="5" fillId="34" borderId="13" xfId="0" applyFont="1" applyFill="1" applyBorder="1" applyAlignment="1" applyProtection="1">
      <alignment horizontal="centerContinuous"/>
      <protection/>
    </xf>
    <xf numFmtId="0" fontId="5" fillId="34" borderId="14" xfId="0" applyFont="1" applyFill="1" applyBorder="1" applyAlignment="1" applyProtection="1">
      <alignment horizontal="centerContinuous"/>
      <protection/>
    </xf>
    <xf numFmtId="37" fontId="5" fillId="34" borderId="11" xfId="0" applyNumberFormat="1" applyFont="1" applyFill="1" applyBorder="1" applyAlignment="1" applyProtection="1">
      <alignment horizontal="fill"/>
      <protection/>
    </xf>
    <xf numFmtId="37" fontId="5" fillId="34" borderId="15" xfId="0" applyNumberFormat="1" applyFont="1" applyFill="1" applyBorder="1" applyAlignment="1" applyProtection="1">
      <alignment horizontal="left"/>
      <protection/>
    </xf>
    <xf numFmtId="37" fontId="5" fillId="34" borderId="15" xfId="0" applyNumberFormat="1" applyFont="1" applyFill="1" applyBorder="1" applyAlignment="1" applyProtection="1">
      <alignment horizontal="center"/>
      <protection/>
    </xf>
    <xf numFmtId="37" fontId="5" fillId="34" borderId="16" xfId="0" applyNumberFormat="1" applyFont="1" applyFill="1" applyBorder="1" applyAlignment="1" applyProtection="1">
      <alignment horizontal="center"/>
      <protection/>
    </xf>
    <xf numFmtId="37" fontId="4" fillId="34" borderId="11" xfId="0" applyNumberFormat="1" applyFont="1" applyFill="1" applyBorder="1" applyAlignment="1" applyProtection="1">
      <alignment horizontal="left"/>
      <protection/>
    </xf>
    <xf numFmtId="37" fontId="5" fillId="34" borderId="17" xfId="0" applyNumberFormat="1" applyFont="1" applyFill="1" applyBorder="1" applyAlignment="1" applyProtection="1">
      <alignment horizontal="center"/>
      <protection/>
    </xf>
    <xf numFmtId="37" fontId="5" fillId="34" borderId="12" xfId="0" applyNumberFormat="1" applyFont="1" applyFill="1" applyBorder="1" applyAlignment="1" applyProtection="1">
      <alignment horizontal="left"/>
      <protection/>
    </xf>
    <xf numFmtId="0" fontId="5" fillId="34" borderId="14" xfId="0" applyFont="1" applyFill="1" applyBorder="1" applyAlignment="1" applyProtection="1">
      <alignment/>
      <protection/>
    </xf>
    <xf numFmtId="0" fontId="5" fillId="34" borderId="15" xfId="0" applyFont="1" applyFill="1" applyBorder="1" applyAlignment="1" applyProtection="1">
      <alignment/>
      <protection/>
    </xf>
    <xf numFmtId="37" fontId="5" fillId="34" borderId="10" xfId="0" applyNumberFormat="1" applyFont="1" applyFill="1" applyBorder="1" applyAlignment="1" applyProtection="1">
      <alignment/>
      <protection/>
    </xf>
    <xf numFmtId="0" fontId="5" fillId="34" borderId="16" xfId="0" applyFont="1" applyFill="1" applyBorder="1" applyAlignment="1" applyProtection="1">
      <alignment/>
      <protection/>
    </xf>
    <xf numFmtId="0" fontId="5" fillId="34" borderId="10" xfId="0" applyFont="1" applyFill="1" applyBorder="1" applyAlignment="1" applyProtection="1">
      <alignment/>
      <protection/>
    </xf>
    <xf numFmtId="0" fontId="5" fillId="34" borderId="17" xfId="0" applyFont="1" applyFill="1" applyBorder="1" applyAlignment="1" applyProtection="1">
      <alignment/>
      <protection/>
    </xf>
    <xf numFmtId="37" fontId="5" fillId="34" borderId="10" xfId="0" applyNumberFormat="1" applyFont="1" applyFill="1" applyBorder="1" applyAlignment="1" applyProtection="1">
      <alignment horizontal="left"/>
      <protection/>
    </xf>
    <xf numFmtId="37" fontId="5" fillId="34" borderId="10" xfId="0" applyNumberFormat="1" applyFont="1" applyFill="1" applyBorder="1" applyAlignment="1" applyProtection="1">
      <alignment horizontal="fill"/>
      <protection/>
    </xf>
    <xf numFmtId="0" fontId="5" fillId="34" borderId="18" xfId="0" applyFont="1" applyFill="1" applyBorder="1" applyAlignment="1" applyProtection="1">
      <alignment/>
      <protection/>
    </xf>
    <xf numFmtId="37" fontId="5" fillId="34" borderId="16" xfId="0" applyNumberFormat="1" applyFont="1" applyFill="1" applyBorder="1" applyAlignment="1" applyProtection="1">
      <alignment horizontal="left"/>
      <protection/>
    </xf>
    <xf numFmtId="37" fontId="5" fillId="34" borderId="17" xfId="0" applyNumberFormat="1" applyFont="1" applyFill="1" applyBorder="1" applyAlignment="1" applyProtection="1">
      <alignment horizontal="left"/>
      <protection/>
    </xf>
    <xf numFmtId="37" fontId="5" fillId="34" borderId="0" xfId="0" applyNumberFormat="1" applyFont="1" applyFill="1" applyAlignment="1" applyProtection="1">
      <alignment horizontal="center"/>
      <protection/>
    </xf>
    <xf numFmtId="0" fontId="5" fillId="34" borderId="0" xfId="0" applyFont="1" applyFill="1" applyAlignment="1">
      <alignment/>
    </xf>
    <xf numFmtId="37" fontId="5" fillId="34" borderId="0" xfId="0" applyNumberFormat="1" applyFont="1" applyFill="1" applyAlignment="1">
      <alignment/>
    </xf>
    <xf numFmtId="0" fontId="4" fillId="34" borderId="0" xfId="0" applyFont="1" applyFill="1" applyAlignment="1">
      <alignment horizontal="center"/>
    </xf>
    <xf numFmtId="0" fontId="4" fillId="34" borderId="0" xfId="0" applyFont="1" applyFill="1" applyAlignment="1">
      <alignment horizontal="center" wrapText="1"/>
    </xf>
    <xf numFmtId="0" fontId="5" fillId="34" borderId="0" xfId="0" applyFont="1" applyFill="1" applyAlignment="1" quotePrefix="1">
      <alignment horizontal="right"/>
    </xf>
    <xf numFmtId="3" fontId="5" fillId="34" borderId="0" xfId="0" applyNumberFormat="1" applyFont="1" applyFill="1" applyAlignment="1">
      <alignment/>
    </xf>
    <xf numFmtId="3" fontId="5" fillId="34" borderId="0" xfId="0" applyNumberFormat="1" applyFont="1" applyFill="1" applyAlignment="1" quotePrefix="1">
      <alignment/>
    </xf>
    <xf numFmtId="3" fontId="5" fillId="34" borderId="11" xfId="0" applyNumberFormat="1" applyFont="1" applyFill="1" applyBorder="1" applyAlignment="1">
      <alignment/>
    </xf>
    <xf numFmtId="0" fontId="4" fillId="34" borderId="0" xfId="0" applyFont="1" applyFill="1" applyAlignment="1">
      <alignment/>
    </xf>
    <xf numFmtId="3" fontId="5" fillId="34" borderId="13" xfId="0" applyNumberFormat="1" applyFont="1" applyFill="1" applyBorder="1" applyAlignment="1">
      <alignment/>
    </xf>
    <xf numFmtId="3" fontId="5" fillId="34" borderId="11" xfId="0" applyNumberFormat="1" applyFont="1" applyFill="1" applyBorder="1" applyAlignment="1" applyProtection="1">
      <alignment/>
      <protection/>
    </xf>
    <xf numFmtId="3" fontId="5" fillId="34" borderId="0" xfId="0" applyNumberFormat="1" applyFont="1" applyFill="1" applyBorder="1" applyAlignment="1">
      <alignment/>
    </xf>
    <xf numFmtId="0" fontId="5" fillId="34" borderId="0" xfId="0" applyFont="1" applyFill="1" applyAlignment="1" quotePrefix="1">
      <alignment/>
    </xf>
    <xf numFmtId="0" fontId="5" fillId="34" borderId="0" xfId="0" applyFont="1" applyFill="1" applyAlignment="1">
      <alignment horizontal="right"/>
    </xf>
    <xf numFmtId="3" fontId="5" fillId="34" borderId="13" xfId="0" applyNumberFormat="1" applyFont="1" applyFill="1" applyBorder="1" applyAlignment="1" applyProtection="1">
      <alignment/>
      <protection/>
    </xf>
    <xf numFmtId="3" fontId="5" fillId="34" borderId="0" xfId="0" applyNumberFormat="1" applyFont="1" applyFill="1" applyAlignment="1" applyProtection="1">
      <alignment/>
      <protection/>
    </xf>
    <xf numFmtId="3" fontId="5" fillId="34" borderId="19" xfId="0" applyNumberFormat="1" applyFont="1" applyFill="1" applyBorder="1" applyAlignment="1">
      <alignment/>
    </xf>
    <xf numFmtId="0" fontId="5" fillId="34" borderId="19" xfId="0" applyFont="1" applyFill="1" applyBorder="1" applyAlignment="1">
      <alignment/>
    </xf>
    <xf numFmtId="0" fontId="5" fillId="34" borderId="0" xfId="0" applyFont="1" applyFill="1" applyBorder="1" applyAlignment="1">
      <alignment/>
    </xf>
    <xf numFmtId="171" fontId="5" fillId="34" borderId="11" xfId="0" applyNumberFormat="1" applyFont="1" applyFill="1" applyBorder="1" applyAlignment="1">
      <alignment/>
    </xf>
    <xf numFmtId="0" fontId="5" fillId="34" borderId="0" xfId="0" applyFont="1" applyFill="1" applyBorder="1" applyAlignment="1" quotePrefix="1">
      <alignment/>
    </xf>
    <xf numFmtId="3" fontId="5" fillId="34" borderId="20" xfId="0" applyNumberFormat="1" applyFont="1" applyFill="1" applyBorder="1" applyAlignment="1">
      <alignment/>
    </xf>
    <xf numFmtId="37" fontId="5" fillId="34" borderId="0" xfId="0" applyNumberFormat="1" applyFont="1" applyFill="1" applyAlignment="1" applyProtection="1">
      <alignment/>
      <protection/>
    </xf>
    <xf numFmtId="37" fontId="5" fillId="34" borderId="21" xfId="0" applyNumberFormat="1" applyFont="1" applyFill="1" applyBorder="1" applyAlignment="1" applyProtection="1">
      <alignment/>
      <protection/>
    </xf>
    <xf numFmtId="37" fontId="5" fillId="34" borderId="11" xfId="0" applyNumberFormat="1" applyFont="1" applyFill="1" applyBorder="1" applyAlignment="1" applyProtection="1">
      <alignment/>
      <protection/>
    </xf>
    <xf numFmtId="0" fontId="4" fillId="34" borderId="0" xfId="58" applyFont="1" applyFill="1" applyAlignment="1" applyProtection="1">
      <alignment horizontal="centerContinuous"/>
      <protection/>
    </xf>
    <xf numFmtId="0" fontId="5" fillId="34" borderId="15" xfId="0" applyFont="1" applyFill="1" applyBorder="1" applyAlignment="1" applyProtection="1">
      <alignment horizontal="center"/>
      <protection/>
    </xf>
    <xf numFmtId="0" fontId="5" fillId="34" borderId="22" xfId="0" applyFont="1" applyFill="1" applyBorder="1" applyAlignment="1" applyProtection="1">
      <alignment horizontal="centerContinuous"/>
      <protection/>
    </xf>
    <xf numFmtId="0" fontId="5" fillId="34" borderId="23" xfId="0" applyFont="1" applyFill="1" applyBorder="1" applyAlignment="1" applyProtection="1">
      <alignment horizontal="centerContinuous"/>
      <protection/>
    </xf>
    <xf numFmtId="0" fontId="5" fillId="34" borderId="16" xfId="0" applyFont="1" applyFill="1" applyBorder="1" applyAlignment="1" applyProtection="1">
      <alignment horizontal="center"/>
      <protection/>
    </xf>
    <xf numFmtId="0" fontId="5" fillId="34" borderId="17" xfId="0" applyFont="1" applyFill="1" applyBorder="1" applyAlignment="1" applyProtection="1">
      <alignment horizontal="center"/>
      <protection/>
    </xf>
    <xf numFmtId="14" fontId="5" fillId="34" borderId="17" xfId="0" applyNumberFormat="1" applyFont="1" applyFill="1" applyBorder="1" applyAlignment="1" applyProtection="1" quotePrefix="1">
      <alignment horizontal="center"/>
      <protection/>
    </xf>
    <xf numFmtId="0" fontId="5" fillId="34" borderId="10" xfId="0" applyFont="1" applyFill="1" applyBorder="1" applyAlignment="1" applyProtection="1">
      <alignment horizontal="center"/>
      <protection/>
    </xf>
    <xf numFmtId="0" fontId="5" fillId="34" borderId="10" xfId="0" applyFont="1" applyFill="1" applyBorder="1" applyAlignment="1" applyProtection="1">
      <alignment horizontal="left"/>
      <protection/>
    </xf>
    <xf numFmtId="2" fontId="5" fillId="34" borderId="10" xfId="0" applyNumberFormat="1" applyFont="1" applyFill="1" applyBorder="1" applyAlignment="1" applyProtection="1">
      <alignment/>
      <protection/>
    </xf>
    <xf numFmtId="3" fontId="5" fillId="34" borderId="10" xfId="0" applyNumberFormat="1" applyFont="1" applyFill="1" applyBorder="1" applyAlignment="1" applyProtection="1">
      <alignment/>
      <protection/>
    </xf>
    <xf numFmtId="0" fontId="4" fillId="34" borderId="10" xfId="0" applyFont="1" applyFill="1" applyBorder="1" applyAlignment="1" applyProtection="1">
      <alignment horizontal="left"/>
      <protection/>
    </xf>
    <xf numFmtId="0" fontId="5" fillId="34" borderId="11" xfId="0" applyFont="1" applyFill="1" applyBorder="1" applyAlignment="1" applyProtection="1">
      <alignment horizontal="fill"/>
      <protection/>
    </xf>
    <xf numFmtId="0" fontId="5" fillId="34" borderId="11" xfId="0" applyFont="1" applyFill="1" applyBorder="1" applyAlignment="1" applyProtection="1">
      <alignment horizontal="left"/>
      <protection/>
    </xf>
    <xf numFmtId="0" fontId="4" fillId="34" borderId="0" xfId="0" applyFont="1" applyFill="1" applyAlignment="1" applyProtection="1">
      <alignment horizontal="left"/>
      <protection/>
    </xf>
    <xf numFmtId="0" fontId="4" fillId="34" borderId="0" xfId="0" applyFont="1" applyFill="1" applyAlignment="1" applyProtection="1">
      <alignment/>
      <protection/>
    </xf>
    <xf numFmtId="0" fontId="5" fillId="34" borderId="0" xfId="0" applyFont="1" applyFill="1" applyBorder="1" applyAlignment="1" applyProtection="1">
      <alignment horizontal="fill"/>
      <protection/>
    </xf>
    <xf numFmtId="0" fontId="5" fillId="34" borderId="0" xfId="0" applyFont="1" applyFill="1" applyAlignment="1" applyProtection="1">
      <alignment horizontal="left"/>
      <protection/>
    </xf>
    <xf numFmtId="1" fontId="5" fillId="34" borderId="15" xfId="0" applyNumberFormat="1" applyFont="1" applyFill="1" applyBorder="1" applyAlignment="1" applyProtection="1">
      <alignment horizontal="center"/>
      <protection/>
    </xf>
    <xf numFmtId="166" fontId="5" fillId="34" borderId="0" xfId="0" applyNumberFormat="1" applyFont="1" applyFill="1" applyAlignment="1" applyProtection="1">
      <alignment/>
      <protection/>
    </xf>
    <xf numFmtId="1" fontId="5" fillId="34" borderId="0" xfId="0" applyNumberFormat="1" applyFont="1" applyFill="1" applyAlignment="1" applyProtection="1">
      <alignment horizontal="right"/>
      <protection/>
    </xf>
    <xf numFmtId="37" fontId="5" fillId="34" borderId="0" xfId="0" applyNumberFormat="1" applyFont="1" applyFill="1" applyBorder="1" applyAlignment="1" applyProtection="1">
      <alignment horizontal="fill"/>
      <protection/>
    </xf>
    <xf numFmtId="3" fontId="5" fillId="34" borderId="10" xfId="0" applyNumberFormat="1" applyFont="1" applyFill="1" applyBorder="1" applyAlignment="1" applyProtection="1">
      <alignment horizontal="fill"/>
      <protection/>
    </xf>
    <xf numFmtId="0" fontId="5" fillId="34" borderId="0" xfId="0" applyFont="1" applyFill="1" applyAlignment="1" applyProtection="1">
      <alignment horizontal="fill"/>
      <protection/>
    </xf>
    <xf numFmtId="37" fontId="5" fillId="33" borderId="0" xfId="0" applyNumberFormat="1" applyFont="1" applyFill="1" applyAlignment="1" applyProtection="1">
      <alignment horizontal="left"/>
      <protection locked="0"/>
    </xf>
    <xf numFmtId="0" fontId="5" fillId="33" borderId="0" xfId="0" applyFont="1" applyFill="1" applyAlignment="1" applyProtection="1">
      <alignment horizontal="left"/>
      <protection locked="0"/>
    </xf>
    <xf numFmtId="3" fontId="5" fillId="34" borderId="11" xfId="0" applyNumberFormat="1" applyFont="1" applyFill="1" applyBorder="1" applyAlignment="1" applyProtection="1">
      <alignment horizontal="fill"/>
      <protection/>
    </xf>
    <xf numFmtId="37" fontId="4" fillId="34" borderId="0" xfId="0" applyNumberFormat="1" applyFont="1" applyFill="1" applyAlignment="1" applyProtection="1">
      <alignment horizontal="centerContinuous"/>
      <protection/>
    </xf>
    <xf numFmtId="1" fontId="5" fillId="34" borderId="12" xfId="0" applyNumberFormat="1" applyFont="1" applyFill="1" applyBorder="1" applyAlignment="1" applyProtection="1">
      <alignment horizontal="centerContinuous"/>
      <protection/>
    </xf>
    <xf numFmtId="164" fontId="5" fillId="34" borderId="10" xfId="0" applyNumberFormat="1" applyFont="1" applyFill="1" applyBorder="1" applyAlignment="1" applyProtection="1">
      <alignment/>
      <protection/>
    </xf>
    <xf numFmtId="0" fontId="5" fillId="34" borderId="0" xfId="0" applyFont="1" applyFill="1" applyBorder="1" applyAlignment="1" applyProtection="1">
      <alignment/>
      <protection/>
    </xf>
    <xf numFmtId="1" fontId="6" fillId="34" borderId="0" xfId="0" applyNumberFormat="1" applyFont="1" applyFill="1" applyAlignment="1" applyProtection="1">
      <alignment horizontal="center"/>
      <protection/>
    </xf>
    <xf numFmtId="0" fontId="5" fillId="33" borderId="0" xfId="0" applyFont="1" applyFill="1" applyAlignment="1">
      <alignment/>
    </xf>
    <xf numFmtId="0" fontId="5" fillId="34" borderId="0" xfId="0" applyFont="1" applyFill="1" applyAlignment="1">
      <alignment wrapText="1"/>
    </xf>
    <xf numFmtId="37" fontId="4" fillId="34" borderId="0" xfId="0" applyNumberFormat="1" applyFont="1" applyFill="1" applyAlignment="1" applyProtection="1">
      <alignment horizontal="centerContinuous" vertical="justify"/>
      <protection/>
    </xf>
    <xf numFmtId="37" fontId="5" fillId="34" borderId="11" xfId="0" applyNumberFormat="1" applyFont="1" applyFill="1" applyBorder="1" applyAlignment="1" applyProtection="1">
      <alignment horizontal="left"/>
      <protection/>
    </xf>
    <xf numFmtId="37" fontId="5" fillId="34" borderId="13" xfId="0" applyNumberFormat="1" applyFont="1" applyFill="1" applyBorder="1" applyAlignment="1" applyProtection="1">
      <alignment horizontal="left"/>
      <protection/>
    </xf>
    <xf numFmtId="37" fontId="4" fillId="34" borderId="13" xfId="0" applyNumberFormat="1" applyFont="1" applyFill="1" applyBorder="1" applyAlignment="1" applyProtection="1">
      <alignment horizontal="left"/>
      <protection/>
    </xf>
    <xf numFmtId="0" fontId="0" fillId="34" borderId="0" xfId="0" applyFill="1" applyAlignment="1" applyProtection="1">
      <alignment/>
      <protection/>
    </xf>
    <xf numFmtId="0" fontId="5" fillId="34" borderId="13" xfId="0" applyFont="1" applyFill="1" applyBorder="1" applyAlignment="1" applyProtection="1">
      <alignment/>
      <protection/>
    </xf>
    <xf numFmtId="0" fontId="5" fillId="34" borderId="0" xfId="0" applyFont="1" applyFill="1" applyAlignment="1" applyProtection="1">
      <alignment horizontal="centerContinuous" vertical="justify"/>
      <protection/>
    </xf>
    <xf numFmtId="0" fontId="5" fillId="34" borderId="24" xfId="0" applyFont="1" applyFill="1" applyBorder="1" applyAlignment="1" applyProtection="1">
      <alignment/>
      <protection/>
    </xf>
    <xf numFmtId="3" fontId="5" fillId="34" borderId="24" xfId="0" applyNumberFormat="1" applyFont="1" applyFill="1" applyBorder="1" applyAlignment="1" applyProtection="1">
      <alignment/>
      <protection/>
    </xf>
    <xf numFmtId="3" fontId="5" fillId="34" borderId="14" xfId="0" applyNumberFormat="1" applyFont="1" applyFill="1" applyBorder="1" applyAlignment="1" applyProtection="1">
      <alignment/>
      <protection/>
    </xf>
    <xf numFmtId="37" fontId="5" fillId="34" borderId="17" xfId="0" applyNumberFormat="1" applyFont="1" applyFill="1" applyBorder="1" applyAlignment="1" applyProtection="1">
      <alignment/>
      <protection/>
    </xf>
    <xf numFmtId="37" fontId="5" fillId="34" borderId="17" xfId="0" applyNumberFormat="1" applyFont="1" applyFill="1" applyBorder="1" applyAlignment="1" applyProtection="1">
      <alignment horizontal="fill"/>
      <protection/>
    </xf>
    <xf numFmtId="0" fontId="5" fillId="33" borderId="10" xfId="0" applyFont="1" applyFill="1" applyBorder="1" applyAlignment="1" applyProtection="1">
      <alignment/>
      <protection locked="0"/>
    </xf>
    <xf numFmtId="37" fontId="4" fillId="35" borderId="0" xfId="0" applyNumberFormat="1" applyFont="1" applyFill="1" applyAlignment="1" applyProtection="1">
      <alignment horizontal="left"/>
      <protection/>
    </xf>
    <xf numFmtId="0" fontId="5" fillId="35" borderId="0" xfId="0" applyFont="1" applyFill="1" applyAlignment="1" applyProtection="1">
      <alignment/>
      <protection/>
    </xf>
    <xf numFmtId="37" fontId="4" fillId="36" borderId="0" xfId="0" applyNumberFormat="1" applyFont="1" applyFill="1" applyAlignment="1" applyProtection="1">
      <alignment horizontal="left"/>
      <protection/>
    </xf>
    <xf numFmtId="0" fontId="5" fillId="36" borderId="0" xfId="0" applyFont="1" applyFill="1" applyAlignment="1" applyProtection="1">
      <alignment/>
      <protection/>
    </xf>
    <xf numFmtId="3" fontId="5" fillId="36" borderId="0" xfId="0" applyNumberFormat="1" applyFont="1" applyFill="1" applyAlignment="1" applyProtection="1">
      <alignment/>
      <protection/>
    </xf>
    <xf numFmtId="0" fontId="8" fillId="34" borderId="17" xfId="0" applyFont="1" applyFill="1" applyBorder="1" applyAlignment="1" applyProtection="1">
      <alignment horizontal="center"/>
      <protection/>
    </xf>
    <xf numFmtId="0" fontId="5" fillId="34" borderId="11" xfId="0" applyFont="1" applyFill="1" applyBorder="1" applyAlignment="1" applyProtection="1">
      <alignment horizontal="centerContinuous"/>
      <protection/>
    </xf>
    <xf numFmtId="37" fontId="5" fillId="34" borderId="0" xfId="0" applyNumberFormat="1" applyFont="1" applyFill="1" applyBorder="1" applyAlignment="1" applyProtection="1">
      <alignment horizontal="left"/>
      <protection/>
    </xf>
    <xf numFmtId="178" fontId="5" fillId="34" borderId="10" xfId="0" applyNumberFormat="1" applyFont="1" applyFill="1" applyBorder="1" applyAlignment="1" applyProtection="1">
      <alignment/>
      <protection/>
    </xf>
    <xf numFmtId="180" fontId="5" fillId="34" borderId="10" xfId="0" applyNumberFormat="1" applyFont="1" applyFill="1" applyBorder="1" applyAlignment="1" applyProtection="1">
      <alignment/>
      <protection/>
    </xf>
    <xf numFmtId="0" fontId="5" fillId="34" borderId="0" xfId="0" applyFont="1" applyFill="1" applyAlignment="1" applyProtection="1">
      <alignment horizontal="center"/>
      <protection/>
    </xf>
    <xf numFmtId="0" fontId="4" fillId="34" borderId="11" xfId="0" applyFont="1" applyFill="1" applyBorder="1" applyAlignment="1" applyProtection="1">
      <alignment horizontal="center"/>
      <protection/>
    </xf>
    <xf numFmtId="0" fontId="4" fillId="34" borderId="15" xfId="0" applyFont="1" applyFill="1" applyBorder="1" applyAlignment="1" applyProtection="1">
      <alignment horizontal="center"/>
      <protection/>
    </xf>
    <xf numFmtId="0" fontId="5" fillId="33" borderId="17" xfId="0" applyFont="1" applyFill="1" applyBorder="1" applyAlignment="1" applyProtection="1">
      <alignment/>
      <protection locked="0"/>
    </xf>
    <xf numFmtId="0" fontId="5" fillId="34" borderId="0" xfId="0" applyFont="1" applyFill="1" applyAlignment="1" applyProtection="1">
      <alignment/>
      <protection locked="0"/>
    </xf>
    <xf numFmtId="37" fontId="5" fillId="34" borderId="0" xfId="0" applyNumberFormat="1" applyFont="1" applyFill="1" applyBorder="1" applyAlignment="1" applyProtection="1">
      <alignment/>
      <protection/>
    </xf>
    <xf numFmtId="0" fontId="5" fillId="34" borderId="0" xfId="0" applyNumberFormat="1" applyFont="1" applyFill="1" applyAlignment="1" applyProtection="1">
      <alignment horizontal="right"/>
      <protection/>
    </xf>
    <xf numFmtId="37" fontId="5" fillId="34" borderId="10" xfId="0" applyNumberFormat="1" applyFont="1" applyFill="1" applyBorder="1" applyAlignment="1" applyProtection="1">
      <alignment horizontal="center"/>
      <protection/>
    </xf>
    <xf numFmtId="3" fontId="5" fillId="34" borderId="10" xfId="0" applyNumberFormat="1" applyFont="1" applyFill="1" applyBorder="1" applyAlignment="1" applyProtection="1">
      <alignment/>
      <protection locked="0"/>
    </xf>
    <xf numFmtId="1" fontId="5" fillId="34" borderId="0" xfId="0" applyNumberFormat="1" applyFont="1" applyFill="1" applyBorder="1" applyAlignment="1" applyProtection="1">
      <alignment horizontal="right"/>
      <protection/>
    </xf>
    <xf numFmtId="37" fontId="5" fillId="34" borderId="0" xfId="0" applyNumberFormat="1" applyFont="1" applyFill="1" applyAlignment="1" applyProtection="1" quotePrefix="1">
      <alignment horizontal="right"/>
      <protection/>
    </xf>
    <xf numFmtId="37" fontId="5" fillId="34" borderId="0" xfId="0" applyNumberFormat="1" applyFont="1" applyFill="1" applyAlignment="1" applyProtection="1">
      <alignment horizontal="fill"/>
      <protection/>
    </xf>
    <xf numFmtId="0" fontId="5" fillId="34" borderId="17" xfId="0" applyNumberFormat="1" applyFont="1" applyFill="1" applyBorder="1" applyAlignment="1" applyProtection="1">
      <alignment horizontal="center"/>
      <protection/>
    </xf>
    <xf numFmtId="1" fontId="5" fillId="34" borderId="17" xfId="0" applyNumberFormat="1" applyFont="1" applyFill="1" applyBorder="1" applyAlignment="1" applyProtection="1">
      <alignment horizontal="center"/>
      <protection/>
    </xf>
    <xf numFmtId="3" fontId="5" fillId="33" borderId="10" xfId="0" applyNumberFormat="1" applyFont="1" applyFill="1" applyBorder="1" applyAlignment="1" applyProtection="1">
      <alignment horizontal="right"/>
      <protection locked="0"/>
    </xf>
    <xf numFmtId="3" fontId="5" fillId="34" borderId="10" xfId="42" applyNumberFormat="1" applyFont="1" applyFill="1" applyBorder="1" applyAlignment="1" applyProtection="1">
      <alignment horizontal="right"/>
      <protection/>
    </xf>
    <xf numFmtId="3" fontId="5" fillId="34" borderId="10" xfId="0" applyNumberFormat="1" applyFont="1" applyFill="1" applyBorder="1" applyAlignment="1" applyProtection="1">
      <alignment horizontal="right"/>
      <protection/>
    </xf>
    <xf numFmtId="3" fontId="5" fillId="33" borderId="10" xfId="0" applyNumberFormat="1" applyFont="1" applyFill="1" applyBorder="1" applyAlignment="1" applyProtection="1">
      <alignment horizontal="right"/>
      <protection locked="0"/>
    </xf>
    <xf numFmtId="37" fontId="4" fillId="34" borderId="12" xfId="0" applyNumberFormat="1" applyFont="1" applyFill="1" applyBorder="1" applyAlignment="1" applyProtection="1">
      <alignment horizontal="left"/>
      <protection/>
    </xf>
    <xf numFmtId="0" fontId="5" fillId="34" borderId="0" xfId="0" applyFont="1" applyFill="1" applyAlignment="1">
      <alignment horizontal="center"/>
    </xf>
    <xf numFmtId="0" fontId="5" fillId="34" borderId="11" xfId="0" applyFont="1" applyFill="1" applyBorder="1" applyAlignment="1">
      <alignment/>
    </xf>
    <xf numFmtId="0" fontId="13" fillId="34" borderId="15" xfId="0" applyFont="1" applyFill="1" applyBorder="1" applyAlignment="1">
      <alignment/>
    </xf>
    <xf numFmtId="0" fontId="13" fillId="34" borderId="14" xfId="0" applyFont="1" applyFill="1" applyBorder="1" applyAlignment="1">
      <alignment horizontal="center"/>
    </xf>
    <xf numFmtId="0" fontId="13" fillId="34" borderId="22" xfId="0" applyFont="1" applyFill="1" applyBorder="1" applyAlignment="1">
      <alignment/>
    </xf>
    <xf numFmtId="0" fontId="13" fillId="34" borderId="10" xfId="0" applyFont="1" applyFill="1" applyBorder="1" applyAlignment="1">
      <alignment horizontal="center"/>
    </xf>
    <xf numFmtId="0" fontId="5" fillId="34" borderId="14" xfId="0" applyFont="1" applyFill="1" applyBorder="1" applyAlignment="1">
      <alignment horizontal="center"/>
    </xf>
    <xf numFmtId="0" fontId="5" fillId="34" borderId="14" xfId="0" applyFont="1" applyFill="1" applyBorder="1" applyAlignment="1">
      <alignment/>
    </xf>
    <xf numFmtId="0" fontId="5" fillId="34" borderId="10" xfId="0" applyFont="1" applyFill="1" applyBorder="1" applyAlignment="1">
      <alignment horizontal="center"/>
    </xf>
    <xf numFmtId="0" fontId="13" fillId="34" borderId="25" xfId="0" applyFont="1" applyFill="1" applyBorder="1" applyAlignment="1">
      <alignment/>
    </xf>
    <xf numFmtId="0" fontId="13" fillId="34" borderId="11" xfId="0" applyFont="1" applyFill="1" applyBorder="1" applyAlignment="1">
      <alignment/>
    </xf>
    <xf numFmtId="0" fontId="13" fillId="34" borderId="0" xfId="0" applyFont="1" applyFill="1" applyAlignment="1">
      <alignment/>
    </xf>
    <xf numFmtId="3" fontId="13" fillId="34" borderId="0" xfId="0" applyNumberFormat="1" applyFont="1" applyFill="1" applyAlignment="1">
      <alignment horizontal="center"/>
    </xf>
    <xf numFmtId="0" fontId="13" fillId="34" borderId="0" xfId="0" applyFont="1" applyFill="1" applyAlignment="1">
      <alignment horizontal="center"/>
    </xf>
    <xf numFmtId="3" fontId="5" fillId="0" borderId="0" xfId="0" applyNumberFormat="1" applyFont="1" applyAlignment="1">
      <alignment/>
    </xf>
    <xf numFmtId="37" fontId="0" fillId="34" borderId="0" xfId="0" applyNumberFormat="1" applyFill="1" applyAlignment="1">
      <alignment/>
    </xf>
    <xf numFmtId="0" fontId="0" fillId="34" borderId="0" xfId="0" applyFill="1" applyAlignment="1">
      <alignment/>
    </xf>
    <xf numFmtId="3" fontId="5" fillId="34" borderId="0" xfId="0" applyNumberFormat="1" applyFont="1" applyFill="1" applyBorder="1" applyAlignment="1" applyProtection="1">
      <alignment/>
      <protection locked="0"/>
    </xf>
    <xf numFmtId="0" fontId="14" fillId="34" borderId="0" xfId="0" applyFont="1" applyFill="1" applyBorder="1" applyAlignment="1" applyProtection="1">
      <alignment horizontal="center"/>
      <protection/>
    </xf>
    <xf numFmtId="0" fontId="0" fillId="34" borderId="0" xfId="0" applyFill="1" applyBorder="1" applyAlignment="1" applyProtection="1">
      <alignment/>
      <protection/>
    </xf>
    <xf numFmtId="0" fontId="0" fillId="34" borderId="11" xfId="0" applyFill="1" applyBorder="1" applyAlignment="1" applyProtection="1">
      <alignment/>
      <protection/>
    </xf>
    <xf numFmtId="0" fontId="4" fillId="36" borderId="0" xfId="0" applyFont="1" applyFill="1" applyAlignment="1">
      <alignment/>
    </xf>
    <xf numFmtId="0" fontId="1" fillId="36" borderId="0" xfId="0" applyFont="1" applyFill="1" applyAlignment="1">
      <alignment/>
    </xf>
    <xf numFmtId="0" fontId="0" fillId="36" borderId="0" xfId="0" applyFill="1" applyAlignment="1" applyProtection="1">
      <alignment/>
      <protection locked="0"/>
    </xf>
    <xf numFmtId="0" fontId="0" fillId="34" borderId="11" xfId="0" applyFill="1" applyBorder="1" applyAlignment="1">
      <alignment/>
    </xf>
    <xf numFmtId="0" fontId="0" fillId="34" borderId="24" xfId="0" applyFill="1" applyBorder="1" applyAlignment="1">
      <alignment/>
    </xf>
    <xf numFmtId="0" fontId="5" fillId="34" borderId="13" xfId="0" applyFont="1"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7" borderId="0" xfId="0" applyFill="1" applyAlignment="1">
      <alignment/>
    </xf>
    <xf numFmtId="37" fontId="5" fillId="34" borderId="0" xfId="0" applyNumberFormat="1" applyFont="1" applyFill="1" applyBorder="1" applyAlignment="1" applyProtection="1">
      <alignment horizontal="left"/>
      <protection locked="0"/>
    </xf>
    <xf numFmtId="0" fontId="4" fillId="36" borderId="0" xfId="0" applyFont="1" applyFill="1" applyAlignment="1" applyProtection="1">
      <alignment/>
      <protection/>
    </xf>
    <xf numFmtId="0" fontId="6" fillId="34" borderId="0" xfId="0" applyFont="1" applyFill="1" applyAlignment="1" applyProtection="1">
      <alignment horizontal="center"/>
      <protection/>
    </xf>
    <xf numFmtId="0" fontId="5" fillId="34" borderId="11" xfId="0" applyFont="1" applyFill="1" applyBorder="1" applyAlignment="1" applyProtection="1">
      <alignment horizontal="center"/>
      <protection/>
    </xf>
    <xf numFmtId="0" fontId="5" fillId="34" borderId="11" xfId="0" applyFont="1" applyFill="1" applyBorder="1" applyAlignment="1" applyProtection="1">
      <alignment horizontal="center"/>
      <protection locked="0"/>
    </xf>
    <xf numFmtId="0" fontId="5" fillId="34" borderId="24" xfId="0" applyFont="1" applyFill="1" applyBorder="1" applyAlignment="1" applyProtection="1">
      <alignment/>
      <protection locked="0"/>
    </xf>
    <xf numFmtId="0" fontId="5" fillId="34" borderId="14" xfId="0" applyFont="1" applyFill="1" applyBorder="1" applyAlignment="1" applyProtection="1">
      <alignment/>
      <protection locked="0"/>
    </xf>
    <xf numFmtId="164" fontId="5" fillId="34" borderId="10" xfId="0" applyNumberFormat="1" applyFont="1" applyFill="1" applyBorder="1" applyAlignment="1" applyProtection="1">
      <alignment/>
      <protection locked="0"/>
    </xf>
    <xf numFmtId="0" fontId="5" fillId="34" borderId="17" xfId="0" applyFont="1" applyFill="1" applyBorder="1" applyAlignment="1">
      <alignment horizontal="center"/>
    </xf>
    <xf numFmtId="3" fontId="5" fillId="34" borderId="11" xfId="0" applyNumberFormat="1" applyFont="1" applyFill="1" applyBorder="1" applyAlignment="1" applyProtection="1">
      <alignment horizontal="center"/>
      <protection/>
    </xf>
    <xf numFmtId="3" fontId="5" fillId="34" borderId="13" xfId="0" applyNumberFormat="1" applyFont="1" applyFill="1" applyBorder="1" applyAlignment="1" applyProtection="1">
      <alignment horizontal="center"/>
      <protection/>
    </xf>
    <xf numFmtId="3" fontId="5" fillId="34" borderId="26" xfId="0" applyNumberFormat="1" applyFont="1" applyFill="1" applyBorder="1" applyAlignment="1" applyProtection="1">
      <alignment horizontal="center"/>
      <protection/>
    </xf>
    <xf numFmtId="166" fontId="5" fillId="34" borderId="11" xfId="0" applyNumberFormat="1" applyFont="1" applyFill="1" applyBorder="1" applyAlignment="1" applyProtection="1">
      <alignment/>
      <protection/>
    </xf>
    <xf numFmtId="37" fontId="5" fillId="34" borderId="11" xfId="0" applyNumberFormat="1" applyFont="1" applyFill="1" applyBorder="1" applyAlignment="1" applyProtection="1" quotePrefix="1">
      <alignment horizontal="right"/>
      <protection/>
    </xf>
    <xf numFmtId="0" fontId="5" fillId="34" borderId="16" xfId="0" applyFont="1" applyFill="1" applyBorder="1" applyAlignment="1">
      <alignment horizontal="center"/>
    </xf>
    <xf numFmtId="1" fontId="5" fillId="34" borderId="25" xfId="0" applyNumberFormat="1" applyFont="1" applyFill="1" applyBorder="1" applyAlignment="1" applyProtection="1">
      <alignment horizontal="center"/>
      <protection/>
    </xf>
    <xf numFmtId="0" fontId="5" fillId="0" borderId="0" xfId="0" applyFont="1" applyAlignment="1" applyProtection="1">
      <alignment horizontal="left"/>
      <protection locked="0"/>
    </xf>
    <xf numFmtId="0" fontId="4" fillId="34" borderId="16"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0" fontId="4" fillId="34" borderId="10" xfId="0" applyFont="1" applyFill="1" applyBorder="1" applyAlignment="1" applyProtection="1">
      <alignment horizontal="center"/>
      <protection/>
    </xf>
    <xf numFmtId="37" fontId="4" fillId="34" borderId="10" xfId="0" applyNumberFormat="1" applyFont="1" applyFill="1" applyBorder="1" applyAlignment="1" applyProtection="1">
      <alignment horizontal="center"/>
      <protection/>
    </xf>
    <xf numFmtId="37" fontId="5" fillId="34" borderId="22" xfId="0" applyNumberFormat="1" applyFont="1" applyFill="1" applyBorder="1" applyAlignment="1" applyProtection="1">
      <alignment horizontal="center"/>
      <protection/>
    </xf>
    <xf numFmtId="3" fontId="5" fillId="34" borderId="13" xfId="0" applyNumberFormat="1" applyFont="1" applyFill="1" applyBorder="1" applyAlignment="1" applyProtection="1">
      <alignment horizontal="right"/>
      <protection/>
    </xf>
    <xf numFmtId="3" fontId="5" fillId="34" borderId="11" xfId="42" applyNumberFormat="1" applyFont="1" applyFill="1" applyBorder="1" applyAlignment="1" applyProtection="1">
      <alignment/>
      <protection/>
    </xf>
    <xf numFmtId="0" fontId="5" fillId="34" borderId="19" xfId="0" applyFont="1" applyFill="1" applyBorder="1" applyAlignment="1" applyProtection="1">
      <alignment/>
      <protection/>
    </xf>
    <xf numFmtId="177" fontId="5" fillId="33" borderId="17" xfId="42" applyNumberFormat="1" applyFont="1" applyFill="1" applyBorder="1" applyAlignment="1" applyProtection="1">
      <alignment horizontal="center"/>
      <protection locked="0"/>
    </xf>
    <xf numFmtId="0" fontId="5" fillId="33" borderId="17" xfId="0" applyFont="1" applyFill="1" applyBorder="1" applyAlignment="1" applyProtection="1">
      <alignment horizontal="center"/>
      <protection locked="0"/>
    </xf>
    <xf numFmtId="177" fontId="5" fillId="33" borderId="10" xfId="42" applyNumberFormat="1" applyFont="1" applyFill="1" applyBorder="1" applyAlignment="1" applyProtection="1">
      <alignment horizontal="center"/>
      <protection locked="0"/>
    </xf>
    <xf numFmtId="0" fontId="5" fillId="33" borderId="10" xfId="0" applyFont="1" applyFill="1" applyBorder="1" applyAlignment="1" applyProtection="1">
      <alignment horizontal="center"/>
      <protection locked="0"/>
    </xf>
    <xf numFmtId="3" fontId="5" fillId="34" borderId="10" xfId="0" applyNumberFormat="1" applyFont="1" applyFill="1" applyBorder="1" applyAlignment="1" applyProtection="1">
      <alignment horizontal="center"/>
      <protection/>
    </xf>
    <xf numFmtId="0" fontId="5" fillId="34" borderId="0" xfId="0" applyFont="1" applyFill="1" applyAlignment="1" applyProtection="1">
      <alignment horizontal="center"/>
      <protection locked="0"/>
    </xf>
    <xf numFmtId="174" fontId="5" fillId="33" borderId="10" xfId="0" applyNumberFormat="1" applyFont="1" applyFill="1" applyBorder="1" applyAlignment="1" applyProtection="1">
      <alignment horizontal="center"/>
      <protection locked="0"/>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37" fontId="5" fillId="33" borderId="10" xfId="0" applyNumberFormat="1" applyFont="1" applyFill="1" applyBorder="1" applyAlignment="1" applyProtection="1">
      <alignment horizontal="center"/>
      <protection locked="0"/>
    </xf>
    <xf numFmtId="175" fontId="5" fillId="33" borderId="10" xfId="0" applyNumberFormat="1" applyFont="1" applyFill="1" applyBorder="1" applyAlignment="1" applyProtection="1">
      <alignment horizontal="center"/>
      <protection locked="0"/>
    </xf>
    <xf numFmtId="174" fontId="4" fillId="34" borderId="10" xfId="0" applyNumberFormat="1" applyFont="1" applyFill="1" applyBorder="1" applyAlignment="1" applyProtection="1">
      <alignment horizontal="center"/>
      <protection/>
    </xf>
    <xf numFmtId="2" fontId="4" fillId="34" borderId="10" xfId="0" applyNumberFormat="1" applyFont="1" applyFill="1" applyBorder="1" applyAlignment="1" applyProtection="1">
      <alignment horizontal="center"/>
      <protection/>
    </xf>
    <xf numFmtId="3" fontId="4" fillId="34" borderId="10" xfId="0" applyNumberFormat="1" applyFont="1" applyFill="1" applyBorder="1" applyAlignment="1" applyProtection="1">
      <alignment horizontal="center"/>
      <protection/>
    </xf>
    <xf numFmtId="175" fontId="4" fillId="34" borderId="10" xfId="0" applyNumberFormat="1" applyFont="1" applyFill="1" applyBorder="1" applyAlignment="1" applyProtection="1">
      <alignment horizontal="center"/>
      <protection/>
    </xf>
    <xf numFmtId="174" fontId="5" fillId="34" borderId="10" xfId="0" applyNumberFormat="1" applyFont="1" applyFill="1" applyBorder="1" applyAlignment="1" applyProtection="1">
      <alignment horizontal="center"/>
      <protection/>
    </xf>
    <xf numFmtId="2" fontId="5" fillId="34" borderId="10" xfId="0" applyNumberFormat="1" applyFont="1" applyFill="1" applyBorder="1" applyAlignment="1" applyProtection="1">
      <alignment horizontal="center"/>
      <protection/>
    </xf>
    <xf numFmtId="175" fontId="5" fillId="34" borderId="10" xfId="0" applyNumberFormat="1" applyFont="1" applyFill="1" applyBorder="1" applyAlignment="1" applyProtection="1">
      <alignment horizontal="center"/>
      <protection/>
    </xf>
    <xf numFmtId="1" fontId="4" fillId="34" borderId="10" xfId="0" applyNumberFormat="1" applyFont="1" applyFill="1" applyBorder="1" applyAlignment="1" applyProtection="1">
      <alignment horizontal="center"/>
      <protection/>
    </xf>
    <xf numFmtId="1" fontId="5" fillId="34" borderId="10" xfId="0" applyNumberFormat="1" applyFont="1" applyFill="1" applyBorder="1" applyAlignment="1" applyProtection="1">
      <alignment horizontal="center"/>
      <protection/>
    </xf>
    <xf numFmtId="1" fontId="5" fillId="33" borderId="10" xfId="0" applyNumberFormat="1" applyFont="1" applyFill="1" applyBorder="1" applyAlignment="1" applyProtection="1">
      <alignment horizontal="center"/>
      <protection locked="0"/>
    </xf>
    <xf numFmtId="0" fontId="9" fillId="38" borderId="0" xfId="0" applyFont="1" applyFill="1" applyAlignment="1" applyProtection="1">
      <alignment shrinkToFit="1"/>
      <protection/>
    </xf>
    <xf numFmtId="10" fontId="5" fillId="34" borderId="0" xfId="0" applyNumberFormat="1" applyFont="1" applyFill="1" applyAlignment="1" applyProtection="1">
      <alignment horizontal="center"/>
      <protection locked="0"/>
    </xf>
    <xf numFmtId="186" fontId="5" fillId="33" borderId="17" xfId="0" applyNumberFormat="1" applyFont="1" applyFill="1" applyBorder="1" applyAlignment="1" applyProtection="1">
      <alignment/>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7" fontId="14" fillId="36" borderId="0" xfId="0" applyNumberFormat="1" applyFont="1" applyFill="1" applyAlignment="1" applyProtection="1">
      <alignment horizontal="left"/>
      <protection/>
    </xf>
    <xf numFmtId="37" fontId="5" fillId="38" borderId="11" xfId="0" applyNumberFormat="1" applyFont="1" applyFill="1" applyBorder="1" applyAlignment="1" applyProtection="1">
      <alignment horizontal="left"/>
      <protection/>
    </xf>
    <xf numFmtId="0" fontId="5" fillId="38" borderId="11" xfId="0" applyFont="1" applyFill="1" applyBorder="1" applyAlignment="1" applyProtection="1">
      <alignment/>
      <protection/>
    </xf>
    <xf numFmtId="37" fontId="5" fillId="38" borderId="13" xfId="0" applyNumberFormat="1" applyFont="1" applyFill="1" applyBorder="1" applyAlignment="1" applyProtection="1">
      <alignment horizontal="left"/>
      <protection/>
    </xf>
    <xf numFmtId="0" fontId="5" fillId="38" borderId="13" xfId="0" applyFont="1" applyFill="1" applyBorder="1" applyAlignment="1" applyProtection="1">
      <alignment/>
      <protection/>
    </xf>
    <xf numFmtId="37" fontId="5" fillId="38" borderId="17" xfId="0" applyNumberFormat="1" applyFont="1" applyFill="1" applyBorder="1" applyAlignment="1" applyProtection="1">
      <alignment horizontal="center"/>
      <protection/>
    </xf>
    <xf numFmtId="0" fontId="5" fillId="0" borderId="0" xfId="0" applyFont="1" applyFill="1" applyAlignment="1">
      <alignment/>
    </xf>
    <xf numFmtId="0" fontId="5" fillId="0" borderId="0" xfId="0" applyFont="1" applyFill="1" applyAlignment="1">
      <alignment wrapText="1"/>
    </xf>
    <xf numFmtId="0" fontId="5" fillId="38" borderId="0" xfId="0" applyFont="1" applyFill="1" applyAlignment="1">
      <alignment wrapText="1"/>
    </xf>
    <xf numFmtId="37" fontId="5" fillId="0" borderId="0" xfId="0" applyNumberFormat="1" applyFont="1" applyFill="1" applyAlignment="1" applyProtection="1">
      <alignment horizontal="left" wrapText="1"/>
      <protection/>
    </xf>
    <xf numFmtId="0" fontId="5" fillId="0" borderId="0" xfId="0" applyFont="1" applyAlignment="1" applyProtection="1">
      <alignment wrapText="1"/>
      <protection locked="0"/>
    </xf>
    <xf numFmtId="37" fontId="5" fillId="39" borderId="10" xfId="0" applyNumberFormat="1" applyFont="1" applyFill="1" applyBorder="1" applyAlignment="1" applyProtection="1">
      <alignment horizontal="left"/>
      <protection/>
    </xf>
    <xf numFmtId="0" fontId="5" fillId="39" borderId="10" xfId="0" applyFont="1" applyFill="1" applyBorder="1" applyAlignment="1" applyProtection="1">
      <alignment/>
      <protection/>
    </xf>
    <xf numFmtId="37" fontId="5" fillId="39" borderId="10" xfId="0" applyNumberFormat="1" applyFont="1" applyFill="1" applyBorder="1" applyAlignment="1" applyProtection="1">
      <alignment/>
      <protection/>
    </xf>
    <xf numFmtId="0" fontId="17" fillId="39" borderId="14" xfId="0" applyFont="1" applyFill="1" applyBorder="1" applyAlignment="1" applyProtection="1">
      <alignment horizontal="center"/>
      <protection/>
    </xf>
    <xf numFmtId="0" fontId="0" fillId="39" borderId="10" xfId="0" applyFill="1" applyBorder="1" applyAlignment="1" applyProtection="1">
      <alignment/>
      <protection/>
    </xf>
    <xf numFmtId="0" fontId="18" fillId="0" borderId="0" xfId="0" applyFont="1" applyAlignment="1">
      <alignment wrapText="1"/>
    </xf>
    <xf numFmtId="0" fontId="4" fillId="33" borderId="10" xfId="0" applyFont="1" applyFill="1" applyBorder="1" applyAlignment="1" applyProtection="1">
      <alignment horizontal="center"/>
      <protection locked="0"/>
    </xf>
    <xf numFmtId="37" fontId="5" fillId="33" borderId="11" xfId="0" applyNumberFormat="1" applyFont="1" applyFill="1" applyBorder="1" applyAlignment="1" applyProtection="1">
      <alignment horizontal="left"/>
      <protection locked="0"/>
    </xf>
    <xf numFmtId="0" fontId="5" fillId="33" borderId="11" xfId="0" applyFont="1" applyFill="1" applyBorder="1" applyAlignment="1" applyProtection="1">
      <alignment/>
      <protection/>
    </xf>
    <xf numFmtId="37" fontId="5" fillId="33" borderId="13" xfId="0" applyNumberFormat="1" applyFont="1" applyFill="1" applyBorder="1" applyAlignment="1" applyProtection="1">
      <alignment horizontal="left"/>
      <protection locked="0"/>
    </xf>
    <xf numFmtId="0" fontId="5" fillId="33" borderId="13" xfId="0" applyFont="1" applyFill="1" applyBorder="1" applyAlignment="1" applyProtection="1">
      <alignment/>
      <protection/>
    </xf>
    <xf numFmtId="37" fontId="5" fillId="40" borderId="10" xfId="0" applyNumberFormat="1" applyFont="1" applyFill="1" applyBorder="1" applyAlignment="1" applyProtection="1">
      <alignment/>
      <protection/>
    </xf>
    <xf numFmtId="164" fontId="5" fillId="40" borderId="10" xfId="0" applyNumberFormat="1" applyFont="1" applyFill="1" applyBorder="1" applyAlignment="1" applyProtection="1">
      <alignment/>
      <protection/>
    </xf>
    <xf numFmtId="37" fontId="4" fillId="40" borderId="10" xfId="0" applyNumberFormat="1" applyFont="1" applyFill="1" applyBorder="1" applyAlignment="1" applyProtection="1">
      <alignment/>
      <protection/>
    </xf>
    <xf numFmtId="37" fontId="4" fillId="40" borderId="21" xfId="0" applyNumberFormat="1" applyFont="1" applyFill="1" applyBorder="1" applyAlignment="1" applyProtection="1">
      <alignment/>
      <protection/>
    </xf>
    <xf numFmtId="3" fontId="5" fillId="40" borderId="10" xfId="0" applyNumberFormat="1" applyFont="1" applyFill="1" applyBorder="1" applyAlignment="1" applyProtection="1">
      <alignment/>
      <protection/>
    </xf>
    <xf numFmtId="3" fontId="4" fillId="40" borderId="10" xfId="0" applyNumberFormat="1" applyFont="1" applyFill="1" applyBorder="1" applyAlignment="1" applyProtection="1">
      <alignment/>
      <protection/>
    </xf>
    <xf numFmtId="3" fontId="13" fillId="40" borderId="10" xfId="0" applyNumberFormat="1" applyFont="1" applyFill="1" applyBorder="1" applyAlignment="1">
      <alignment horizontal="center"/>
    </xf>
    <xf numFmtId="0" fontId="13" fillId="40" borderId="10" xfId="0" applyFont="1" applyFill="1" applyBorder="1" applyAlignment="1">
      <alignment horizontal="center"/>
    </xf>
    <xf numFmtId="0" fontId="13" fillId="40" borderId="17" xfId="0" applyFont="1" applyFill="1" applyBorder="1" applyAlignment="1">
      <alignment horizontal="center"/>
    </xf>
    <xf numFmtId="3" fontId="19" fillId="39" borderId="10" xfId="0" applyNumberFormat="1" applyFont="1" applyFill="1" applyBorder="1" applyAlignment="1">
      <alignment horizontal="center"/>
    </xf>
    <xf numFmtId="0" fontId="5" fillId="40" borderId="0" xfId="0" applyFont="1" applyFill="1" applyAlignment="1">
      <alignment/>
    </xf>
    <xf numFmtId="3" fontId="5" fillId="40" borderId="10" xfId="0" applyNumberFormat="1" applyFont="1" applyFill="1" applyBorder="1" applyAlignment="1" applyProtection="1">
      <alignment horizontal="center"/>
      <protection/>
    </xf>
    <xf numFmtId="37" fontId="5" fillId="40" borderId="21" xfId="0" applyNumberFormat="1" applyFont="1" applyFill="1" applyBorder="1" applyAlignment="1" applyProtection="1">
      <alignment horizontal="center"/>
      <protection/>
    </xf>
    <xf numFmtId="165" fontId="5" fillId="40" borderId="11" xfId="0" applyNumberFormat="1" applyFont="1" applyFill="1" applyBorder="1" applyAlignment="1" applyProtection="1">
      <alignment/>
      <protection/>
    </xf>
    <xf numFmtId="37" fontId="4" fillId="40" borderId="10" xfId="0" applyNumberFormat="1" applyFont="1" applyFill="1" applyBorder="1" applyAlignment="1" applyProtection="1">
      <alignment horizontal="center"/>
      <protection/>
    </xf>
    <xf numFmtId="3" fontId="4" fillId="40" borderId="10" xfId="0" applyNumberFormat="1" applyFont="1" applyFill="1" applyBorder="1" applyAlignment="1" applyProtection="1">
      <alignment horizontal="center"/>
      <protection/>
    </xf>
    <xf numFmtId="3" fontId="4" fillId="40" borderId="21" xfId="0" applyNumberFormat="1" applyFont="1" applyFill="1" applyBorder="1" applyAlignment="1" applyProtection="1">
      <alignment horizontal="center"/>
      <protection/>
    </xf>
    <xf numFmtId="3" fontId="4" fillId="40" borderId="10" xfId="0" applyNumberFormat="1" applyFont="1" applyFill="1" applyBorder="1" applyAlignment="1" applyProtection="1">
      <alignment horizontal="right"/>
      <protection/>
    </xf>
    <xf numFmtId="3" fontId="4" fillId="40" borderId="17" xfId="0" applyNumberFormat="1" applyFont="1" applyFill="1" applyBorder="1" applyAlignment="1" applyProtection="1">
      <alignment horizontal="right"/>
      <protection/>
    </xf>
    <xf numFmtId="0" fontId="13" fillId="33" borderId="10" xfId="0" applyFont="1" applyFill="1" applyBorder="1" applyAlignment="1" applyProtection="1">
      <alignment/>
      <protection locked="0"/>
    </xf>
    <xf numFmtId="3" fontId="13" fillId="33" borderId="10" xfId="0" applyNumberFormat="1" applyFont="1" applyFill="1" applyBorder="1" applyAlignment="1" applyProtection="1">
      <alignment horizontal="center"/>
      <protection locked="0"/>
    </xf>
    <xf numFmtId="0" fontId="13" fillId="33" borderId="22" xfId="0" applyFont="1" applyFill="1" applyBorder="1" applyAlignment="1" applyProtection="1">
      <alignment/>
      <protection locked="0"/>
    </xf>
    <xf numFmtId="0" fontId="13" fillId="33" borderId="0" xfId="0" applyFont="1" applyFill="1" applyAlignment="1" applyProtection="1">
      <alignment/>
      <protection locked="0"/>
    </xf>
    <xf numFmtId="0" fontId="13" fillId="33" borderId="14" xfId="0" applyFont="1" applyFill="1" applyBorder="1" applyAlignment="1" applyProtection="1">
      <alignment/>
      <protection locked="0"/>
    </xf>
    <xf numFmtId="0" fontId="13" fillId="33" borderId="17" xfId="0" applyFont="1" applyFill="1" applyBorder="1" applyAlignment="1" applyProtection="1">
      <alignment/>
      <protection locked="0"/>
    </xf>
    <xf numFmtId="0" fontId="13" fillId="33" borderId="27" xfId="0" applyFont="1" applyFill="1" applyBorder="1" applyAlignment="1" applyProtection="1">
      <alignment/>
      <protection locked="0"/>
    </xf>
    <xf numFmtId="186" fontId="5" fillId="33" borderId="10" xfId="0" applyNumberFormat="1" applyFont="1" applyFill="1" applyBorder="1" applyAlignment="1" applyProtection="1">
      <alignment/>
      <protection locked="0"/>
    </xf>
    <xf numFmtId="0" fontId="6" fillId="38" borderId="0" xfId="0" applyFont="1" applyFill="1" applyAlignment="1" applyProtection="1">
      <alignment/>
      <protection/>
    </xf>
    <xf numFmtId="0" fontId="5" fillId="36" borderId="11" xfId="0" applyFont="1" applyFill="1" applyBorder="1" applyAlignment="1" applyProtection="1">
      <alignment/>
      <protection/>
    </xf>
    <xf numFmtId="0" fontId="5" fillId="36" borderId="13" xfId="0" applyFont="1" applyFill="1" applyBorder="1" applyAlignment="1" applyProtection="1">
      <alignment/>
      <protection/>
    </xf>
    <xf numFmtId="178" fontId="5" fillId="33" borderId="11" xfId="0" applyNumberFormat="1" applyFont="1" applyFill="1" applyBorder="1" applyAlignment="1" applyProtection="1">
      <alignment/>
      <protection locked="0"/>
    </xf>
    <xf numFmtId="178" fontId="5" fillId="33" borderId="13" xfId="0" applyNumberFormat="1" applyFont="1" applyFill="1" applyBorder="1" applyAlignment="1" applyProtection="1">
      <alignment/>
      <protection locked="0"/>
    </xf>
    <xf numFmtId="178" fontId="5" fillId="33" borderId="19" xfId="0" applyNumberFormat="1" applyFont="1" applyFill="1" applyBorder="1" applyAlignment="1" applyProtection="1">
      <alignment/>
      <protection locked="0"/>
    </xf>
    <xf numFmtId="0" fontId="17" fillId="0" borderId="0" xfId="0" applyFont="1" applyAlignment="1" applyProtection="1">
      <alignment/>
      <protection/>
    </xf>
    <xf numFmtId="0" fontId="5" fillId="34" borderId="0" xfId="0" applyFont="1" applyFill="1" applyBorder="1" applyAlignment="1" applyProtection="1">
      <alignment horizontal="right"/>
      <protection/>
    </xf>
    <xf numFmtId="37" fontId="14" fillId="34" borderId="12" xfId="0" applyNumberFormat="1" applyFont="1" applyFill="1" applyBorder="1" applyAlignment="1" applyProtection="1">
      <alignment horizontal="left"/>
      <protection/>
    </xf>
    <xf numFmtId="37" fontId="14" fillId="34" borderId="14"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3" borderId="12" xfId="0" applyFont="1" applyFill="1" applyBorder="1" applyAlignment="1" applyProtection="1">
      <alignment/>
      <protection locked="0"/>
    </xf>
    <xf numFmtId="0" fontId="5" fillId="33" borderId="12" xfId="0" applyFont="1" applyFill="1" applyBorder="1" applyAlignment="1" applyProtection="1">
      <alignment/>
      <protection locked="0"/>
    </xf>
    <xf numFmtId="37" fontId="5" fillId="33" borderId="12" xfId="0" applyNumberFormat="1" applyFont="1" applyFill="1" applyBorder="1" applyAlignment="1" applyProtection="1">
      <alignment horizontal="left"/>
      <protection locked="0"/>
    </xf>
    <xf numFmtId="37" fontId="5" fillId="33" borderId="14" xfId="0" applyNumberFormat="1" applyFont="1" applyFill="1" applyBorder="1" applyAlignment="1" applyProtection="1">
      <alignment/>
      <protection locked="0"/>
    </xf>
    <xf numFmtId="37" fontId="5" fillId="34" borderId="14" xfId="0" applyNumberFormat="1" applyFont="1" applyFill="1" applyBorder="1" applyAlignment="1" applyProtection="1">
      <alignment/>
      <protection/>
    </xf>
    <xf numFmtId="37" fontId="5" fillId="33" borderId="14" xfId="0" applyNumberFormat="1" applyFont="1" applyFill="1" applyBorder="1" applyAlignment="1" applyProtection="1">
      <alignment/>
      <protection locked="0"/>
    </xf>
    <xf numFmtId="37" fontId="4" fillId="40" borderId="14" xfId="0" applyNumberFormat="1" applyFont="1" applyFill="1" applyBorder="1" applyAlignment="1" applyProtection="1">
      <alignment/>
      <protection/>
    </xf>
    <xf numFmtId="37" fontId="5" fillId="34" borderId="25" xfId="0" applyNumberFormat="1" applyFont="1" applyFill="1" applyBorder="1" applyAlignment="1" applyProtection="1">
      <alignment horizontal="left"/>
      <protection/>
    </xf>
    <xf numFmtId="37" fontId="5" fillId="34" borderId="14" xfId="0" applyNumberFormat="1" applyFont="1" applyFill="1" applyBorder="1" applyAlignment="1" applyProtection="1">
      <alignment horizontal="left"/>
      <protection/>
    </xf>
    <xf numFmtId="37" fontId="5" fillId="33" borderId="14" xfId="0" applyNumberFormat="1" applyFont="1" applyFill="1" applyBorder="1" applyAlignment="1" applyProtection="1">
      <alignment horizontal="left"/>
      <protection/>
    </xf>
    <xf numFmtId="0" fontId="5" fillId="34" borderId="12" xfId="0" applyFont="1" applyFill="1" applyBorder="1" applyAlignment="1" applyProtection="1">
      <alignment horizontal="left"/>
      <protection/>
    </xf>
    <xf numFmtId="0" fontId="5" fillId="33" borderId="12" xfId="0" applyFont="1" applyFill="1" applyBorder="1" applyAlignment="1" applyProtection="1">
      <alignment horizontal="left"/>
      <protection locked="0"/>
    </xf>
    <xf numFmtId="3" fontId="5" fillId="33" borderId="14" xfId="0" applyNumberFormat="1" applyFont="1" applyFill="1" applyBorder="1" applyAlignment="1" applyProtection="1">
      <alignment/>
      <protection locked="0"/>
    </xf>
    <xf numFmtId="3" fontId="4" fillId="40" borderId="14" xfId="0" applyNumberFormat="1" applyFont="1" applyFill="1" applyBorder="1" applyAlignment="1" applyProtection="1">
      <alignment/>
      <protection/>
    </xf>
    <xf numFmtId="3" fontId="5" fillId="40" borderId="14" xfId="0" applyNumberFormat="1" applyFont="1" applyFill="1" applyBorder="1" applyAlignment="1" applyProtection="1">
      <alignment/>
      <protection/>
    </xf>
    <xf numFmtId="0" fontId="5" fillId="34" borderId="25" xfId="0" applyFont="1" applyFill="1" applyBorder="1" applyAlignment="1" applyProtection="1">
      <alignment horizontal="left"/>
      <protection/>
    </xf>
    <xf numFmtId="0" fontId="5" fillId="34" borderId="14" xfId="0" applyFont="1" applyFill="1" applyBorder="1" applyAlignment="1" applyProtection="1">
      <alignment horizontal="left"/>
      <protection/>
    </xf>
    <xf numFmtId="0" fontId="5" fillId="33" borderId="14" xfId="0" applyFont="1" applyFill="1" applyBorder="1" applyAlignment="1" applyProtection="1">
      <alignment horizontal="left"/>
      <protection/>
    </xf>
    <xf numFmtId="0" fontId="5" fillId="34" borderId="12" xfId="0" applyFont="1" applyFill="1" applyBorder="1" applyAlignment="1" applyProtection="1">
      <alignment/>
      <protection/>
    </xf>
    <xf numFmtId="0" fontId="5" fillId="34" borderId="12" xfId="0" applyFont="1" applyFill="1" applyBorder="1" applyAlignment="1" applyProtection="1">
      <alignment/>
      <protection locked="0"/>
    </xf>
    <xf numFmtId="37" fontId="5" fillId="34" borderId="12" xfId="0" applyNumberFormat="1" applyFont="1" applyFill="1" applyBorder="1" applyAlignment="1" applyProtection="1">
      <alignment/>
      <protection/>
    </xf>
    <xf numFmtId="0" fontId="5" fillId="34" borderId="12" xfId="0" applyNumberFormat="1" applyFont="1" applyFill="1" applyBorder="1" applyAlignment="1" applyProtection="1">
      <alignment horizontal="left"/>
      <protection/>
    </xf>
    <xf numFmtId="0" fontId="5" fillId="33" borderId="12" xfId="0" applyNumberFormat="1" applyFont="1" applyFill="1" applyBorder="1" applyAlignment="1" applyProtection="1">
      <alignment horizontal="left"/>
      <protection locked="0"/>
    </xf>
    <xf numFmtId="0" fontId="5" fillId="33" borderId="23" xfId="0" applyNumberFormat="1" applyFont="1" applyFill="1" applyBorder="1" applyAlignment="1" applyProtection="1">
      <alignment horizontal="left"/>
      <protection locked="0"/>
    </xf>
    <xf numFmtId="3" fontId="5" fillId="33" borderId="14" xfId="0" applyNumberFormat="1" applyFont="1" applyFill="1" applyBorder="1" applyAlignment="1" applyProtection="1">
      <alignment horizontal="right"/>
      <protection locked="0"/>
    </xf>
    <xf numFmtId="37" fontId="5" fillId="33" borderId="12" xfId="0" applyNumberFormat="1" applyFont="1" applyFill="1" applyBorder="1" applyAlignment="1" applyProtection="1">
      <alignment/>
      <protection locked="0"/>
    </xf>
    <xf numFmtId="0" fontId="4" fillId="34" borderId="12" xfId="0" applyFont="1" applyFill="1" applyBorder="1" applyAlignment="1" applyProtection="1">
      <alignment horizontal="left"/>
      <protection/>
    </xf>
    <xf numFmtId="0" fontId="4" fillId="34" borderId="14" xfId="0" applyFont="1" applyFill="1" applyBorder="1" applyAlignment="1" applyProtection="1">
      <alignment horizontal="left"/>
      <protection/>
    </xf>
    <xf numFmtId="0" fontId="4" fillId="33" borderId="14" xfId="0" applyFont="1" applyFill="1" applyBorder="1" applyAlignment="1" applyProtection="1">
      <alignment horizontal="left"/>
      <protection/>
    </xf>
    <xf numFmtId="0" fontId="5" fillId="38" borderId="15" xfId="0" applyFont="1" applyFill="1" applyBorder="1" applyAlignment="1">
      <alignment horizontal="center"/>
    </xf>
    <xf numFmtId="0" fontId="5" fillId="38" borderId="17" xfId="0" applyFont="1" applyFill="1" applyBorder="1" applyAlignment="1">
      <alignment horizontal="center"/>
    </xf>
    <xf numFmtId="0" fontId="17" fillId="34" borderId="0" xfId="0" applyFont="1" applyFill="1" applyAlignment="1">
      <alignment/>
    </xf>
    <xf numFmtId="0" fontId="20" fillId="34" borderId="0" xfId="0" applyFont="1" applyFill="1" applyAlignment="1">
      <alignment/>
    </xf>
    <xf numFmtId="37" fontId="5" fillId="34" borderId="10" xfId="0" applyNumberFormat="1" applyFont="1" applyFill="1" applyBorder="1" applyAlignment="1">
      <alignment/>
    </xf>
    <xf numFmtId="0" fontId="20" fillId="34" borderId="0" xfId="0" applyFont="1" applyFill="1" applyAlignment="1">
      <alignment/>
    </xf>
    <xf numFmtId="3" fontId="5" fillId="34" borderId="0" xfId="0" applyNumberFormat="1" applyFont="1" applyFill="1" applyAlignment="1" applyProtection="1">
      <alignment horizontal="center"/>
      <protection/>
    </xf>
    <xf numFmtId="0" fontId="15" fillId="34" borderId="0" xfId="0" applyFont="1" applyFill="1" applyAlignment="1" applyProtection="1">
      <alignment horizontal="center"/>
      <protection/>
    </xf>
    <xf numFmtId="0" fontId="5" fillId="34" borderId="15" xfId="0" applyFont="1" applyFill="1" applyBorder="1" applyAlignment="1" applyProtection="1">
      <alignment horizontal="center" wrapText="1"/>
      <protection/>
    </xf>
    <xf numFmtId="0" fontId="5" fillId="34" borderId="22" xfId="0" applyFont="1" applyFill="1" applyBorder="1" applyAlignment="1" applyProtection="1">
      <alignment horizontal="center" wrapText="1"/>
      <protection/>
    </xf>
    <xf numFmtId="0" fontId="5" fillId="34" borderId="10" xfId="0" applyFont="1" applyFill="1" applyBorder="1" applyAlignment="1" applyProtection="1">
      <alignment horizontal="center" wrapText="1"/>
      <protection/>
    </xf>
    <xf numFmtId="188" fontId="5" fillId="34" borderId="10" xfId="0" applyNumberFormat="1" applyFont="1" applyFill="1" applyBorder="1" applyAlignment="1" applyProtection="1">
      <alignment horizontal="center"/>
      <protection/>
    </xf>
    <xf numFmtId="3" fontId="5" fillId="34" borderId="21" xfId="0" applyNumberFormat="1" applyFont="1" applyFill="1" applyBorder="1" applyAlignment="1" applyProtection="1">
      <alignment horizontal="center"/>
      <protection/>
    </xf>
    <xf numFmtId="188" fontId="5" fillId="34" borderId="21" xfId="0" applyNumberFormat="1" applyFont="1" applyFill="1" applyBorder="1" applyAlignment="1" applyProtection="1">
      <alignment horizontal="center"/>
      <protection/>
    </xf>
    <xf numFmtId="188" fontId="5" fillId="34" borderId="11" xfId="0" applyNumberFormat="1" applyFont="1" applyFill="1" applyBorder="1" applyAlignment="1" applyProtection="1">
      <alignment horizontal="center"/>
      <protection/>
    </xf>
    <xf numFmtId="188" fontId="5" fillId="34" borderId="0" xfId="0" applyNumberFormat="1" applyFont="1" applyFill="1" applyBorder="1" applyAlignment="1" applyProtection="1">
      <alignment horizontal="center"/>
      <protection/>
    </xf>
    <xf numFmtId="3" fontId="5" fillId="34" borderId="11" xfId="0" applyNumberFormat="1" applyFont="1" applyFill="1" applyBorder="1" applyAlignment="1">
      <alignment horizontal="center"/>
    </xf>
    <xf numFmtId="0" fontId="0" fillId="34" borderId="0" xfId="0" applyFill="1" applyAlignment="1">
      <alignment horizontal="center"/>
    </xf>
    <xf numFmtId="178" fontId="5" fillId="34" borderId="0" xfId="0" applyNumberFormat="1" applyFont="1" applyFill="1" applyBorder="1" applyAlignment="1" applyProtection="1">
      <alignment/>
      <protection/>
    </xf>
    <xf numFmtId="0" fontId="5" fillId="34" borderId="24" xfId="0" applyFont="1" applyFill="1" applyBorder="1" applyAlignment="1" applyProtection="1">
      <alignment horizontal="left"/>
      <protection/>
    </xf>
    <xf numFmtId="0" fontId="5" fillId="34" borderId="22" xfId="0" applyFont="1" applyFill="1" applyBorder="1" applyAlignment="1" applyProtection="1">
      <alignment horizontal="left"/>
      <protection/>
    </xf>
    <xf numFmtId="0" fontId="5" fillId="34" borderId="23" xfId="0" applyFont="1" applyFill="1" applyBorder="1" applyAlignment="1" applyProtection="1">
      <alignment/>
      <protection/>
    </xf>
    <xf numFmtId="37" fontId="4" fillId="34" borderId="14" xfId="0" applyNumberFormat="1" applyFont="1" applyFill="1" applyBorder="1" applyAlignment="1" applyProtection="1">
      <alignment horizontal="left"/>
      <protection/>
    </xf>
    <xf numFmtId="37" fontId="17" fillId="39" borderId="14" xfId="0" applyNumberFormat="1" applyFont="1" applyFill="1" applyBorder="1" applyAlignment="1" applyProtection="1">
      <alignment horizontal="center"/>
      <protection/>
    </xf>
    <xf numFmtId="3" fontId="5" fillId="40" borderId="10" xfId="0" applyNumberFormat="1" applyFont="1" applyFill="1" applyBorder="1" applyAlignment="1" applyProtection="1">
      <alignment horizontal="right"/>
      <protection locked="0"/>
    </xf>
    <xf numFmtId="37" fontId="17" fillId="33" borderId="14" xfId="0" applyNumberFormat="1" applyFont="1" applyFill="1" applyBorder="1" applyAlignment="1" applyProtection="1">
      <alignment horizontal="center"/>
      <protection/>
    </xf>
    <xf numFmtId="188" fontId="5" fillId="34" borderId="11" xfId="0" applyNumberFormat="1" applyFont="1" applyFill="1" applyBorder="1" applyAlignment="1">
      <alignment horizontal="center"/>
    </xf>
    <xf numFmtId="3" fontId="5" fillId="33" borderId="10" xfId="0" applyNumberFormat="1" applyFont="1" applyFill="1" applyBorder="1" applyAlignment="1" applyProtection="1">
      <alignment horizontal="center"/>
      <protection locked="0"/>
    </xf>
    <xf numFmtId="3" fontId="5" fillId="33" borderId="15" xfId="0" applyNumberFormat="1" applyFont="1" applyFill="1" applyBorder="1" applyAlignment="1" applyProtection="1">
      <alignment horizontal="center"/>
      <protection locked="0"/>
    </xf>
    <xf numFmtId="0" fontId="5" fillId="37" borderId="0" xfId="0" applyFont="1" applyFill="1" applyAlignment="1">
      <alignment/>
    </xf>
    <xf numFmtId="0" fontId="5" fillId="37" borderId="0" xfId="0" applyFont="1" applyFill="1" applyAlignment="1" applyProtection="1">
      <alignment/>
      <protection locked="0"/>
    </xf>
    <xf numFmtId="3" fontId="5" fillId="40" borderId="21" xfId="0" applyNumberFormat="1" applyFont="1" applyFill="1" applyBorder="1" applyAlignment="1" applyProtection="1">
      <alignment horizontal="center"/>
      <protection/>
    </xf>
    <xf numFmtId="0" fontId="5" fillId="37" borderId="0" xfId="57" applyFont="1" applyFill="1" applyProtection="1">
      <alignment/>
      <protection/>
    </xf>
    <xf numFmtId="0" fontId="5" fillId="37" borderId="0" xfId="0" applyFont="1" applyFill="1" applyAlignment="1" applyProtection="1">
      <alignment/>
      <protection/>
    </xf>
    <xf numFmtId="0" fontId="14" fillId="34" borderId="0" xfId="0" applyFont="1" applyFill="1" applyAlignment="1">
      <alignment horizontal="center"/>
    </xf>
    <xf numFmtId="0" fontId="21" fillId="34" borderId="0" xfId="0" applyFont="1" applyFill="1" applyAlignment="1">
      <alignment horizontal="center"/>
    </xf>
    <xf numFmtId="0" fontId="6" fillId="0" borderId="0" xfId="0" applyFont="1" applyAlignment="1">
      <alignment/>
    </xf>
    <xf numFmtId="0" fontId="0" fillId="0" borderId="0" xfId="0" applyAlignment="1">
      <alignment/>
    </xf>
    <xf numFmtId="3" fontId="22" fillId="39" borderId="0" xfId="0" applyNumberFormat="1" applyFont="1" applyFill="1" applyAlignment="1">
      <alignment horizontal="center"/>
    </xf>
    <xf numFmtId="37" fontId="5" fillId="40" borderId="14" xfId="0" applyNumberFormat="1" applyFont="1" applyFill="1" applyBorder="1" applyAlignment="1" applyProtection="1">
      <alignment/>
      <protection/>
    </xf>
    <xf numFmtId="164" fontId="5" fillId="34" borderId="17" xfId="0" applyNumberFormat="1" applyFont="1" applyFill="1" applyBorder="1" applyAlignment="1" applyProtection="1">
      <alignment/>
      <protection locked="0"/>
    </xf>
    <xf numFmtId="0" fontId="5" fillId="38" borderId="15" xfId="0" applyNumberFormat="1" applyFont="1" applyFill="1" applyBorder="1" applyAlignment="1" applyProtection="1">
      <alignment horizontal="center"/>
      <protection/>
    </xf>
    <xf numFmtId="3" fontId="5" fillId="33" borderId="17" xfId="0" applyNumberFormat="1" applyFont="1" applyFill="1" applyBorder="1" applyAlignment="1" applyProtection="1">
      <alignment/>
      <protection locked="0"/>
    </xf>
    <xf numFmtId="37" fontId="5" fillId="34" borderId="24" xfId="0" applyNumberFormat="1" applyFont="1" applyFill="1" applyBorder="1" applyAlignment="1" applyProtection="1">
      <alignment horizontal="center"/>
      <protection/>
    </xf>
    <xf numFmtId="164" fontId="5" fillId="34" borderId="11" xfId="0" applyNumberFormat="1" applyFont="1" applyFill="1" applyBorder="1" applyAlignment="1" applyProtection="1">
      <alignment/>
      <protection locked="0"/>
    </xf>
    <xf numFmtId="1" fontId="5" fillId="34" borderId="23" xfId="0" applyNumberFormat="1" applyFont="1" applyFill="1" applyBorder="1" applyAlignment="1" applyProtection="1">
      <alignment horizontal="center"/>
      <protection/>
    </xf>
    <xf numFmtId="37" fontId="5" fillId="34" borderId="23" xfId="0" applyNumberFormat="1" applyFont="1" applyFill="1" applyBorder="1" applyAlignment="1" applyProtection="1">
      <alignment horizontal="center"/>
      <protection/>
    </xf>
    <xf numFmtId="3" fontId="5" fillId="33" borderId="12" xfId="0" applyNumberFormat="1" applyFont="1" applyFill="1" applyBorder="1" applyAlignment="1" applyProtection="1">
      <alignment/>
      <protection locked="0"/>
    </xf>
    <xf numFmtId="3" fontId="5" fillId="34" borderId="12" xfId="0" applyNumberFormat="1" applyFont="1" applyFill="1" applyBorder="1" applyAlignment="1" applyProtection="1">
      <alignment/>
      <protection/>
    </xf>
    <xf numFmtId="37" fontId="5" fillId="34" borderId="12" xfId="0" applyNumberFormat="1" applyFont="1" applyFill="1" applyBorder="1" applyAlignment="1" applyProtection="1">
      <alignment/>
      <protection/>
    </xf>
    <xf numFmtId="3" fontId="5" fillId="40" borderId="12" xfId="0" applyNumberFormat="1" applyFont="1" applyFill="1" applyBorder="1" applyAlignment="1" applyProtection="1">
      <alignment/>
      <protection/>
    </xf>
    <xf numFmtId="37" fontId="17" fillId="39" borderId="12" xfId="0" applyNumberFormat="1" applyFont="1" applyFill="1" applyBorder="1" applyAlignment="1" applyProtection="1">
      <alignment horizontal="center"/>
      <protection/>
    </xf>
    <xf numFmtId="37" fontId="4" fillId="40" borderId="12" xfId="0" applyNumberFormat="1" applyFont="1" applyFill="1" applyBorder="1" applyAlignment="1" applyProtection="1">
      <alignment/>
      <protection/>
    </xf>
    <xf numFmtId="3" fontId="4" fillId="40" borderId="12" xfId="0" applyNumberFormat="1" applyFont="1" applyFill="1" applyBorder="1" applyAlignment="1" applyProtection="1">
      <alignment/>
      <protection/>
    </xf>
    <xf numFmtId="0" fontId="0" fillId="34" borderId="0" xfId="0" applyFill="1" applyAlignment="1">
      <alignment/>
    </xf>
    <xf numFmtId="0" fontId="5" fillId="34" borderId="0" xfId="0" applyFont="1" applyFill="1" applyAlignment="1" applyProtection="1">
      <alignment/>
      <protection/>
    </xf>
    <xf numFmtId="166" fontId="5" fillId="34" borderId="11" xfId="0" applyNumberFormat="1" applyFont="1" applyFill="1" applyBorder="1" applyAlignment="1" applyProtection="1">
      <alignment/>
      <protection/>
    </xf>
    <xf numFmtId="37" fontId="17" fillId="39" borderId="10" xfId="0" applyNumberFormat="1" applyFont="1" applyFill="1" applyBorder="1" applyAlignment="1" applyProtection="1">
      <alignment horizontal="center"/>
      <protection/>
    </xf>
    <xf numFmtId="0" fontId="5" fillId="34" borderId="0" xfId="0" applyFont="1" applyFill="1" applyAlignment="1" applyProtection="1">
      <alignment horizontal="left"/>
      <protection locked="0"/>
    </xf>
    <xf numFmtId="37" fontId="5" fillId="41" borderId="10" xfId="0" applyNumberFormat="1" applyFont="1" applyFill="1" applyBorder="1" applyAlignment="1" applyProtection="1">
      <alignment/>
      <protection/>
    </xf>
    <xf numFmtId="3" fontId="5" fillId="41" borderId="10" xfId="0" applyNumberFormat="1" applyFont="1" applyFill="1" applyBorder="1" applyAlignment="1" applyProtection="1">
      <alignment/>
      <protection/>
    </xf>
    <xf numFmtId="0" fontId="0" fillId="34" borderId="0" xfId="0" applyFill="1" applyBorder="1" applyAlignment="1">
      <alignment horizontal="right"/>
    </xf>
    <xf numFmtId="3" fontId="5" fillId="39" borderId="10" xfId="0" applyNumberFormat="1" applyFont="1" applyFill="1" applyBorder="1" applyAlignment="1" applyProtection="1">
      <alignment/>
      <protection/>
    </xf>
    <xf numFmtId="0" fontId="5" fillId="40" borderId="12" xfId="0" applyFont="1" applyFill="1" applyBorder="1" applyAlignment="1" applyProtection="1">
      <alignment/>
      <protection/>
    </xf>
    <xf numFmtId="3" fontId="5" fillId="0" borderId="0" xfId="0" applyNumberFormat="1" applyFont="1" applyFill="1" applyBorder="1" applyAlignment="1" applyProtection="1">
      <alignment/>
      <protection locked="0"/>
    </xf>
    <xf numFmtId="0" fontId="17" fillId="34" borderId="0" xfId="0" applyFont="1" applyFill="1" applyAlignment="1" applyProtection="1">
      <alignment/>
      <protection/>
    </xf>
    <xf numFmtId="3" fontId="5" fillId="40" borderId="10" xfId="0" applyNumberFormat="1" applyFont="1" applyFill="1" applyBorder="1" applyAlignment="1" applyProtection="1">
      <alignment/>
      <protection/>
    </xf>
    <xf numFmtId="0" fontId="4" fillId="40" borderId="14" xfId="0" applyFont="1" applyFill="1" applyBorder="1" applyAlignment="1" applyProtection="1">
      <alignment horizontal="left"/>
      <protection/>
    </xf>
    <xf numFmtId="37" fontId="17" fillId="34" borderId="0" xfId="0" applyNumberFormat="1" applyFont="1" applyFill="1" applyBorder="1" applyAlignment="1" applyProtection="1">
      <alignment horizontal="center"/>
      <protection/>
    </xf>
    <xf numFmtId="0" fontId="17" fillId="34" borderId="0" xfId="0" applyFont="1" applyFill="1" applyAlignment="1">
      <alignment horizontal="center"/>
    </xf>
    <xf numFmtId="0" fontId="17" fillId="34" borderId="0" xfId="0" applyFont="1" applyFill="1" applyAlignment="1" applyProtection="1">
      <alignment horizontal="center"/>
      <protection/>
    </xf>
    <xf numFmtId="3" fontId="17" fillId="34" borderId="0" xfId="0" applyNumberFormat="1" applyFont="1" applyFill="1" applyAlignment="1" applyProtection="1">
      <alignment horizontal="center"/>
      <protection/>
    </xf>
    <xf numFmtId="0" fontId="5" fillId="0" borderId="0" xfId="0" applyNumberFormat="1" applyFont="1" applyAlignment="1">
      <alignment wrapText="1"/>
    </xf>
    <xf numFmtId="37" fontId="5" fillId="36" borderId="0" xfId="0" applyNumberFormat="1" applyFont="1" applyFill="1" applyAlignment="1" applyProtection="1">
      <alignment horizontal="center"/>
      <protection/>
    </xf>
    <xf numFmtId="0" fontId="5" fillId="36" borderId="11" xfId="0" applyFont="1" applyFill="1" applyBorder="1" applyAlignment="1">
      <alignment horizontal="center"/>
    </xf>
    <xf numFmtId="37" fontId="5" fillId="34" borderId="14" xfId="0" applyNumberFormat="1" applyFont="1" applyFill="1" applyBorder="1" applyAlignment="1" applyProtection="1">
      <alignment horizontal="center"/>
      <protection/>
    </xf>
    <xf numFmtId="0" fontId="5" fillId="34" borderId="14" xfId="0" applyFont="1" applyFill="1" applyBorder="1" applyAlignment="1" applyProtection="1">
      <alignment horizontal="center"/>
      <protection/>
    </xf>
    <xf numFmtId="0" fontId="5" fillId="34" borderId="27" xfId="0" applyFont="1" applyFill="1" applyBorder="1" applyAlignment="1" applyProtection="1">
      <alignment horizontal="center"/>
      <protection/>
    </xf>
    <xf numFmtId="0" fontId="5" fillId="34" borderId="22" xfId="0" applyFont="1" applyFill="1" applyBorder="1" applyAlignment="1" applyProtection="1">
      <alignment horizontal="center"/>
      <protection/>
    </xf>
    <xf numFmtId="37" fontId="5" fillId="40" borderId="10" xfId="0" applyNumberFormat="1" applyFont="1" applyFill="1" applyBorder="1" applyAlignment="1" applyProtection="1">
      <alignment horizontal="center"/>
      <protection/>
    </xf>
    <xf numFmtId="3" fontId="5" fillId="40" borderId="14" xfId="0" applyNumberFormat="1" applyFont="1" applyFill="1" applyBorder="1" applyAlignment="1" applyProtection="1">
      <alignment/>
      <protection/>
    </xf>
    <xf numFmtId="0" fontId="8" fillId="34" borderId="12" xfId="0" applyFont="1" applyFill="1" applyBorder="1" applyAlignment="1" applyProtection="1">
      <alignment horizontal="left"/>
      <protection/>
    </xf>
    <xf numFmtId="0" fontId="23" fillId="34" borderId="14" xfId="0" applyFont="1" applyFill="1" applyBorder="1" applyAlignment="1" applyProtection="1">
      <alignment horizontal="left"/>
      <protection/>
    </xf>
    <xf numFmtId="3" fontId="8" fillId="40" borderId="10" xfId="0" applyNumberFormat="1" applyFont="1" applyFill="1" applyBorder="1" applyAlignment="1" applyProtection="1">
      <alignment/>
      <protection/>
    </xf>
    <xf numFmtId="3" fontId="4" fillId="33" borderId="12" xfId="0" applyNumberFormat="1" applyFont="1" applyFill="1" applyBorder="1" applyAlignment="1" applyProtection="1">
      <alignment/>
      <protection locked="0"/>
    </xf>
    <xf numFmtId="0" fontId="4" fillId="33" borderId="12" xfId="0" applyFont="1" applyFill="1" applyBorder="1" applyAlignment="1" applyProtection="1">
      <alignment/>
      <protection locked="0"/>
    </xf>
    <xf numFmtId="0" fontId="4" fillId="33" borderId="0" xfId="0" applyFont="1" applyFill="1" applyAlignment="1" applyProtection="1">
      <alignment horizontal="left"/>
      <protection locked="0"/>
    </xf>
    <xf numFmtId="0" fontId="5" fillId="34" borderId="15" xfId="0" applyFont="1" applyFill="1" applyBorder="1" applyAlignment="1" applyProtection="1">
      <alignment horizontal="left"/>
      <protection/>
    </xf>
    <xf numFmtId="0" fontId="5" fillId="33" borderId="17" xfId="0" applyFont="1" applyFill="1" applyBorder="1" applyAlignment="1" applyProtection="1">
      <alignment horizontal="left"/>
      <protection locked="0"/>
    </xf>
    <xf numFmtId="0" fontId="4" fillId="33" borderId="13" xfId="0" applyFont="1" applyFill="1" applyBorder="1" applyAlignment="1" applyProtection="1">
      <alignment horizontal="left"/>
      <protection locked="0"/>
    </xf>
    <xf numFmtId="37" fontId="5" fillId="34" borderId="15" xfId="0" applyNumberFormat="1" applyFont="1" applyFill="1" applyBorder="1" applyAlignment="1" applyProtection="1">
      <alignment/>
      <protection/>
    </xf>
    <xf numFmtId="37" fontId="5" fillId="33" borderId="17" xfId="0" applyNumberFormat="1" applyFont="1" applyFill="1" applyBorder="1" applyAlignment="1" applyProtection="1">
      <alignment/>
      <protection locked="0"/>
    </xf>
    <xf numFmtId="37" fontId="5" fillId="34" borderId="13" xfId="0" applyNumberFormat="1" applyFont="1" applyFill="1" applyBorder="1" applyAlignment="1" applyProtection="1">
      <alignment/>
      <protection/>
    </xf>
    <xf numFmtId="37" fontId="4" fillId="40" borderId="15" xfId="0" applyNumberFormat="1" applyFont="1" applyFill="1" applyBorder="1" applyAlignment="1" applyProtection="1">
      <alignment/>
      <protection/>
    </xf>
    <xf numFmtId="0" fontId="4" fillId="33" borderId="13" xfId="0" applyFont="1" applyFill="1" applyBorder="1" applyAlignment="1" applyProtection="1">
      <alignment horizontal="left"/>
      <protection locked="0"/>
    </xf>
    <xf numFmtId="37" fontId="5" fillId="33" borderId="13" xfId="0" applyNumberFormat="1" applyFont="1" applyFill="1" applyBorder="1" applyAlignment="1" applyProtection="1">
      <alignment/>
      <protection locked="0"/>
    </xf>
    <xf numFmtId="0" fontId="4" fillId="33" borderId="19" xfId="0" applyFont="1" applyFill="1" applyBorder="1" applyAlignment="1" applyProtection="1">
      <alignment horizontal="left"/>
      <protection locked="0"/>
    </xf>
    <xf numFmtId="37" fontId="5" fillId="34" borderId="19" xfId="0" applyNumberFormat="1" applyFont="1" applyFill="1" applyBorder="1" applyAlignment="1" applyProtection="1">
      <alignment/>
      <protection/>
    </xf>
    <xf numFmtId="0" fontId="4" fillId="34" borderId="15" xfId="0" applyFont="1" applyFill="1" applyBorder="1" applyAlignment="1" applyProtection="1">
      <alignment horizontal="left"/>
      <protection/>
    </xf>
    <xf numFmtId="37" fontId="5" fillId="34" borderId="13" xfId="0" applyNumberFormat="1" applyFont="1" applyFill="1" applyBorder="1" applyAlignment="1" applyProtection="1">
      <alignment horizontal="fill"/>
      <protection/>
    </xf>
    <xf numFmtId="37" fontId="5" fillId="34" borderId="13" xfId="0" applyNumberFormat="1" applyFont="1" applyFill="1" applyBorder="1" applyAlignment="1" applyProtection="1">
      <alignment horizontal="fill"/>
      <protection locked="0"/>
    </xf>
    <xf numFmtId="0" fontId="5" fillId="34" borderId="13" xfId="0" applyFont="1" applyFill="1" applyBorder="1" applyAlignment="1" applyProtection="1">
      <alignment/>
      <protection locked="0"/>
    </xf>
    <xf numFmtId="37" fontId="5" fillId="34" borderId="0" xfId="0" applyNumberFormat="1" applyFont="1" applyFill="1" applyBorder="1" applyAlignment="1" applyProtection="1">
      <alignment horizontal="right"/>
      <protection/>
    </xf>
    <xf numFmtId="0" fontId="5" fillId="33" borderId="0" xfId="0" applyFont="1" applyFill="1" applyBorder="1" applyAlignment="1" applyProtection="1">
      <alignment/>
      <protection locked="0"/>
    </xf>
    <xf numFmtId="177" fontId="5" fillId="33" borderId="10" xfId="42" applyNumberFormat="1" applyFont="1" applyFill="1" applyBorder="1" applyAlignment="1" applyProtection="1">
      <alignment/>
      <protection locked="0"/>
    </xf>
    <xf numFmtId="3" fontId="4" fillId="33" borderId="10" xfId="0" applyNumberFormat="1" applyFont="1" applyFill="1" applyBorder="1" applyAlignment="1" applyProtection="1">
      <alignment/>
      <protection locked="0"/>
    </xf>
    <xf numFmtId="37" fontId="15" fillId="34" borderId="0" xfId="0" applyNumberFormat="1" applyFont="1" applyFill="1" applyAlignment="1" applyProtection="1">
      <alignment horizontal="center" vertical="justify"/>
      <protection/>
    </xf>
    <xf numFmtId="0" fontId="16" fillId="0" borderId="0" xfId="0" applyFont="1" applyAlignment="1">
      <alignment horizontal="center" vertical="justify"/>
    </xf>
    <xf numFmtId="37" fontId="14" fillId="34" borderId="0" xfId="0" applyNumberFormat="1" applyFont="1" applyFill="1" applyAlignment="1" applyProtection="1">
      <alignment horizontal="left"/>
      <protection/>
    </xf>
    <xf numFmtId="0" fontId="0" fillId="0" borderId="0" xfId="0" applyAlignment="1">
      <alignment horizontal="left"/>
    </xf>
    <xf numFmtId="0" fontId="17" fillId="34" borderId="0" xfId="0" applyFont="1" applyFill="1" applyBorder="1" applyAlignment="1">
      <alignment/>
    </xf>
    <xf numFmtId="0" fontId="20" fillId="0" borderId="0" xfId="0" applyFont="1" applyAlignment="1">
      <alignment/>
    </xf>
    <xf numFmtId="37" fontId="14" fillId="34" borderId="0" xfId="0" applyNumberFormat="1" applyFont="1" applyFill="1" applyBorder="1" applyAlignment="1" applyProtection="1">
      <alignment horizontal="center"/>
      <protection/>
    </xf>
    <xf numFmtId="0" fontId="0" fillId="0" borderId="0" xfId="0" applyAlignment="1">
      <alignment horizontal="center"/>
    </xf>
    <xf numFmtId="0" fontId="5" fillId="37" borderId="19" xfId="0" applyFont="1" applyFill="1" applyBorder="1" applyAlignment="1">
      <alignment wrapText="1"/>
    </xf>
    <xf numFmtId="0" fontId="0" fillId="0" borderId="19" xfId="0" applyBorder="1" applyAlignment="1">
      <alignment wrapText="1"/>
    </xf>
    <xf numFmtId="0" fontId="4" fillId="38" borderId="0" xfId="0" applyFont="1" applyFill="1" applyBorder="1" applyAlignment="1">
      <alignment horizontal="center"/>
    </xf>
    <xf numFmtId="0" fontId="1" fillId="38" borderId="0" xfId="0" applyFont="1" applyFill="1" applyBorder="1" applyAlignment="1">
      <alignment horizontal="center"/>
    </xf>
    <xf numFmtId="37" fontId="6" fillId="34" borderId="0" xfId="0" applyNumberFormat="1" applyFont="1" applyFill="1" applyAlignment="1" applyProtection="1">
      <alignment horizontal="center"/>
      <protection/>
    </xf>
    <xf numFmtId="0" fontId="0" fillId="34" borderId="0" xfId="0" applyFill="1" applyAlignment="1" applyProtection="1">
      <alignment horizontal="center"/>
      <protection/>
    </xf>
    <xf numFmtId="0" fontId="5" fillId="34" borderId="0" xfId="0" applyFont="1" applyFill="1" applyAlignment="1" applyProtection="1">
      <alignment horizontal="center"/>
      <protection/>
    </xf>
    <xf numFmtId="37" fontId="5" fillId="34" borderId="0" xfId="0" applyNumberFormat="1" applyFont="1" applyFill="1" applyAlignment="1" applyProtection="1">
      <alignment horizontal="center"/>
      <protection/>
    </xf>
    <xf numFmtId="0" fontId="9" fillId="38" borderId="19" xfId="0" applyFont="1" applyFill="1" applyBorder="1" applyAlignment="1" applyProtection="1">
      <alignment horizontal="center" wrapText="1" shrinkToFit="1"/>
      <protection/>
    </xf>
    <xf numFmtId="0" fontId="0" fillId="0" borderId="0" xfId="0" applyAlignment="1" applyProtection="1">
      <alignment horizontal="center" wrapText="1"/>
      <protection/>
    </xf>
    <xf numFmtId="0" fontId="7" fillId="34" borderId="0" xfId="0" applyFont="1" applyFill="1" applyAlignment="1">
      <alignment horizontal="center"/>
    </xf>
    <xf numFmtId="37" fontId="4" fillId="34" borderId="0" xfId="0" applyNumberFormat="1" applyFont="1" applyFill="1" applyAlignment="1">
      <alignment horizontal="center"/>
    </xf>
    <xf numFmtId="0" fontId="4" fillId="34" borderId="0" xfId="0" applyFont="1" applyFill="1" applyAlignment="1">
      <alignment horizontal="center"/>
    </xf>
    <xf numFmtId="37" fontId="4" fillId="34" borderId="0" xfId="0" applyNumberFormat="1" applyFont="1" applyFill="1" applyAlignment="1" applyProtection="1">
      <alignment horizontal="center"/>
      <protection/>
    </xf>
    <xf numFmtId="37" fontId="5" fillId="34" borderId="12" xfId="0" applyNumberFormat="1" applyFont="1" applyFill="1" applyBorder="1" applyAlignment="1" applyProtection="1">
      <alignment horizontal="center"/>
      <protection/>
    </xf>
    <xf numFmtId="37" fontId="5" fillId="34" borderId="13" xfId="0" applyNumberFormat="1" applyFont="1" applyFill="1" applyBorder="1" applyAlignment="1" applyProtection="1">
      <alignment horizontal="center"/>
      <protection/>
    </xf>
    <xf numFmtId="0" fontId="0" fillId="0" borderId="14" xfId="0" applyBorder="1" applyAlignment="1">
      <alignment/>
    </xf>
    <xf numFmtId="0" fontId="4" fillId="34" borderId="0" xfId="0" applyFont="1" applyFill="1" applyAlignment="1" applyProtection="1">
      <alignment horizontal="center"/>
      <protection/>
    </xf>
    <xf numFmtId="0" fontId="5" fillId="34" borderId="25" xfId="0" applyFont="1" applyFill="1" applyBorder="1" applyAlignment="1" applyProtection="1">
      <alignment horizontal="center"/>
      <protection/>
    </xf>
    <xf numFmtId="0" fontId="0" fillId="0" borderId="24" xfId="0" applyBorder="1" applyAlignment="1" applyProtection="1">
      <alignment/>
      <protection/>
    </xf>
    <xf numFmtId="1" fontId="5" fillId="34" borderId="25" xfId="0" applyNumberFormat="1" applyFont="1" applyFill="1" applyBorder="1" applyAlignment="1" applyProtection="1">
      <alignment horizontal="center"/>
      <protection/>
    </xf>
    <xf numFmtId="0" fontId="0" fillId="0" borderId="24" xfId="0" applyBorder="1" applyAlignment="1" applyProtection="1">
      <alignment horizontal="center"/>
      <protection/>
    </xf>
    <xf numFmtId="3" fontId="5" fillId="41" borderId="12" xfId="0" applyNumberFormat="1" applyFont="1" applyFill="1" applyBorder="1" applyAlignment="1" applyProtection="1">
      <alignment/>
      <protection/>
    </xf>
    <xf numFmtId="3" fontId="5" fillId="41" borderId="14" xfId="0" applyNumberFormat="1" applyFont="1" applyFill="1" applyBorder="1" applyAlignment="1" applyProtection="1">
      <alignment/>
      <protection/>
    </xf>
    <xf numFmtId="3" fontId="5" fillId="33" borderId="12" xfId="0" applyNumberFormat="1" applyFont="1" applyFill="1" applyBorder="1" applyAlignment="1" applyProtection="1">
      <alignment/>
      <protection locked="0"/>
    </xf>
    <xf numFmtId="3" fontId="5" fillId="33" borderId="14" xfId="0" applyNumberFormat="1" applyFont="1" applyFill="1" applyBorder="1" applyAlignment="1" applyProtection="1">
      <alignment/>
      <protection locked="0"/>
    </xf>
    <xf numFmtId="3" fontId="8" fillId="40" borderId="12" xfId="0" applyNumberFormat="1" applyFont="1" applyFill="1" applyBorder="1" applyAlignment="1" applyProtection="1">
      <alignment/>
      <protection/>
    </xf>
    <xf numFmtId="3" fontId="8" fillId="40" borderId="14" xfId="0" applyNumberFormat="1" applyFont="1" applyFill="1" applyBorder="1" applyAlignment="1" applyProtection="1">
      <alignment/>
      <protection/>
    </xf>
    <xf numFmtId="37" fontId="5" fillId="34" borderId="12" xfId="0" applyNumberFormat="1" applyFont="1" applyFill="1" applyBorder="1" applyAlignment="1" applyProtection="1">
      <alignment/>
      <protection/>
    </xf>
    <xf numFmtId="37" fontId="5" fillId="34" borderId="14" xfId="0" applyNumberFormat="1" applyFont="1" applyFill="1" applyBorder="1" applyAlignment="1" applyProtection="1">
      <alignment/>
      <protection/>
    </xf>
    <xf numFmtId="3" fontId="5" fillId="33" borderId="12" xfId="0" applyNumberFormat="1" applyFont="1" applyFill="1" applyBorder="1" applyAlignment="1" applyProtection="1">
      <alignment horizontal="right"/>
      <protection locked="0"/>
    </xf>
    <xf numFmtId="3" fontId="5" fillId="33" borderId="14" xfId="0" applyNumberFormat="1" applyFont="1" applyFill="1" applyBorder="1" applyAlignment="1" applyProtection="1">
      <alignment horizontal="right"/>
      <protection locked="0"/>
    </xf>
    <xf numFmtId="3" fontId="5" fillId="34" borderId="12" xfId="0" applyNumberFormat="1" applyFont="1" applyFill="1" applyBorder="1" applyAlignment="1" applyProtection="1">
      <alignment/>
      <protection/>
    </xf>
    <xf numFmtId="3" fontId="5" fillId="34" borderId="14" xfId="0" applyNumberFormat="1" applyFont="1" applyFill="1" applyBorder="1" applyAlignment="1" applyProtection="1">
      <alignment/>
      <protection/>
    </xf>
    <xf numFmtId="0" fontId="5" fillId="34" borderId="0" xfId="0" applyNumberFormat="1" applyFont="1" applyFill="1" applyBorder="1" applyAlignment="1" applyProtection="1">
      <alignment horizontal="right"/>
      <protection/>
    </xf>
    <xf numFmtId="0" fontId="0" fillId="0" borderId="0" xfId="0" applyAlignment="1">
      <alignment horizontal="right"/>
    </xf>
    <xf numFmtId="0" fontId="0" fillId="0" borderId="27" xfId="0" applyBorder="1" applyAlignment="1">
      <alignment horizontal="right"/>
    </xf>
    <xf numFmtId="37" fontId="5" fillId="34" borderId="19" xfId="0" applyNumberFormat="1" applyFont="1" applyFill="1" applyBorder="1" applyAlignment="1" applyProtection="1">
      <alignment horizontal="right"/>
      <protection/>
    </xf>
    <xf numFmtId="0" fontId="0" fillId="0" borderId="19" xfId="0" applyFont="1" applyBorder="1" applyAlignment="1">
      <alignment/>
    </xf>
    <xf numFmtId="0" fontId="0" fillId="0" borderId="22" xfId="0" applyFont="1" applyBorder="1" applyAlignment="1">
      <alignment/>
    </xf>
    <xf numFmtId="37" fontId="5" fillId="34" borderId="0" xfId="0" applyNumberFormat="1" applyFont="1" applyFill="1" applyAlignment="1" applyProtection="1">
      <alignment horizontal="right"/>
      <protection/>
    </xf>
    <xf numFmtId="37" fontId="5" fillId="34" borderId="27" xfId="0" applyNumberFormat="1" applyFont="1" applyFill="1" applyBorder="1" applyAlignment="1" applyProtection="1">
      <alignment horizontal="right"/>
      <protection/>
    </xf>
    <xf numFmtId="0" fontId="5" fillId="34" borderId="0" xfId="0" applyFont="1" applyFill="1" applyAlignment="1">
      <alignment horizontal="right"/>
    </xf>
    <xf numFmtId="0" fontId="5" fillId="34" borderId="0" xfId="0" applyFont="1" applyFill="1" applyAlignment="1">
      <alignment/>
    </xf>
    <xf numFmtId="37" fontId="17" fillId="39" borderId="12" xfId="0" applyNumberFormat="1" applyFont="1" applyFill="1" applyBorder="1" applyAlignment="1" applyProtection="1">
      <alignment horizontal="center"/>
      <protection/>
    </xf>
    <xf numFmtId="37" fontId="17" fillId="39" borderId="14" xfId="0" applyNumberFormat="1" applyFont="1" applyFill="1" applyBorder="1" applyAlignment="1" applyProtection="1">
      <alignment horizontal="center"/>
      <protection/>
    </xf>
    <xf numFmtId="37" fontId="4" fillId="40" borderId="12" xfId="0" applyNumberFormat="1" applyFont="1" applyFill="1" applyBorder="1" applyAlignment="1" applyProtection="1">
      <alignment/>
      <protection/>
    </xf>
    <xf numFmtId="37" fontId="4" fillId="40" borderId="14" xfId="0" applyNumberFormat="1" applyFont="1" applyFill="1" applyBorder="1" applyAlignment="1" applyProtection="1">
      <alignment/>
      <protection/>
    </xf>
    <xf numFmtId="3" fontId="5" fillId="40" borderId="12" xfId="0" applyNumberFormat="1" applyFont="1" applyFill="1" applyBorder="1" applyAlignment="1" applyProtection="1">
      <alignment/>
      <protection/>
    </xf>
    <xf numFmtId="3" fontId="5" fillId="40" borderId="14" xfId="0" applyNumberFormat="1" applyFont="1" applyFill="1" applyBorder="1" applyAlignment="1" applyProtection="1">
      <alignment/>
      <protection/>
    </xf>
    <xf numFmtId="3" fontId="4" fillId="40" borderId="12" xfId="0" applyNumberFormat="1" applyFont="1" applyFill="1" applyBorder="1" applyAlignment="1" applyProtection="1">
      <alignment/>
      <protection/>
    </xf>
    <xf numFmtId="3" fontId="4" fillId="40" borderId="14" xfId="0" applyNumberFormat="1" applyFont="1" applyFill="1" applyBorder="1" applyAlignment="1" applyProtection="1">
      <alignment/>
      <protection/>
    </xf>
    <xf numFmtId="37" fontId="5" fillId="34" borderId="23" xfId="0" applyNumberFormat="1" applyFont="1" applyFill="1" applyBorder="1" applyAlignment="1" applyProtection="1">
      <alignment horizontal="center"/>
      <protection/>
    </xf>
    <xf numFmtId="37" fontId="5" fillId="34" borderId="22" xfId="0" applyNumberFormat="1" applyFont="1" applyFill="1" applyBorder="1" applyAlignment="1" applyProtection="1">
      <alignment horizontal="center"/>
      <protection/>
    </xf>
    <xf numFmtId="0" fontId="5" fillId="34" borderId="25" xfId="0" applyNumberFormat="1" applyFont="1" applyFill="1" applyBorder="1" applyAlignment="1" applyProtection="1">
      <alignment horizontal="center"/>
      <protection/>
    </xf>
    <xf numFmtId="0" fontId="5" fillId="34" borderId="24" xfId="0" applyNumberFormat="1" applyFont="1" applyFill="1" applyBorder="1" applyAlignment="1" applyProtection="1">
      <alignment horizontal="center"/>
      <protection/>
    </xf>
    <xf numFmtId="1" fontId="5" fillId="34" borderId="23" xfId="0" applyNumberFormat="1" applyFont="1" applyFill="1" applyBorder="1" applyAlignment="1" applyProtection="1">
      <alignment horizontal="center"/>
      <protection/>
    </xf>
    <xf numFmtId="1" fontId="5" fillId="34" borderId="22" xfId="0" applyNumberFormat="1" applyFont="1" applyFill="1" applyBorder="1" applyAlignment="1" applyProtection="1">
      <alignment horizontal="center"/>
      <protection/>
    </xf>
    <xf numFmtId="37" fontId="5" fillId="33" borderId="12" xfId="0" applyNumberFormat="1" applyFont="1" applyFill="1" applyBorder="1" applyAlignment="1" applyProtection="1">
      <alignment/>
      <protection locked="0"/>
    </xf>
    <xf numFmtId="37" fontId="5" fillId="33" borderId="14" xfId="0" applyNumberFormat="1" applyFont="1" applyFill="1" applyBorder="1" applyAlignment="1" applyProtection="1">
      <alignment/>
      <protection locked="0"/>
    </xf>
    <xf numFmtId="3" fontId="4" fillId="40" borderId="12" xfId="0" applyNumberFormat="1" applyFont="1" applyFill="1" applyBorder="1" applyAlignment="1" applyProtection="1">
      <alignment horizontal="right"/>
      <protection/>
    </xf>
    <xf numFmtId="0" fontId="0" fillId="0" borderId="14" xfId="0" applyBorder="1" applyAlignment="1">
      <alignment horizontal="right"/>
    </xf>
    <xf numFmtId="3" fontId="5" fillId="40" borderId="12" xfId="0" applyNumberFormat="1" applyFont="1" applyFill="1" applyBorder="1" applyAlignment="1" applyProtection="1">
      <alignment horizontal="right"/>
      <protection/>
    </xf>
    <xf numFmtId="3" fontId="5" fillId="40" borderId="14" xfId="0" applyNumberFormat="1" applyFont="1" applyFill="1" applyBorder="1" applyAlignment="1" applyProtection="1">
      <alignment horizontal="right"/>
      <protection/>
    </xf>
    <xf numFmtId="3" fontId="4" fillId="40" borderId="14" xfId="0" applyNumberFormat="1" applyFont="1" applyFill="1" applyBorder="1" applyAlignment="1" applyProtection="1">
      <alignment horizontal="right"/>
      <protection/>
    </xf>
    <xf numFmtId="3" fontId="5" fillId="34" borderId="12" xfId="0" applyNumberFormat="1" applyFont="1" applyFill="1" applyBorder="1" applyAlignment="1" applyProtection="1">
      <alignment horizontal="right"/>
      <protection/>
    </xf>
    <xf numFmtId="3" fontId="5" fillId="34" borderId="14" xfId="0" applyNumberFormat="1" applyFont="1" applyFill="1" applyBorder="1" applyAlignment="1" applyProtection="1">
      <alignment horizontal="right"/>
      <protection/>
    </xf>
    <xf numFmtId="1" fontId="5" fillId="34" borderId="24" xfId="0" applyNumberFormat="1" applyFont="1" applyFill="1" applyBorder="1" applyAlignment="1" applyProtection="1">
      <alignment horizontal="center"/>
      <protection/>
    </xf>
    <xf numFmtId="3" fontId="5" fillId="34" borderId="12" xfId="42" applyNumberFormat="1" applyFont="1" applyFill="1" applyBorder="1" applyAlignment="1" applyProtection="1">
      <alignment horizontal="right"/>
      <protection/>
    </xf>
    <xf numFmtId="3" fontId="5" fillId="34" borderId="14" xfId="42" applyNumberFormat="1" applyFont="1" applyFill="1" applyBorder="1" applyAlignment="1" applyProtection="1">
      <alignment horizontal="right"/>
      <protection/>
    </xf>
    <xf numFmtId="0" fontId="5" fillId="34" borderId="12" xfId="0" applyFont="1" applyFill="1" applyBorder="1" applyAlignment="1" applyProtection="1">
      <alignment/>
      <protection/>
    </xf>
    <xf numFmtId="0" fontId="5" fillId="34" borderId="14" xfId="0" applyFont="1" applyFill="1" applyBorder="1" applyAlignment="1" applyProtection="1">
      <alignment/>
      <protection/>
    </xf>
    <xf numFmtId="0" fontId="0" fillId="0" borderId="0" xfId="0" applyBorder="1" applyAlignment="1">
      <alignment horizontal="right"/>
    </xf>
    <xf numFmtId="0" fontId="5" fillId="34" borderId="12" xfId="0" applyFont="1" applyFill="1" applyBorder="1" applyAlignment="1">
      <alignment horizontal="center"/>
    </xf>
    <xf numFmtId="0" fontId="5" fillId="34" borderId="14" xfId="0" applyFont="1" applyFill="1" applyBorder="1" applyAlignment="1">
      <alignment horizontal="center"/>
    </xf>
    <xf numFmtId="0" fontId="5" fillId="33" borderId="0" xfId="0" applyFont="1" applyFill="1" applyAlignment="1" applyProtection="1">
      <alignment horizontal="center"/>
      <protection locked="0"/>
    </xf>
    <xf numFmtId="0" fontId="0" fillId="33" borderId="0" xfId="0" applyFill="1" applyAlignment="1" applyProtection="1">
      <alignment/>
      <protection locked="0"/>
    </xf>
    <xf numFmtId="37" fontId="5" fillId="33" borderId="0" xfId="0" applyNumberFormat="1" applyFont="1" applyFill="1" applyAlignment="1" applyProtection="1">
      <alignment horizontal="center"/>
      <protection locked="0"/>
    </xf>
    <xf numFmtId="0" fontId="0" fillId="0" borderId="0" xfId="0" applyAlignment="1" applyProtection="1">
      <alignment/>
      <protection/>
    </xf>
    <xf numFmtId="0" fontId="5" fillId="34" borderId="0" xfId="0" applyFont="1" applyFill="1" applyAlignment="1" applyProtection="1">
      <alignment horizontal="right"/>
      <protection/>
    </xf>
    <xf numFmtId="0" fontId="0" fillId="0" borderId="0" xfId="0" applyAlignment="1">
      <alignment/>
    </xf>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lignment horizontal="left" vertical="justify"/>
    </xf>
    <xf numFmtId="0" fontId="5" fillId="0" borderId="0" xfId="0" applyFont="1" applyAlignment="1">
      <alignment horizontal="center"/>
    </xf>
    <xf numFmtId="0" fontId="5" fillId="0" borderId="0" xfId="0" applyFont="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te" xfId="59"/>
    <cellStyle name="Output" xfId="60"/>
    <cellStyle name="Percent" xfId="61"/>
    <cellStyle name="Title" xfId="62"/>
    <cellStyle name="Total" xfId="63"/>
    <cellStyle name="Warning Text" xfId="64"/>
  </cellStyles>
  <dxfs count="27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s\2010\Budget%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cert"/>
      <sheetName val="computation"/>
      <sheetName val="mvalloc"/>
      <sheetName val="transfers"/>
      <sheetName val="debt"/>
      <sheetName val="lpform"/>
      <sheetName val="DebtService"/>
      <sheetName val="general"/>
      <sheetName val="GenDetail"/>
      <sheetName val="levy page9"/>
      <sheetName val="Sp Hiway"/>
      <sheetName val="no levy page15"/>
      <sheetName val="no levy page16"/>
      <sheetName val="no levy page17"/>
      <sheetName val="no levy page18"/>
      <sheetName val="SinNoLevy20"/>
      <sheetName val="SinNoLevy21"/>
      <sheetName val="SinNoLevy23"/>
      <sheetName val="summ"/>
      <sheetName val="nhood"/>
      <sheetName val="ordinance"/>
      <sheetName val="legend"/>
    </sheetNames>
    <sheetDataSet>
      <sheetData sheetId="11">
        <row r="7">
          <cell r="A7" t="str">
            <v>General Government</v>
          </cell>
        </row>
        <row r="15">
          <cell r="B15">
            <v>305813</v>
          </cell>
          <cell r="C15">
            <v>283005</v>
          </cell>
          <cell r="D15">
            <v>311565</v>
          </cell>
        </row>
        <row r="16">
          <cell r="A16" t="str">
            <v>Police</v>
          </cell>
        </row>
        <row r="24">
          <cell r="B24">
            <v>280079</v>
          </cell>
          <cell r="C24">
            <v>298215</v>
          </cell>
          <cell r="D24">
            <v>332335</v>
          </cell>
        </row>
        <row r="25">
          <cell r="A25" t="str">
            <v>Fire</v>
          </cell>
        </row>
        <row r="34">
          <cell r="B34">
            <v>56189</v>
          </cell>
          <cell r="C34">
            <v>57965</v>
          </cell>
          <cell r="D34">
            <v>75950</v>
          </cell>
        </row>
        <row r="35">
          <cell r="A35" t="str">
            <v>Street</v>
          </cell>
        </row>
        <row r="42">
          <cell r="B42">
            <v>303258</v>
          </cell>
          <cell r="C42">
            <v>295475</v>
          </cell>
          <cell r="D42">
            <v>366275</v>
          </cell>
        </row>
        <row r="43">
          <cell r="A43" t="str">
            <v>Street Lighting</v>
          </cell>
        </row>
        <row r="45">
          <cell r="B45">
            <v>36126</v>
          </cell>
          <cell r="C45">
            <v>38000</v>
          </cell>
          <cell r="D45">
            <v>0</v>
          </cell>
        </row>
        <row r="46">
          <cell r="A46" t="str">
            <v>ECF Parks</v>
          </cell>
        </row>
        <row r="54">
          <cell r="B54">
            <v>57475</v>
          </cell>
          <cell r="C54">
            <v>59369</v>
          </cell>
          <cell r="D54">
            <v>67615</v>
          </cell>
        </row>
        <row r="55">
          <cell r="A55" t="str">
            <v>Cemetery</v>
          </cell>
        </row>
        <row r="62">
          <cell r="B62">
            <v>16791</v>
          </cell>
          <cell r="C62">
            <v>18590</v>
          </cell>
          <cell r="D62">
            <v>21330</v>
          </cell>
        </row>
        <row r="63">
          <cell r="A63" t="str">
            <v>Central Inspection</v>
          </cell>
        </row>
        <row r="66">
          <cell r="B66">
            <v>16406</v>
          </cell>
          <cell r="C66">
            <v>400</v>
          </cell>
          <cell r="D66">
            <v>0</v>
          </cell>
        </row>
        <row r="67">
          <cell r="A67" t="str">
            <v>Clubhouse</v>
          </cell>
        </row>
        <row r="74">
          <cell r="B74">
            <v>74215</v>
          </cell>
          <cell r="C74">
            <v>78773</v>
          </cell>
          <cell r="D74">
            <v>91000</v>
          </cell>
        </row>
        <row r="76">
          <cell r="A76" t="str">
            <v>Industrial</v>
          </cell>
        </row>
        <row r="79">
          <cell r="B79">
            <v>15207</v>
          </cell>
          <cell r="C79">
            <v>16000</v>
          </cell>
          <cell r="D79">
            <v>16500</v>
          </cell>
        </row>
        <row r="81">
          <cell r="A81" t="str">
            <v>Employee Benefits</v>
          </cell>
        </row>
        <row r="83">
          <cell r="B83">
            <v>293112</v>
          </cell>
          <cell r="C83">
            <v>333263</v>
          </cell>
          <cell r="D83">
            <v>406700</v>
          </cell>
        </row>
        <row r="85">
          <cell r="A85" t="str">
            <v>Noxious Weed</v>
          </cell>
        </row>
        <row r="88">
          <cell r="B88">
            <v>558</v>
          </cell>
          <cell r="C88">
            <v>4915</v>
          </cell>
          <cell r="D88">
            <v>0</v>
          </cell>
        </row>
        <row r="91">
          <cell r="A91" t="str">
            <v>Airport</v>
          </cell>
        </row>
        <row r="96">
          <cell r="B96">
            <v>36671</v>
          </cell>
          <cell r="C96">
            <v>41736</v>
          </cell>
          <cell r="D96">
            <v>50676</v>
          </cell>
        </row>
        <row r="97">
          <cell r="A97" t="str">
            <v>Recreation/Community Development</v>
          </cell>
        </row>
        <row r="102">
          <cell r="B102">
            <v>68849</v>
          </cell>
          <cell r="C102">
            <v>75650</v>
          </cell>
          <cell r="D102">
            <v>176099</v>
          </cell>
        </row>
        <row r="104">
          <cell r="A104" t="str">
            <v>Golf Course</v>
          </cell>
        </row>
        <row r="111">
          <cell r="B111">
            <v>140031</v>
          </cell>
          <cell r="C111">
            <v>168394</v>
          </cell>
          <cell r="D111">
            <v>183160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0"/>
  <sheetViews>
    <sheetView zoomScale="80" zoomScaleNormal="80" zoomScalePageLayoutView="0" workbookViewId="0" topLeftCell="A1">
      <selection activeCell="A17" sqref="A17"/>
    </sheetView>
  </sheetViews>
  <sheetFormatPr defaultColWidth="8.796875" defaultRowHeight="15"/>
  <cols>
    <col min="1" max="1" width="75.796875" style="2" customWidth="1"/>
    <col min="2" max="16384" width="8.8984375" style="2" customWidth="1"/>
  </cols>
  <sheetData>
    <row r="1" ht="15.75">
      <c r="A1" s="1" t="s">
        <v>312</v>
      </c>
    </row>
    <row r="3" ht="39.75" customHeight="1">
      <c r="A3" s="3" t="s">
        <v>392</v>
      </c>
    </row>
    <row r="4" ht="15.75">
      <c r="A4" s="4"/>
    </row>
    <row r="5" ht="49.5" customHeight="1">
      <c r="A5" s="5" t="s">
        <v>12</v>
      </c>
    </row>
    <row r="6" ht="15.75">
      <c r="A6" s="5"/>
    </row>
    <row r="7" ht="66.75" customHeight="1">
      <c r="A7" s="5" t="s">
        <v>109</v>
      </c>
    </row>
    <row r="8" ht="15.75">
      <c r="A8" s="5"/>
    </row>
    <row r="9" ht="32.25" customHeight="1">
      <c r="A9" s="5" t="s">
        <v>393</v>
      </c>
    </row>
    <row r="11" ht="51" customHeight="1">
      <c r="A11" s="5" t="s">
        <v>111</v>
      </c>
    </row>
    <row r="13" ht="15.75">
      <c r="A13" s="1" t="s">
        <v>33</v>
      </c>
    </row>
    <row r="14" ht="15.75">
      <c r="A14" s="1"/>
    </row>
    <row r="15" ht="15.75">
      <c r="A15" s="4" t="s">
        <v>36</v>
      </c>
    </row>
    <row r="17" ht="37.5" customHeight="1">
      <c r="A17" s="6" t="s">
        <v>427</v>
      </c>
    </row>
    <row r="18" ht="9" customHeight="1">
      <c r="A18" s="6"/>
    </row>
    <row r="20" ht="15.75">
      <c r="A20" s="1" t="s">
        <v>122</v>
      </c>
    </row>
    <row r="22" ht="36" customHeight="1">
      <c r="A22" s="5" t="s">
        <v>394</v>
      </c>
    </row>
    <row r="23" ht="15.75">
      <c r="A23" s="5"/>
    </row>
    <row r="24" ht="15.75">
      <c r="A24" s="249" t="s">
        <v>395</v>
      </c>
    </row>
    <row r="25" ht="12" customHeight="1">
      <c r="A25" s="5"/>
    </row>
    <row r="26" ht="15.75">
      <c r="A26" s="107" t="s">
        <v>290</v>
      </c>
    </row>
    <row r="27" ht="15.75">
      <c r="A27" s="239"/>
    </row>
    <row r="28" ht="84.75" customHeight="1">
      <c r="A28" s="108" t="s">
        <v>2</v>
      </c>
    </row>
    <row r="29" ht="12.75" customHeight="1">
      <c r="A29" s="240"/>
    </row>
    <row r="30" ht="15.75">
      <c r="A30" s="241" t="s">
        <v>396</v>
      </c>
    </row>
    <row r="31" ht="15.75">
      <c r="A31" s="240"/>
    </row>
    <row r="32" ht="15.75">
      <c r="A32" s="351" t="s">
        <v>32</v>
      </c>
    </row>
    <row r="33" ht="15.75">
      <c r="A33" s="240"/>
    </row>
    <row r="34" ht="15.75">
      <c r="A34" s="5" t="s">
        <v>220</v>
      </c>
    </row>
    <row r="36" ht="15.75">
      <c r="A36" s="1" t="s">
        <v>221</v>
      </c>
    </row>
    <row r="38" ht="66.75" customHeight="1">
      <c r="A38" s="5" t="s">
        <v>35</v>
      </c>
    </row>
    <row r="39" ht="35.25" customHeight="1">
      <c r="A39" s="5" t="s">
        <v>313</v>
      </c>
    </row>
    <row r="40" ht="53.25" customHeight="1">
      <c r="A40" s="242" t="s">
        <v>397</v>
      </c>
    </row>
    <row r="42" ht="84" customHeight="1">
      <c r="A42" s="5" t="s">
        <v>19</v>
      </c>
    </row>
    <row r="43" ht="53.25" customHeight="1">
      <c r="A43" s="5" t="s">
        <v>398</v>
      </c>
    </row>
    <row r="44" ht="102" customHeight="1">
      <c r="A44" s="5" t="s">
        <v>113</v>
      </c>
    </row>
    <row r="45" ht="15.75" customHeight="1">
      <c r="A45" s="5"/>
    </row>
    <row r="46" ht="69.75" customHeight="1">
      <c r="A46" s="5" t="s">
        <v>399</v>
      </c>
    </row>
    <row r="47" ht="37.5" customHeight="1">
      <c r="A47" s="5" t="s">
        <v>400</v>
      </c>
    </row>
    <row r="48" ht="69" customHeight="1">
      <c r="A48" s="5" t="s">
        <v>411</v>
      </c>
    </row>
    <row r="50" ht="84.75" customHeight="1">
      <c r="A50" s="5" t="s">
        <v>108</v>
      </c>
    </row>
    <row r="51" ht="116.25" customHeight="1">
      <c r="A51" s="5" t="s">
        <v>107</v>
      </c>
    </row>
    <row r="52" ht="38.25" customHeight="1">
      <c r="A52" s="5" t="s">
        <v>105</v>
      </c>
    </row>
    <row r="53" ht="15.75">
      <c r="A53" s="5"/>
    </row>
    <row r="54" ht="68.25" customHeight="1">
      <c r="A54" s="5" t="s">
        <v>37</v>
      </c>
    </row>
    <row r="55" ht="15.75">
      <c r="A55" s="5"/>
    </row>
    <row r="56" ht="66.75" customHeight="1">
      <c r="A56" s="5" t="s">
        <v>416</v>
      </c>
    </row>
    <row r="57" ht="51" customHeight="1">
      <c r="A57" s="5" t="s">
        <v>38</v>
      </c>
    </row>
    <row r="59" s="5" customFormat="1" ht="66.75" customHeight="1">
      <c r="A59" s="5" t="s">
        <v>412</v>
      </c>
    </row>
    <row r="61" ht="67.5" customHeight="1">
      <c r="A61" s="5" t="s">
        <v>3</v>
      </c>
    </row>
    <row r="63" ht="95.25" customHeight="1">
      <c r="A63" s="5" t="s">
        <v>110</v>
      </c>
    </row>
    <row r="64" ht="135.75" customHeight="1">
      <c r="A64" s="5" t="s">
        <v>112</v>
      </c>
    </row>
    <row r="65" ht="73.5" customHeight="1">
      <c r="A65" s="5" t="s">
        <v>74</v>
      </c>
    </row>
    <row r="66" ht="114.75" customHeight="1">
      <c r="A66" s="5" t="s">
        <v>417</v>
      </c>
    </row>
    <row r="67" ht="135" customHeight="1">
      <c r="A67" s="5" t="s">
        <v>100</v>
      </c>
    </row>
    <row r="68" ht="57" customHeight="1">
      <c r="A68" s="5" t="s">
        <v>91</v>
      </c>
    </row>
    <row r="69" ht="136.5" customHeight="1">
      <c r="A69" s="5" t="s">
        <v>121</v>
      </c>
    </row>
    <row r="70" ht="45" customHeight="1">
      <c r="A70" s="5" t="s">
        <v>75</v>
      </c>
    </row>
    <row r="71" ht="86.25" customHeight="1">
      <c r="A71" s="5" t="s">
        <v>92</v>
      </c>
    </row>
    <row r="72" ht="31.5" customHeight="1">
      <c r="A72" s="5" t="s">
        <v>114</v>
      </c>
    </row>
    <row r="73" ht="164.25" customHeight="1">
      <c r="A73" s="394" t="s">
        <v>115</v>
      </c>
    </row>
    <row r="74" ht="117.75" customHeight="1">
      <c r="A74" s="394" t="s">
        <v>116</v>
      </c>
    </row>
    <row r="75" ht="69" customHeight="1">
      <c r="A75" s="5" t="s">
        <v>99</v>
      </c>
    </row>
    <row r="77" ht="152.25" customHeight="1">
      <c r="A77" s="5" t="s">
        <v>29</v>
      </c>
    </row>
    <row r="78" ht="125.25" customHeight="1">
      <c r="A78" s="5" t="s">
        <v>95</v>
      </c>
    </row>
    <row r="79" ht="57" customHeight="1">
      <c r="A79" s="5" t="s">
        <v>93</v>
      </c>
    </row>
    <row r="80" ht="15.75">
      <c r="A80" s="5" t="s">
        <v>94</v>
      </c>
    </row>
    <row r="82" ht="58.5" customHeight="1">
      <c r="A82" s="5" t="s">
        <v>30</v>
      </c>
    </row>
    <row r="83" ht="81.75" customHeight="1">
      <c r="A83" s="243" t="s">
        <v>41</v>
      </c>
    </row>
    <row r="84" ht="38.25" customHeight="1">
      <c r="A84" s="5" t="s">
        <v>42</v>
      </c>
    </row>
    <row r="85" ht="24.75" customHeight="1">
      <c r="A85" s="5" t="s">
        <v>43</v>
      </c>
    </row>
    <row r="86" ht="25.5" customHeight="1">
      <c r="A86" s="5" t="s">
        <v>44</v>
      </c>
    </row>
    <row r="87" ht="39" customHeight="1">
      <c r="A87" s="5" t="s">
        <v>45</v>
      </c>
    </row>
    <row r="88" ht="53.25" customHeight="1">
      <c r="A88" s="5" t="s">
        <v>46</v>
      </c>
    </row>
    <row r="90" ht="47.25">
      <c r="A90" s="5" t="s">
        <v>47</v>
      </c>
    </row>
  </sheetData>
  <sheetProtection sheet="1" objects="1" scenarios="1"/>
  <printOptions/>
  <pageMargins left="0.5" right="0.5" top="0.5" bottom="0.5" header="0.5" footer="0"/>
  <pageSetup blackAndWhite="1" fitToHeight="2" horizontalDpi="300" verticalDpi="300" orientation="portrait" scale="90" r:id="rId1"/>
  <headerFooter alignWithMargins="0">
    <oddFooter>&amp;Lrevised 2/23/09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05"/>
  <sheetViews>
    <sheetView zoomScaleSheetLayoutView="100" zoomScalePageLayoutView="0" workbookViewId="0" topLeftCell="A9">
      <selection activeCell="G91" sqref="G91"/>
    </sheetView>
  </sheetViews>
  <sheetFormatPr defaultColWidth="8.796875" defaultRowHeight="15"/>
  <cols>
    <col min="1" max="1" width="28.796875" style="7" customWidth="1"/>
    <col min="2" max="2" width="9.59765625" style="7" customWidth="1"/>
    <col min="3" max="3" width="10.3984375" style="7" customWidth="1"/>
    <col min="4" max="4" width="5.796875" style="7" customWidth="1"/>
    <col min="5" max="5" width="9.69921875" style="7" customWidth="1"/>
    <col min="6" max="6" width="6.69921875" style="7" customWidth="1"/>
    <col min="7" max="7" width="16.296875" style="7" customWidth="1"/>
    <col min="8" max="16384" width="8.8984375" style="7" customWidth="1"/>
  </cols>
  <sheetData>
    <row r="1" spans="1:7" ht="15.75">
      <c r="A1" s="72" t="str">
        <f>inputPrYr!D2</f>
        <v>City of Ellsworth</v>
      </c>
      <c r="B1" s="72"/>
      <c r="C1" s="21"/>
      <c r="D1" s="21"/>
      <c r="E1" s="21"/>
      <c r="F1" s="21"/>
      <c r="G1" s="138">
        <f>inputPrYr!C5</f>
        <v>2010</v>
      </c>
    </row>
    <row r="2" spans="1:7" ht="15.75">
      <c r="A2" s="21"/>
      <c r="B2" s="21"/>
      <c r="C2" s="21"/>
      <c r="D2" s="21"/>
      <c r="E2" s="21"/>
      <c r="F2" s="21"/>
      <c r="G2" s="24"/>
    </row>
    <row r="3" spans="1:7" ht="15.75">
      <c r="A3" s="90" t="s">
        <v>230</v>
      </c>
      <c r="B3" s="90"/>
      <c r="C3" s="21"/>
      <c r="D3" s="21"/>
      <c r="E3" s="21"/>
      <c r="F3" s="21"/>
      <c r="G3" s="23"/>
    </row>
    <row r="4" spans="1:7" ht="15.75">
      <c r="A4" s="21"/>
      <c r="B4" s="21"/>
      <c r="C4" s="91"/>
      <c r="D4" s="91"/>
      <c r="E4" s="91"/>
      <c r="F4" s="91"/>
      <c r="G4" s="91"/>
    </row>
    <row r="5" spans="1:7" ht="15.75">
      <c r="A5" s="92" t="s">
        <v>156</v>
      </c>
      <c r="B5" s="92"/>
      <c r="C5" s="492" t="s">
        <v>178</v>
      </c>
      <c r="D5" s="493"/>
      <c r="E5" s="488" t="s">
        <v>314</v>
      </c>
      <c r="F5" s="489"/>
      <c r="G5" s="33" t="s">
        <v>315</v>
      </c>
    </row>
    <row r="6" spans="1:7" ht="15.75">
      <c r="A6" s="137" t="str">
        <f>inputPrYr!B16</f>
        <v>General</v>
      </c>
      <c r="B6" s="137"/>
      <c r="C6" s="490">
        <f>G1-2</f>
        <v>2008</v>
      </c>
      <c r="D6" s="491"/>
      <c r="E6" s="490">
        <f>G1-1</f>
        <v>2009</v>
      </c>
      <c r="F6" s="491"/>
      <c r="G6" s="144">
        <f>G1</f>
        <v>2010</v>
      </c>
    </row>
    <row r="7" spans="1:7" ht="15.75">
      <c r="A7" s="303" t="s">
        <v>287</v>
      </c>
      <c r="B7" s="309"/>
      <c r="C7" s="494">
        <v>248392</v>
      </c>
      <c r="D7" s="495"/>
      <c r="E7" s="468">
        <f>C93</f>
        <v>355778</v>
      </c>
      <c r="F7" s="469"/>
      <c r="G7" s="85">
        <f>E93</f>
        <v>396846</v>
      </c>
    </row>
    <row r="8" spans="1:7" ht="15.75">
      <c r="A8" s="308" t="s">
        <v>289</v>
      </c>
      <c r="B8" s="309"/>
      <c r="C8" s="464"/>
      <c r="D8" s="465"/>
      <c r="E8" s="464"/>
      <c r="F8" s="465"/>
      <c r="G8" s="40"/>
    </row>
    <row r="9" spans="1:7" ht="15.75">
      <c r="A9" s="303" t="s">
        <v>157</v>
      </c>
      <c r="B9" s="309"/>
      <c r="C9" s="460">
        <v>560388</v>
      </c>
      <c r="D9" s="461"/>
      <c r="E9" s="464">
        <v>625000</v>
      </c>
      <c r="F9" s="465"/>
      <c r="G9" s="45" t="s">
        <v>145</v>
      </c>
    </row>
    <row r="10" spans="1:7" ht="15.75">
      <c r="A10" s="303" t="s">
        <v>158</v>
      </c>
      <c r="B10" s="309"/>
      <c r="C10" s="460">
        <v>3818</v>
      </c>
      <c r="D10" s="461"/>
      <c r="E10" s="460">
        <v>3526</v>
      </c>
      <c r="F10" s="461"/>
      <c r="G10" s="13">
        <v>3500</v>
      </c>
    </row>
    <row r="11" spans="1:7" ht="15.75">
      <c r="A11" s="303" t="s">
        <v>159</v>
      </c>
      <c r="B11" s="309"/>
      <c r="C11" s="460">
        <v>83284</v>
      </c>
      <c r="D11" s="461"/>
      <c r="E11" s="460">
        <v>99572</v>
      </c>
      <c r="F11" s="461"/>
      <c r="G11" s="40">
        <v>102000</v>
      </c>
    </row>
    <row r="12" spans="1:7" ht="15.75">
      <c r="A12" s="303" t="s">
        <v>160</v>
      </c>
      <c r="B12" s="309"/>
      <c r="C12" s="460">
        <v>1420</v>
      </c>
      <c r="D12" s="461"/>
      <c r="E12" s="460">
        <v>1666</v>
      </c>
      <c r="F12" s="461"/>
      <c r="G12" s="40">
        <v>1800</v>
      </c>
    </row>
    <row r="13" spans="1:7" ht="15.75">
      <c r="A13" s="303" t="s">
        <v>264</v>
      </c>
      <c r="B13" s="309"/>
      <c r="C13" s="460">
        <v>449</v>
      </c>
      <c r="D13" s="461"/>
      <c r="E13" s="460">
        <v>836</v>
      </c>
      <c r="F13" s="461"/>
      <c r="G13" s="40">
        <v>900</v>
      </c>
    </row>
    <row r="14" spans="1:7" ht="15.75">
      <c r="A14" s="303" t="s">
        <v>265</v>
      </c>
      <c r="B14" s="309"/>
      <c r="C14" s="460">
        <v>0</v>
      </c>
      <c r="D14" s="461"/>
      <c r="E14" s="460">
        <v>0</v>
      </c>
      <c r="F14" s="461"/>
      <c r="G14" s="40">
        <f>inputOth!E15</f>
        <v>0</v>
      </c>
    </row>
    <row r="15" spans="1:7" ht="15.75">
      <c r="A15" s="303" t="s">
        <v>331</v>
      </c>
      <c r="B15" s="309"/>
      <c r="C15" s="460">
        <v>168</v>
      </c>
      <c r="D15" s="461"/>
      <c r="E15" s="460">
        <v>200</v>
      </c>
      <c r="F15" s="461"/>
      <c r="G15" s="40">
        <v>200</v>
      </c>
    </row>
    <row r="16" spans="1:7" ht="15.75">
      <c r="A16" s="303" t="s">
        <v>332</v>
      </c>
      <c r="B16" s="309"/>
      <c r="C16" s="460">
        <v>0</v>
      </c>
      <c r="D16" s="461"/>
      <c r="E16" s="460">
        <v>0</v>
      </c>
      <c r="F16" s="461"/>
      <c r="G16" s="40">
        <f>inputOth!E41</f>
        <v>0</v>
      </c>
    </row>
    <row r="17" spans="1:7" ht="15.75">
      <c r="A17" s="313" t="s">
        <v>333</v>
      </c>
      <c r="B17" s="309"/>
      <c r="C17" s="460">
        <v>0</v>
      </c>
      <c r="D17" s="461"/>
      <c r="E17" s="460">
        <v>0</v>
      </c>
      <c r="F17" s="461"/>
      <c r="G17" s="40">
        <f>mvalloc!F7</f>
        <v>0</v>
      </c>
    </row>
    <row r="18" spans="1:7" ht="15.75">
      <c r="A18" s="318" t="s">
        <v>161</v>
      </c>
      <c r="B18" s="310"/>
      <c r="C18" s="460">
        <v>3645</v>
      </c>
      <c r="D18" s="461"/>
      <c r="E18" s="460">
        <v>3500</v>
      </c>
      <c r="F18" s="461"/>
      <c r="G18" s="13">
        <v>3500</v>
      </c>
    </row>
    <row r="19" spans="1:7" ht="15.75">
      <c r="A19" s="318" t="s">
        <v>460</v>
      </c>
      <c r="B19" s="310"/>
      <c r="C19" s="466">
        <v>6244</v>
      </c>
      <c r="D19" s="467"/>
      <c r="E19" s="466">
        <v>6200</v>
      </c>
      <c r="F19" s="467"/>
      <c r="G19" s="13">
        <v>6200</v>
      </c>
    </row>
    <row r="20" spans="1:7" ht="15.75">
      <c r="A20" s="318" t="s">
        <v>461</v>
      </c>
      <c r="B20" s="310"/>
      <c r="C20" s="466">
        <v>156401</v>
      </c>
      <c r="D20" s="467"/>
      <c r="E20" s="466">
        <v>130000</v>
      </c>
      <c r="F20" s="467"/>
      <c r="G20" s="13">
        <v>130000</v>
      </c>
    </row>
    <row r="21" spans="1:7" ht="15.75">
      <c r="A21" s="318" t="s">
        <v>462</v>
      </c>
      <c r="B21" s="310"/>
      <c r="C21" s="466">
        <v>86176</v>
      </c>
      <c r="D21" s="467"/>
      <c r="E21" s="466">
        <v>85000</v>
      </c>
      <c r="F21" s="467"/>
      <c r="G21" s="13">
        <v>85000</v>
      </c>
    </row>
    <row r="22" spans="1:7" ht="15.75">
      <c r="A22" s="318" t="s">
        <v>463</v>
      </c>
      <c r="B22" s="310"/>
      <c r="C22" s="466">
        <v>22432</v>
      </c>
      <c r="D22" s="467"/>
      <c r="E22" s="466">
        <v>22500</v>
      </c>
      <c r="F22" s="467"/>
      <c r="G22" s="13">
        <v>22500</v>
      </c>
    </row>
    <row r="23" spans="1:7" ht="15.75">
      <c r="A23" s="318" t="s">
        <v>464</v>
      </c>
      <c r="B23" s="310"/>
      <c r="C23" s="466">
        <v>25103</v>
      </c>
      <c r="D23" s="467"/>
      <c r="E23" s="466">
        <v>26000</v>
      </c>
      <c r="F23" s="467"/>
      <c r="G23" s="13">
        <v>26500</v>
      </c>
    </row>
    <row r="24" spans="1:7" ht="15.75">
      <c r="A24" s="318" t="s">
        <v>465</v>
      </c>
      <c r="B24" s="310"/>
      <c r="C24" s="466">
        <v>23292</v>
      </c>
      <c r="D24" s="467"/>
      <c r="E24" s="466">
        <v>16000</v>
      </c>
      <c r="F24" s="467"/>
      <c r="G24" s="13">
        <v>14000</v>
      </c>
    </row>
    <row r="25" spans="1:7" ht="15.75">
      <c r="A25" s="318" t="s">
        <v>466</v>
      </c>
      <c r="B25" s="310"/>
      <c r="C25" s="466">
        <v>2890</v>
      </c>
      <c r="D25" s="467"/>
      <c r="E25" s="466">
        <v>2388</v>
      </c>
      <c r="F25" s="467"/>
      <c r="G25" s="13">
        <v>2500</v>
      </c>
    </row>
    <row r="26" spans="1:7" ht="15.75">
      <c r="A26" s="318" t="s">
        <v>467</v>
      </c>
      <c r="B26" s="310"/>
      <c r="C26" s="466">
        <v>7100</v>
      </c>
      <c r="D26" s="467"/>
      <c r="E26" s="466">
        <v>6500</v>
      </c>
      <c r="F26" s="467"/>
      <c r="G26" s="13">
        <v>7000</v>
      </c>
    </row>
    <row r="27" spans="1:7" ht="15.75">
      <c r="A27" s="318" t="s">
        <v>468</v>
      </c>
      <c r="B27" s="310"/>
      <c r="C27" s="466">
        <v>2100</v>
      </c>
      <c r="D27" s="467"/>
      <c r="E27" s="466">
        <v>2500</v>
      </c>
      <c r="F27" s="467"/>
      <c r="G27" s="13">
        <v>3000</v>
      </c>
    </row>
    <row r="28" spans="1:7" ht="15.75">
      <c r="A28" s="318" t="s">
        <v>469</v>
      </c>
      <c r="B28" s="310"/>
      <c r="C28" s="466">
        <v>4127</v>
      </c>
      <c r="D28" s="467"/>
      <c r="E28" s="466">
        <v>4000</v>
      </c>
      <c r="F28" s="467"/>
      <c r="G28" s="13">
        <v>4500</v>
      </c>
    </row>
    <row r="29" spans="1:7" ht="15.75">
      <c r="A29" s="318" t="s">
        <v>470</v>
      </c>
      <c r="B29" s="310"/>
      <c r="C29" s="466">
        <v>630</v>
      </c>
      <c r="D29" s="467"/>
      <c r="E29" s="466">
        <v>630</v>
      </c>
      <c r="F29" s="467"/>
      <c r="G29" s="13">
        <v>630</v>
      </c>
    </row>
    <row r="30" spans="1:7" ht="15.75">
      <c r="A30" s="318" t="s">
        <v>471</v>
      </c>
      <c r="B30" s="310"/>
      <c r="C30" s="466">
        <v>6093</v>
      </c>
      <c r="D30" s="467"/>
      <c r="E30" s="466">
        <v>6250</v>
      </c>
      <c r="F30" s="467"/>
      <c r="G30" s="13">
        <v>6250</v>
      </c>
    </row>
    <row r="31" spans="1:7" ht="15.75">
      <c r="A31" s="318" t="s">
        <v>472</v>
      </c>
      <c r="B31" s="310"/>
      <c r="C31" s="466">
        <v>480</v>
      </c>
      <c r="D31" s="467"/>
      <c r="E31" s="466">
        <v>550</v>
      </c>
      <c r="F31" s="467"/>
      <c r="G31" s="13">
        <v>500</v>
      </c>
    </row>
    <row r="32" spans="1:7" ht="15.75">
      <c r="A32" s="318" t="s">
        <v>473</v>
      </c>
      <c r="B32" s="310"/>
      <c r="C32" s="466">
        <v>15985</v>
      </c>
      <c r="D32" s="467"/>
      <c r="E32" s="466">
        <v>16000</v>
      </c>
      <c r="F32" s="467"/>
      <c r="G32" s="13">
        <v>16000</v>
      </c>
    </row>
    <row r="33" spans="1:7" ht="15.75">
      <c r="A33" s="318" t="s">
        <v>474</v>
      </c>
      <c r="B33" s="310"/>
      <c r="C33" s="466">
        <v>350471</v>
      </c>
      <c r="D33" s="467"/>
      <c r="E33" s="466">
        <v>360000</v>
      </c>
      <c r="F33" s="467"/>
      <c r="G33" s="13">
        <v>357730</v>
      </c>
    </row>
    <row r="34" spans="1:7" ht="15.75">
      <c r="A34" s="318" t="s">
        <v>475</v>
      </c>
      <c r="B34" s="310"/>
      <c r="C34" s="466">
        <v>99180</v>
      </c>
      <c r="D34" s="467"/>
      <c r="E34" s="466">
        <v>100000</v>
      </c>
      <c r="F34" s="467"/>
      <c r="G34" s="13">
        <v>97000</v>
      </c>
    </row>
    <row r="35" spans="1:7" ht="15.75">
      <c r="A35" s="318" t="s">
        <v>476</v>
      </c>
      <c r="B35" s="310"/>
      <c r="C35" s="466">
        <v>145</v>
      </c>
      <c r="D35" s="467"/>
      <c r="E35" s="466">
        <v>0</v>
      </c>
      <c r="F35" s="467"/>
      <c r="G35" s="13">
        <v>0</v>
      </c>
    </row>
    <row r="36" spans="1:7" ht="15.75">
      <c r="A36" s="318" t="s">
        <v>477</v>
      </c>
      <c r="B36" s="310"/>
      <c r="C36" s="460">
        <v>25172</v>
      </c>
      <c r="D36" s="461"/>
      <c r="E36" s="460">
        <v>28000</v>
      </c>
      <c r="F36" s="461"/>
      <c r="G36" s="13">
        <v>28000</v>
      </c>
    </row>
    <row r="37" spans="1:7" ht="15.75">
      <c r="A37" s="318" t="s">
        <v>478</v>
      </c>
      <c r="B37" s="310"/>
      <c r="C37" s="460">
        <v>1304</v>
      </c>
      <c r="D37" s="461"/>
      <c r="E37" s="460">
        <v>1400</v>
      </c>
      <c r="F37" s="461"/>
      <c r="G37" s="13">
        <v>1500</v>
      </c>
    </row>
    <row r="38" spans="1:7" ht="15.75">
      <c r="A38" s="318" t="s">
        <v>479</v>
      </c>
      <c r="B38" s="310"/>
      <c r="C38" s="460">
        <v>77855</v>
      </c>
      <c r="D38" s="461"/>
      <c r="E38" s="460">
        <v>15000</v>
      </c>
      <c r="F38" s="461"/>
      <c r="G38" s="13">
        <v>17500</v>
      </c>
    </row>
    <row r="39" spans="1:7" ht="15.75">
      <c r="A39" s="318" t="s">
        <v>480</v>
      </c>
      <c r="B39" s="310"/>
      <c r="C39" s="460">
        <v>22498</v>
      </c>
      <c r="D39" s="461"/>
      <c r="E39" s="460">
        <v>22500</v>
      </c>
      <c r="F39" s="461"/>
      <c r="G39" s="13">
        <v>22500</v>
      </c>
    </row>
    <row r="40" spans="1:7" ht="15.75">
      <c r="A40" s="318" t="s">
        <v>481</v>
      </c>
      <c r="B40" s="310"/>
      <c r="C40" s="460">
        <v>63654</v>
      </c>
      <c r="D40" s="461"/>
      <c r="E40" s="460">
        <v>72500</v>
      </c>
      <c r="F40" s="461"/>
      <c r="G40" s="13">
        <v>36000</v>
      </c>
    </row>
    <row r="41" spans="1:7" ht="15.75">
      <c r="A41" s="318" t="s">
        <v>482</v>
      </c>
      <c r="B41" s="310"/>
      <c r="C41" s="460">
        <v>9037</v>
      </c>
      <c r="D41" s="461"/>
      <c r="E41" s="460">
        <v>9500</v>
      </c>
      <c r="F41" s="461"/>
      <c r="G41" s="13">
        <v>9500</v>
      </c>
    </row>
    <row r="42" spans="1:7" ht="15.75">
      <c r="A42" s="318" t="s">
        <v>483</v>
      </c>
      <c r="B42" s="310"/>
      <c r="C42" s="460">
        <v>27934</v>
      </c>
      <c r="D42" s="461"/>
      <c r="E42" s="460">
        <v>29000</v>
      </c>
      <c r="F42" s="461"/>
      <c r="G42" s="13">
        <v>30000</v>
      </c>
    </row>
    <row r="43" spans="1:7" ht="15.75">
      <c r="A43" s="318" t="s">
        <v>484</v>
      </c>
      <c r="B43" s="310"/>
      <c r="C43" s="460">
        <v>50500</v>
      </c>
      <c r="D43" s="461"/>
      <c r="E43" s="460">
        <v>51600</v>
      </c>
      <c r="F43" s="461"/>
      <c r="G43" s="13">
        <v>59000</v>
      </c>
    </row>
    <row r="44" spans="1:7" ht="15.75">
      <c r="A44" s="318" t="s">
        <v>485</v>
      </c>
      <c r="B44" s="310"/>
      <c r="C44" s="460">
        <v>1453</v>
      </c>
      <c r="D44" s="461"/>
      <c r="E44" s="460">
        <v>1750</v>
      </c>
      <c r="F44" s="461"/>
      <c r="G44" s="13">
        <v>2000</v>
      </c>
    </row>
    <row r="45" spans="1:7" ht="15.75">
      <c r="A45" s="318" t="s">
        <v>486</v>
      </c>
      <c r="B45" s="310"/>
      <c r="C45" s="460">
        <v>21907</v>
      </c>
      <c r="D45" s="461"/>
      <c r="E45" s="460">
        <v>22500</v>
      </c>
      <c r="F45" s="461"/>
      <c r="G45" s="13">
        <v>23000</v>
      </c>
    </row>
    <row r="46" spans="1:7" ht="15.75">
      <c r="A46" s="318" t="s">
        <v>487</v>
      </c>
      <c r="B46" s="310"/>
      <c r="C46" s="460">
        <v>10170</v>
      </c>
      <c r="D46" s="461"/>
      <c r="E46" s="460">
        <v>12000</v>
      </c>
      <c r="F46" s="461"/>
      <c r="G46" s="13">
        <v>12500</v>
      </c>
    </row>
    <row r="47" spans="1:7" ht="15.75">
      <c r="A47" s="318" t="s">
        <v>488</v>
      </c>
      <c r="B47" s="310"/>
      <c r="C47" s="460">
        <v>5650</v>
      </c>
      <c r="D47" s="461"/>
      <c r="E47" s="460">
        <v>5000</v>
      </c>
      <c r="F47" s="461"/>
      <c r="G47" s="13">
        <v>6000</v>
      </c>
    </row>
    <row r="48" spans="1:7" ht="15.75">
      <c r="A48" s="318" t="s">
        <v>489</v>
      </c>
      <c r="B48" s="310"/>
      <c r="C48" s="460">
        <v>4131</v>
      </c>
      <c r="D48" s="461"/>
      <c r="E48" s="460">
        <v>4000</v>
      </c>
      <c r="F48" s="461"/>
      <c r="G48" s="13">
        <v>4250</v>
      </c>
    </row>
    <row r="49" spans="1:7" ht="15.75">
      <c r="A49" s="318" t="s">
        <v>490</v>
      </c>
      <c r="B49" s="310"/>
      <c r="C49" s="460">
        <v>1650</v>
      </c>
      <c r="D49" s="461"/>
      <c r="E49" s="460">
        <v>2000</v>
      </c>
      <c r="F49" s="461"/>
      <c r="G49" s="13">
        <v>2250</v>
      </c>
    </row>
    <row r="50" spans="1:7" ht="15.75">
      <c r="A50" s="318" t="s">
        <v>491</v>
      </c>
      <c r="B50" s="310"/>
      <c r="C50" s="460">
        <v>26</v>
      </c>
      <c r="D50" s="461"/>
      <c r="E50" s="460">
        <v>50</v>
      </c>
      <c r="F50" s="461"/>
      <c r="G50" s="13">
        <v>50</v>
      </c>
    </row>
    <row r="51" spans="1:7" ht="15.75">
      <c r="A51" s="318" t="s">
        <v>492</v>
      </c>
      <c r="B51" s="310"/>
      <c r="C51" s="460">
        <v>2115</v>
      </c>
      <c r="D51" s="461"/>
      <c r="E51" s="460">
        <v>3000</v>
      </c>
      <c r="F51" s="461"/>
      <c r="G51" s="13">
        <v>3250</v>
      </c>
    </row>
    <row r="52" spans="1:7" ht="15.75">
      <c r="A52" s="318" t="s">
        <v>493</v>
      </c>
      <c r="B52" s="310"/>
      <c r="C52" s="460">
        <v>7377</v>
      </c>
      <c r="D52" s="461"/>
      <c r="E52" s="460">
        <v>8000</v>
      </c>
      <c r="F52" s="461"/>
      <c r="G52" s="13">
        <v>8500</v>
      </c>
    </row>
    <row r="53" spans="1:7" ht="15.75">
      <c r="A53" s="304" t="s">
        <v>162</v>
      </c>
      <c r="B53" s="310"/>
      <c r="C53" s="460">
        <v>7795</v>
      </c>
      <c r="D53" s="461"/>
      <c r="E53" s="460">
        <v>3500</v>
      </c>
      <c r="F53" s="461"/>
      <c r="G53" s="13">
        <v>3750</v>
      </c>
    </row>
    <row r="54" spans="1:7" ht="15.75">
      <c r="A54" s="313" t="s">
        <v>26</v>
      </c>
      <c r="B54" s="309"/>
      <c r="C54" s="460">
        <v>5917</v>
      </c>
      <c r="D54" s="461"/>
      <c r="E54" s="460">
        <v>700</v>
      </c>
      <c r="F54" s="461"/>
      <c r="G54" s="296">
        <v>700</v>
      </c>
    </row>
    <row r="55" spans="1:7" ht="15.75">
      <c r="A55" s="303" t="s">
        <v>28</v>
      </c>
      <c r="B55" s="309"/>
      <c r="C55" s="480">
        <f>IF(C56*0.1&lt;C54,"Exceed 10% Rule","")</f>
      </c>
      <c r="D55" s="481"/>
      <c r="E55" s="480">
        <f>IF(E56*0.1&lt;E54,"Exceed 10% Rule","")</f>
      </c>
      <c r="F55" s="481"/>
      <c r="G55" s="345">
        <f>IF(G56*0.1+G98&lt;G54,"Exceed 10% Rule","")</f>
      </c>
    </row>
    <row r="56" spans="1:7" ht="15.75">
      <c r="A56" s="150" t="s">
        <v>163</v>
      </c>
      <c r="B56" s="309"/>
      <c r="C56" s="482">
        <f>SUM(C9:C54)</f>
        <v>1808166</v>
      </c>
      <c r="D56" s="483"/>
      <c r="E56" s="482">
        <f>SUM(E9:E54)</f>
        <v>1810818</v>
      </c>
      <c r="F56" s="483"/>
      <c r="G56" s="257">
        <f>SUM(G10:G54)</f>
        <v>1161460</v>
      </c>
    </row>
    <row r="57" spans="1:7" ht="15.75">
      <c r="A57" s="150" t="s">
        <v>164</v>
      </c>
      <c r="B57" s="309"/>
      <c r="C57" s="486">
        <f>C7+C56</f>
        <v>2056558</v>
      </c>
      <c r="D57" s="487"/>
      <c r="E57" s="486">
        <f>E7+E56</f>
        <v>2166596</v>
      </c>
      <c r="F57" s="487"/>
      <c r="G57" s="260">
        <f>G7+G56</f>
        <v>1558306</v>
      </c>
    </row>
    <row r="58" spans="1:7" ht="15.75">
      <c r="A58" s="21"/>
      <c r="B58" s="21"/>
      <c r="C58" s="21"/>
      <c r="D58" s="21"/>
      <c r="E58" s="21"/>
      <c r="F58" s="21"/>
      <c r="G58" s="21"/>
    </row>
    <row r="59" spans="1:7" ht="15.75">
      <c r="A59" s="442" t="s">
        <v>297</v>
      </c>
      <c r="B59" s="442"/>
      <c r="C59" s="442"/>
      <c r="D59" s="442"/>
      <c r="E59" s="442"/>
      <c r="F59" s="442"/>
      <c r="G59" s="442"/>
    </row>
    <row r="60" spans="1:7" ht="15.75">
      <c r="A60" s="132"/>
      <c r="B60" s="132"/>
      <c r="C60" s="132"/>
      <c r="D60" s="132"/>
      <c r="E60" s="132"/>
      <c r="F60" s="132"/>
      <c r="G60" s="132"/>
    </row>
    <row r="61" spans="1:7" ht="15.75">
      <c r="A61" s="72" t="str">
        <f>inputPrYr!D2</f>
        <v>City of Ellsworth</v>
      </c>
      <c r="B61" s="72"/>
      <c r="C61" s="21"/>
      <c r="D61" s="21"/>
      <c r="E61" s="21"/>
      <c r="F61" s="21"/>
      <c r="G61" s="24"/>
    </row>
    <row r="62" spans="1:7" ht="15.75">
      <c r="A62" s="21"/>
      <c r="B62" s="21"/>
      <c r="C62" s="21"/>
      <c r="D62" s="21"/>
      <c r="E62" s="21"/>
      <c r="F62" s="21"/>
      <c r="G62" s="23"/>
    </row>
    <row r="63" spans="1:7" ht="15.75">
      <c r="A63" s="89" t="s">
        <v>230</v>
      </c>
      <c r="B63" s="89"/>
      <c r="C63" s="87"/>
      <c r="D63" s="87"/>
      <c r="E63" s="87"/>
      <c r="F63" s="87"/>
      <c r="G63" s="87"/>
    </row>
    <row r="64" spans="1:7" ht="15.75">
      <c r="A64" s="21" t="s">
        <v>156</v>
      </c>
      <c r="B64" s="21"/>
      <c r="C64" s="492" t="s">
        <v>178</v>
      </c>
      <c r="D64" s="493"/>
      <c r="E64" s="488" t="s">
        <v>314</v>
      </c>
      <c r="F64" s="489"/>
      <c r="G64" s="33" t="s">
        <v>315</v>
      </c>
    </row>
    <row r="65" spans="1:7" ht="15.75">
      <c r="A65" s="137" t="str">
        <f>inputPrYr!B16</f>
        <v>General</v>
      </c>
      <c r="B65" s="137"/>
      <c r="C65" s="490">
        <f>C6</f>
        <v>2008</v>
      </c>
      <c r="D65" s="491"/>
      <c r="E65" s="490">
        <f>E6</f>
        <v>2009</v>
      </c>
      <c r="F65" s="491"/>
      <c r="G65" s="144">
        <f>G6</f>
        <v>2010</v>
      </c>
    </row>
    <row r="66" spans="1:7" ht="15.75">
      <c r="A66" s="319" t="s">
        <v>164</v>
      </c>
      <c r="B66" s="320"/>
      <c r="C66" s="468">
        <f>C57</f>
        <v>2056558</v>
      </c>
      <c r="D66" s="469"/>
      <c r="E66" s="468">
        <f>E57</f>
        <v>2166596</v>
      </c>
      <c r="F66" s="469"/>
      <c r="G66" s="85">
        <f>G57</f>
        <v>1558306</v>
      </c>
    </row>
    <row r="67" spans="1:7" ht="15.75">
      <c r="A67" s="308" t="s">
        <v>166</v>
      </c>
      <c r="B67" s="320"/>
      <c r="C67" s="464"/>
      <c r="D67" s="465"/>
      <c r="E67" s="464"/>
      <c r="F67" s="465"/>
      <c r="G67" s="40"/>
    </row>
    <row r="68" spans="1:8" ht="15.75">
      <c r="A68" s="403" t="str">
        <f>'[1]GenDetail'!A7</f>
        <v>General Government</v>
      </c>
      <c r="B68" s="404"/>
      <c r="C68" s="462">
        <f>'[1]GenDetail'!B15-3672</f>
        <v>302141</v>
      </c>
      <c r="D68" s="463"/>
      <c r="E68" s="462">
        <f>'[1]GenDetail'!C15</f>
        <v>283005</v>
      </c>
      <c r="F68" s="463"/>
      <c r="G68" s="405">
        <f>'[1]GenDetail'!D15-12550</f>
        <v>299015</v>
      </c>
      <c r="H68" s="386"/>
    </row>
    <row r="69" spans="1:8" ht="15.75">
      <c r="A69" s="403" t="str">
        <f>'[1]GenDetail'!A16</f>
        <v>Police</v>
      </c>
      <c r="B69" s="404"/>
      <c r="C69" s="462">
        <f>'[1]GenDetail'!B24-3065</f>
        <v>277014</v>
      </c>
      <c r="D69" s="463"/>
      <c r="E69" s="462">
        <f>'[1]GenDetail'!C24-2500</f>
        <v>295715</v>
      </c>
      <c r="F69" s="463"/>
      <c r="G69" s="405">
        <f>'[1]GenDetail'!D24-11000</f>
        <v>321335</v>
      </c>
      <c r="H69" s="386"/>
    </row>
    <row r="70" spans="1:8" ht="15.75">
      <c r="A70" s="403" t="str">
        <f>'[1]GenDetail'!A25</f>
        <v>Fire</v>
      </c>
      <c r="B70" s="404"/>
      <c r="C70" s="462">
        <f>'[1]GenDetail'!B34</f>
        <v>56189</v>
      </c>
      <c r="D70" s="463"/>
      <c r="E70" s="462">
        <f>'[1]GenDetail'!C34</f>
        <v>57965</v>
      </c>
      <c r="F70" s="463"/>
      <c r="G70" s="405">
        <f>'[1]GenDetail'!D34-2500</f>
        <v>73450</v>
      </c>
      <c r="H70" s="386"/>
    </row>
    <row r="71" spans="1:8" ht="15.75">
      <c r="A71" s="403" t="str">
        <f>'[1]GenDetail'!A35</f>
        <v>Street</v>
      </c>
      <c r="B71" s="404"/>
      <c r="C71" s="462">
        <f>'[1]GenDetail'!B42</f>
        <v>303258</v>
      </c>
      <c r="D71" s="463"/>
      <c r="E71" s="462">
        <f>'[1]GenDetail'!C42</f>
        <v>295475</v>
      </c>
      <c r="F71" s="463"/>
      <c r="G71" s="405">
        <f>'[1]GenDetail'!D42-10000</f>
        <v>356275</v>
      </c>
      <c r="H71" s="386"/>
    </row>
    <row r="72" spans="1:8" ht="15.75">
      <c r="A72" s="403" t="str">
        <f>'[1]GenDetail'!A43</f>
        <v>Street Lighting</v>
      </c>
      <c r="B72" s="404"/>
      <c r="C72" s="462">
        <f>'[1]GenDetail'!B45</f>
        <v>36126</v>
      </c>
      <c r="D72" s="463"/>
      <c r="E72" s="462">
        <f>'[1]GenDetail'!C45</f>
        <v>38000</v>
      </c>
      <c r="F72" s="463"/>
      <c r="G72" s="405">
        <f>'[1]GenDetail'!D45</f>
        <v>0</v>
      </c>
      <c r="H72" s="386"/>
    </row>
    <row r="73" spans="1:8" ht="15.75">
      <c r="A73" s="403" t="str">
        <f>'[1]GenDetail'!A46</f>
        <v>ECF Parks</v>
      </c>
      <c r="B73" s="404"/>
      <c r="C73" s="462">
        <f>'[1]GenDetail'!B54</f>
        <v>57475</v>
      </c>
      <c r="D73" s="463"/>
      <c r="E73" s="462">
        <f>'[1]GenDetail'!C54</f>
        <v>59369</v>
      </c>
      <c r="F73" s="463"/>
      <c r="G73" s="405">
        <f>'[1]GenDetail'!D54-3000</f>
        <v>64615</v>
      </c>
      <c r="H73" s="386"/>
    </row>
    <row r="74" spans="1:8" ht="15.75">
      <c r="A74" s="403" t="str">
        <f>'[1]GenDetail'!A55</f>
        <v>Cemetery</v>
      </c>
      <c r="B74" s="404"/>
      <c r="C74" s="462">
        <f>'[1]GenDetail'!B62</f>
        <v>16791</v>
      </c>
      <c r="D74" s="463"/>
      <c r="E74" s="462">
        <f>'[1]GenDetail'!C62</f>
        <v>18590</v>
      </c>
      <c r="F74" s="463"/>
      <c r="G74" s="405">
        <f>'[1]GenDetail'!D62-750</f>
        <v>20580</v>
      </c>
      <c r="H74" s="386"/>
    </row>
    <row r="75" spans="1:8" ht="15.75">
      <c r="A75" s="403" t="str">
        <f>'[1]GenDetail'!A63</f>
        <v>Central Inspection</v>
      </c>
      <c r="B75" s="404"/>
      <c r="C75" s="462">
        <f>'[1]GenDetail'!B66</f>
        <v>16406</v>
      </c>
      <c r="D75" s="463"/>
      <c r="E75" s="462">
        <f>'[1]GenDetail'!C66</f>
        <v>400</v>
      </c>
      <c r="F75" s="463"/>
      <c r="G75" s="405">
        <f>'[1]GenDetail'!D66</f>
        <v>0</v>
      </c>
      <c r="H75" s="386"/>
    </row>
    <row r="76" spans="1:8" ht="15.75">
      <c r="A76" s="403" t="str">
        <f>'[1]GenDetail'!A67</f>
        <v>Clubhouse</v>
      </c>
      <c r="B76" s="404"/>
      <c r="C76" s="462">
        <f>'[1]GenDetail'!B74-1750</f>
        <v>72465</v>
      </c>
      <c r="D76" s="463"/>
      <c r="E76" s="462">
        <f>'[1]GenDetail'!C74-1600</f>
        <v>77173</v>
      </c>
      <c r="F76" s="463"/>
      <c r="G76" s="405">
        <f>'[1]GenDetail'!D74-3800</f>
        <v>87200</v>
      </c>
      <c r="H76" s="386"/>
    </row>
    <row r="77" spans="1:8" ht="15.75">
      <c r="A77" s="403" t="str">
        <f>'[1]GenDetail'!A76</f>
        <v>Industrial</v>
      </c>
      <c r="B77" s="404"/>
      <c r="C77" s="462">
        <f>'[1]GenDetail'!B79</f>
        <v>15207</v>
      </c>
      <c r="D77" s="463"/>
      <c r="E77" s="462">
        <f>'[1]GenDetail'!C79</f>
        <v>16000</v>
      </c>
      <c r="F77" s="463"/>
      <c r="G77" s="405">
        <f>'[1]GenDetail'!D79-300</f>
        <v>16200</v>
      </c>
      <c r="H77" s="386"/>
    </row>
    <row r="78" spans="1:8" ht="15.75">
      <c r="A78" s="403" t="str">
        <f>'[1]GenDetail'!A81</f>
        <v>Employee Benefits</v>
      </c>
      <c r="B78" s="403"/>
      <c r="C78" s="462">
        <f>'[1]GenDetail'!B83</f>
        <v>293112</v>
      </c>
      <c r="D78" s="463"/>
      <c r="E78" s="462">
        <f>'[1]GenDetail'!C83</f>
        <v>333263</v>
      </c>
      <c r="F78" s="463"/>
      <c r="G78" s="405">
        <f>'[1]GenDetail'!D83-10000</f>
        <v>396700</v>
      </c>
      <c r="H78" s="386"/>
    </row>
    <row r="79" spans="1:8" ht="15.75">
      <c r="A79" s="403" t="str">
        <f>'[1]GenDetail'!A85</f>
        <v>Noxious Weed</v>
      </c>
      <c r="B79" s="403"/>
      <c r="C79" s="462">
        <f>'[1]GenDetail'!B88</f>
        <v>558</v>
      </c>
      <c r="D79" s="463"/>
      <c r="E79" s="462">
        <f>'[1]GenDetail'!C88</f>
        <v>4915</v>
      </c>
      <c r="F79" s="463"/>
      <c r="G79" s="405">
        <f>'[1]GenDetail'!D88</f>
        <v>0</v>
      </c>
      <c r="H79" s="386"/>
    </row>
    <row r="80" spans="1:8" ht="15.75">
      <c r="A80" s="403" t="str">
        <f>'[1]GenDetail'!A91</f>
        <v>Airport</v>
      </c>
      <c r="B80" s="403"/>
      <c r="C80" s="462">
        <f>'[1]GenDetail'!B96-1328</f>
        <v>35343</v>
      </c>
      <c r="D80" s="463"/>
      <c r="E80" s="462">
        <f>'[1]GenDetail'!C96-1500</f>
        <v>40236</v>
      </c>
      <c r="F80" s="463"/>
      <c r="G80" s="405">
        <f>'[1]GenDetail'!D96-3000</f>
        <v>47676</v>
      </c>
      <c r="H80" s="386"/>
    </row>
    <row r="81" spans="1:8" ht="15.75">
      <c r="A81" s="403" t="str">
        <f>'[1]GenDetail'!A97</f>
        <v>Recreation/Community Development</v>
      </c>
      <c r="B81" s="404"/>
      <c r="C81" s="462">
        <f>'[1]GenDetail'!B102-16599</f>
        <v>52250</v>
      </c>
      <c r="D81" s="463"/>
      <c r="E81" s="462">
        <f>'[1]GenDetail'!C102-21500</f>
        <v>54150</v>
      </c>
      <c r="F81" s="463"/>
      <c r="G81" s="405">
        <f>'[1]GenDetail'!D102-24500</f>
        <v>151599</v>
      </c>
      <c r="H81" s="386"/>
    </row>
    <row r="82" spans="1:8" ht="15.75">
      <c r="A82" s="403" t="str">
        <f>'[1]GenDetail'!A104</f>
        <v>Golf Course</v>
      </c>
      <c r="B82" s="404"/>
      <c r="C82" s="462">
        <f>'[1]GenDetail'!B111</f>
        <v>140031</v>
      </c>
      <c r="D82" s="463"/>
      <c r="E82" s="462">
        <f>'[1]GenDetail'!C111</f>
        <v>168394</v>
      </c>
      <c r="F82" s="463"/>
      <c r="G82" s="405">
        <f>'[1]GenDetail'!D111-5500</f>
        <v>177660</v>
      </c>
      <c r="H82" s="386"/>
    </row>
    <row r="83" spans="1:8" ht="15.75">
      <c r="A83" s="303"/>
      <c r="B83" s="320"/>
      <c r="C83" s="372"/>
      <c r="D83" s="402"/>
      <c r="E83" s="372"/>
      <c r="F83" s="402"/>
      <c r="G83" s="388"/>
      <c r="H83" s="386"/>
    </row>
    <row r="84" spans="1:7" ht="15.75">
      <c r="A84" s="385" t="s">
        <v>80</v>
      </c>
      <c r="B84" s="389"/>
      <c r="C84" s="458">
        <f>SUM(C68:D83)</f>
        <v>1674366</v>
      </c>
      <c r="D84" s="459"/>
      <c r="E84" s="458">
        <f>SUM(E68:F83)</f>
        <v>1742650</v>
      </c>
      <c r="F84" s="459"/>
      <c r="G84" s="381">
        <f>SUM(G68:G83)</f>
        <v>2012305</v>
      </c>
    </row>
    <row r="85" spans="1:7" ht="15.75">
      <c r="A85" s="304"/>
      <c r="B85" s="321"/>
      <c r="C85" s="460"/>
      <c r="D85" s="461"/>
      <c r="E85" s="460"/>
      <c r="F85" s="461"/>
      <c r="G85" s="13"/>
    </row>
    <row r="86" spans="1:7" ht="15.75">
      <c r="A86" s="293"/>
      <c r="B86" s="321"/>
      <c r="C86" s="460"/>
      <c r="D86" s="461"/>
      <c r="E86" s="460"/>
      <c r="F86" s="461"/>
      <c r="G86" s="13"/>
    </row>
    <row r="87" spans="1:7" ht="15.75">
      <c r="A87" s="293"/>
      <c r="B87" s="321"/>
      <c r="C87" s="460"/>
      <c r="D87" s="461"/>
      <c r="E87" s="460"/>
      <c r="F87" s="461"/>
      <c r="G87" s="13"/>
    </row>
    <row r="88" spans="1:7" ht="15.75">
      <c r="A88" s="293"/>
      <c r="B88" s="321"/>
      <c r="C88" s="460"/>
      <c r="D88" s="461"/>
      <c r="E88" s="460"/>
      <c r="F88" s="461"/>
      <c r="G88" s="13"/>
    </row>
    <row r="89" spans="1:7" ht="15.75">
      <c r="A89" s="311" t="s">
        <v>25</v>
      </c>
      <c r="B89" s="309"/>
      <c r="C89" s="460"/>
      <c r="D89" s="461"/>
      <c r="E89" s="460"/>
      <c r="F89" s="461"/>
      <c r="G89" s="255">
        <f>nhood!E6</f>
        <v>1601</v>
      </c>
    </row>
    <row r="90" spans="1:7" ht="15.75">
      <c r="A90" s="311" t="s">
        <v>26</v>
      </c>
      <c r="B90" s="309"/>
      <c r="C90" s="460">
        <v>26414</v>
      </c>
      <c r="D90" s="461"/>
      <c r="E90" s="460">
        <v>27100</v>
      </c>
      <c r="F90" s="461"/>
      <c r="G90" s="296">
        <v>86900</v>
      </c>
    </row>
    <row r="91" spans="1:7" ht="15.75">
      <c r="A91" s="311" t="s">
        <v>27</v>
      </c>
      <c r="B91" s="309"/>
      <c r="C91" s="480">
        <f>IF(C92*0.1&lt;C90,"Exceed 10% Rule","")</f>
      </c>
      <c r="D91" s="481"/>
      <c r="E91" s="480">
        <f>IF(E92*0.1&lt;E90,"Exceed 10% Rule","")</f>
      </c>
      <c r="F91" s="481"/>
      <c r="G91" s="345">
        <f>IF(G92*0.1&lt;G90,"Exceed 10% Rule","")</f>
      </c>
    </row>
    <row r="92" spans="1:7" ht="15.75">
      <c r="A92" s="150" t="s">
        <v>170</v>
      </c>
      <c r="B92" s="320"/>
      <c r="C92" s="482">
        <f>SUM(C84:C90)</f>
        <v>1700780</v>
      </c>
      <c r="D92" s="483"/>
      <c r="E92" s="482">
        <f>SUM(E84:E90)</f>
        <v>1769750</v>
      </c>
      <c r="F92" s="483"/>
      <c r="G92" s="257">
        <f>SUM(G84:G90)</f>
        <v>2100806</v>
      </c>
    </row>
    <row r="93" spans="1:7" ht="15.75">
      <c r="A93" s="37" t="s">
        <v>288</v>
      </c>
      <c r="B93" s="320"/>
      <c r="C93" s="484">
        <f>C57-C92</f>
        <v>355778</v>
      </c>
      <c r="D93" s="485"/>
      <c r="E93" s="484">
        <f>E57-E92</f>
        <v>396846</v>
      </c>
      <c r="F93" s="485"/>
      <c r="G93" s="45" t="s">
        <v>145</v>
      </c>
    </row>
    <row r="94" spans="1:8" ht="15.75">
      <c r="A94" s="23" t="str">
        <f>CONCATENATE("",G1-2,"/",G1-1," Budget Authority Amount:")</f>
        <v>2008/2009 Budget Authority Amount:</v>
      </c>
      <c r="B94" s="328">
        <f>inputOth!B59</f>
        <v>1805623</v>
      </c>
      <c r="C94" s="328">
        <f>inputPrYr!D16</f>
        <v>1897276</v>
      </c>
      <c r="D94" s="473" t="s">
        <v>77</v>
      </c>
      <c r="E94" s="474"/>
      <c r="F94" s="475"/>
      <c r="G94" s="13"/>
      <c r="H94" s="288">
        <f>IF(G92/0.95-G92&lt;G94,"Exceeds 5%","")</f>
      </c>
    </row>
    <row r="95" spans="1:7" ht="15.75">
      <c r="A95" s="23" t="str">
        <f>CONCATENATE("Violation of Budget Law for ",G1-2,"/",G1-1,":")</f>
        <v>Violation of Budget Law for 2008/2009:</v>
      </c>
      <c r="B95" s="329" t="str">
        <f>IF(C92&gt;B94,"Yes","No")</f>
        <v>No</v>
      </c>
      <c r="C95" s="329" t="str">
        <f>IF(E92&gt;C94,"Yes","No")</f>
        <v>No</v>
      </c>
      <c r="D95" s="21"/>
      <c r="E95" s="476" t="s">
        <v>78</v>
      </c>
      <c r="F95" s="477"/>
      <c r="G95" s="40">
        <f>G92+G94</f>
        <v>2100806</v>
      </c>
    </row>
    <row r="96" spans="1:7" ht="15.75">
      <c r="A96" s="23" t="str">
        <f>CONCATENATE("Possible Cash Violation for ",G1-2,":")</f>
        <v>Possible Cash Violation for 2008:</v>
      </c>
      <c r="B96" s="329" t="str">
        <f>IF(C93&lt;0,"Yes","No")</f>
        <v>No</v>
      </c>
      <c r="C96" s="329"/>
      <c r="D96" s="21"/>
      <c r="E96" s="476" t="s">
        <v>171</v>
      </c>
      <c r="F96" s="477"/>
      <c r="G96" s="255">
        <f>IF(G95-G57&gt;0,G95-G57,0)</f>
        <v>542500</v>
      </c>
    </row>
    <row r="97" spans="1:7" ht="15.75">
      <c r="A97" s="24"/>
      <c r="B97" s="24"/>
      <c r="C97" s="478" t="s">
        <v>79</v>
      </c>
      <c r="D97" s="479"/>
      <c r="E97" s="479"/>
      <c r="F97" s="228">
        <f>(inputOth!$E$46)</f>
        <v>0</v>
      </c>
      <c r="G97" s="40">
        <f>ROUND(IF(F97&gt;0,(G96*F97),0),0)</f>
        <v>0</v>
      </c>
    </row>
    <row r="98" spans="1:7" ht="15.75">
      <c r="A98" s="21"/>
      <c r="B98" s="21"/>
      <c r="C98" s="470" t="str">
        <f>CONCATENATE("Amount of  ",$G$1-1," Ad Valorem Tax")</f>
        <v>Amount of  2009 Ad Valorem Tax</v>
      </c>
      <c r="D98" s="471"/>
      <c r="E98" s="471"/>
      <c r="F98" s="472"/>
      <c r="G98" s="381">
        <f>G96+G97</f>
        <v>542500</v>
      </c>
    </row>
    <row r="99" spans="1:7" ht="15.75">
      <c r="A99" s="21"/>
      <c r="B99" s="21"/>
      <c r="C99" s="21"/>
      <c r="D99" s="21"/>
      <c r="E99" s="21"/>
      <c r="F99" s="21"/>
      <c r="G99" s="21"/>
    </row>
    <row r="100" spans="1:7" ht="15.75">
      <c r="A100" s="442" t="s">
        <v>307</v>
      </c>
      <c r="B100" s="442"/>
      <c r="C100" s="442"/>
      <c r="D100" s="442"/>
      <c r="E100" s="442"/>
      <c r="F100" s="442"/>
      <c r="G100" s="442"/>
    </row>
    <row r="102" spans="1:2" ht="15.75">
      <c r="A102"/>
      <c r="B102"/>
    </row>
    <row r="105" spans="1:4" ht="15.75">
      <c r="A105" s="2"/>
      <c r="B105" s="2"/>
      <c r="C105" s="2"/>
      <c r="D105" s="2"/>
    </row>
  </sheetData>
  <sheetProtection/>
  <mergeCells count="171">
    <mergeCell ref="C19:D19"/>
    <mergeCell ref="E19:F19"/>
    <mergeCell ref="C70:D70"/>
    <mergeCell ref="E70:F70"/>
    <mergeCell ref="C71:D71"/>
    <mergeCell ref="E71:F71"/>
    <mergeCell ref="E30:F30"/>
    <mergeCell ref="E31:F31"/>
    <mergeCell ref="E24:F24"/>
    <mergeCell ref="E25:F25"/>
    <mergeCell ref="C81:D81"/>
    <mergeCell ref="E81:F81"/>
    <mergeCell ref="C82:D82"/>
    <mergeCell ref="E82:F82"/>
    <mergeCell ref="C32:D32"/>
    <mergeCell ref="C33:D33"/>
    <mergeCell ref="C34:D34"/>
    <mergeCell ref="C35:D35"/>
    <mergeCell ref="C38:D38"/>
    <mergeCell ref="C39:D39"/>
    <mergeCell ref="E28:F28"/>
    <mergeCell ref="E29:F29"/>
    <mergeCell ref="C26:D26"/>
    <mergeCell ref="C27:D27"/>
    <mergeCell ref="C28:D28"/>
    <mergeCell ref="C29:D29"/>
    <mergeCell ref="C30:D30"/>
    <mergeCell ref="C31:D31"/>
    <mergeCell ref="C22:D22"/>
    <mergeCell ref="E22:F22"/>
    <mergeCell ref="C23:D23"/>
    <mergeCell ref="E23:F23"/>
    <mergeCell ref="C24:D24"/>
    <mergeCell ref="C25:D25"/>
    <mergeCell ref="E26:F26"/>
    <mergeCell ref="E27:F27"/>
    <mergeCell ref="A100:G100"/>
    <mergeCell ref="C64:D64"/>
    <mergeCell ref="C65:D65"/>
    <mergeCell ref="C66:D66"/>
    <mergeCell ref="C67:D67"/>
    <mergeCell ref="E64:F64"/>
    <mergeCell ref="E65:F65"/>
    <mergeCell ref="C84:D84"/>
    <mergeCell ref="C93:D93"/>
    <mergeCell ref="C85:D85"/>
    <mergeCell ref="E5:F5"/>
    <mergeCell ref="E6:F6"/>
    <mergeCell ref="E7:F7"/>
    <mergeCell ref="E8:F8"/>
    <mergeCell ref="C5:D5"/>
    <mergeCell ref="C6:D6"/>
    <mergeCell ref="C7:D7"/>
    <mergeCell ref="C8:D8"/>
    <mergeCell ref="E9:F9"/>
    <mergeCell ref="C55:D55"/>
    <mergeCell ref="C56:D56"/>
    <mergeCell ref="C57:D57"/>
    <mergeCell ref="E55:F55"/>
    <mergeCell ref="E56:F56"/>
    <mergeCell ref="E57:F57"/>
    <mergeCell ref="C36:D36"/>
    <mergeCell ref="C37:D37"/>
    <mergeCell ref="C18:D18"/>
    <mergeCell ref="E96:F96"/>
    <mergeCell ref="C97:E97"/>
    <mergeCell ref="E91:F91"/>
    <mergeCell ref="E92:F92"/>
    <mergeCell ref="E93:F93"/>
    <mergeCell ref="C91:D91"/>
    <mergeCell ref="C92:D92"/>
    <mergeCell ref="C14:D14"/>
    <mergeCell ref="C15:D15"/>
    <mergeCell ref="C16:D16"/>
    <mergeCell ref="C17:D17"/>
    <mergeCell ref="D94:F94"/>
    <mergeCell ref="E95:F95"/>
    <mergeCell ref="C20:D20"/>
    <mergeCell ref="E20:F20"/>
    <mergeCell ref="C21:D21"/>
    <mergeCell ref="E21:F21"/>
    <mergeCell ref="C40:D40"/>
    <mergeCell ref="C41:D41"/>
    <mergeCell ref="C98:F98"/>
    <mergeCell ref="C9:D9"/>
    <mergeCell ref="C10:D10"/>
    <mergeCell ref="C11:D11"/>
    <mergeCell ref="C12:D12"/>
    <mergeCell ref="C13:D13"/>
    <mergeCell ref="C46:D46"/>
    <mergeCell ref="C47:D47"/>
    <mergeCell ref="C48:D48"/>
    <mergeCell ref="C49:D49"/>
    <mergeCell ref="C42:D42"/>
    <mergeCell ref="C43:D43"/>
    <mergeCell ref="C44:D44"/>
    <mergeCell ref="C45:D45"/>
    <mergeCell ref="C50:D50"/>
    <mergeCell ref="C51:D51"/>
    <mergeCell ref="C52:D52"/>
    <mergeCell ref="E54:F54"/>
    <mergeCell ref="C68:D68"/>
    <mergeCell ref="C69:D69"/>
    <mergeCell ref="E66:F66"/>
    <mergeCell ref="E53:F53"/>
    <mergeCell ref="C53:D53"/>
    <mergeCell ref="E10:F10"/>
    <mergeCell ref="E11:F11"/>
    <mergeCell ref="E12:F12"/>
    <mergeCell ref="E13:F13"/>
    <mergeCell ref="C75:D75"/>
    <mergeCell ref="E75:F75"/>
    <mergeCell ref="E18:F18"/>
    <mergeCell ref="E36:F36"/>
    <mergeCell ref="E14:F14"/>
    <mergeCell ref="E15:F15"/>
    <mergeCell ref="E37:F37"/>
    <mergeCell ref="E38:F38"/>
    <mergeCell ref="E39:F39"/>
    <mergeCell ref="E40:F40"/>
    <mergeCell ref="E16:F16"/>
    <mergeCell ref="E17:F17"/>
    <mergeCell ref="E32:F32"/>
    <mergeCell ref="E33:F33"/>
    <mergeCell ref="E34:F34"/>
    <mergeCell ref="E35:F35"/>
    <mergeCell ref="E45:F45"/>
    <mergeCell ref="E46:F46"/>
    <mergeCell ref="E47:F47"/>
    <mergeCell ref="E48:F48"/>
    <mergeCell ref="E41:F41"/>
    <mergeCell ref="E42:F42"/>
    <mergeCell ref="E43:F43"/>
    <mergeCell ref="E44:F44"/>
    <mergeCell ref="E49:F49"/>
    <mergeCell ref="E50:F50"/>
    <mergeCell ref="E51:F51"/>
    <mergeCell ref="E52:F52"/>
    <mergeCell ref="C54:D54"/>
    <mergeCell ref="C72:D72"/>
    <mergeCell ref="E72:F72"/>
    <mergeCell ref="E67:F67"/>
    <mergeCell ref="E68:F68"/>
    <mergeCell ref="E69:F69"/>
    <mergeCell ref="E74:F74"/>
    <mergeCell ref="A59:G59"/>
    <mergeCell ref="C76:D76"/>
    <mergeCell ref="E76:F76"/>
    <mergeCell ref="C78:D78"/>
    <mergeCell ref="E78:F78"/>
    <mergeCell ref="C73:D73"/>
    <mergeCell ref="E73:F73"/>
    <mergeCell ref="C74:D74"/>
    <mergeCell ref="C79:D79"/>
    <mergeCell ref="E79:F79"/>
    <mergeCell ref="C80:D80"/>
    <mergeCell ref="E80:F80"/>
    <mergeCell ref="C77:D77"/>
    <mergeCell ref="E77:F77"/>
    <mergeCell ref="C86:D86"/>
    <mergeCell ref="C90:D90"/>
    <mergeCell ref="C88:D88"/>
    <mergeCell ref="C89:D89"/>
    <mergeCell ref="C87:D87"/>
    <mergeCell ref="E86:F86"/>
    <mergeCell ref="E84:F84"/>
    <mergeCell ref="E85:F85"/>
    <mergeCell ref="E90:F90"/>
    <mergeCell ref="E87:F87"/>
    <mergeCell ref="E88:F88"/>
    <mergeCell ref="E89:F89"/>
  </mergeCells>
  <conditionalFormatting sqref="G90">
    <cfRule type="cellIs" priority="1" dxfId="271" operator="greaterThan" stopIfTrue="1">
      <formula>$G$92*0.1</formula>
    </cfRule>
  </conditionalFormatting>
  <conditionalFormatting sqref="G94">
    <cfRule type="cellIs" priority="2" dxfId="271" operator="greaterThan" stopIfTrue="1">
      <formula>$G$92/0.95-$G$92</formula>
    </cfRule>
  </conditionalFormatting>
  <conditionalFormatting sqref="E92:F92">
    <cfRule type="cellIs" priority="3" dxfId="0" operator="greaterThan" stopIfTrue="1">
      <formula>$C$94</formula>
    </cfRule>
  </conditionalFormatting>
  <conditionalFormatting sqref="C92:D92">
    <cfRule type="cellIs" priority="4" dxfId="0" operator="greaterThan" stopIfTrue="1">
      <formula>$B$94</formula>
    </cfRule>
  </conditionalFormatting>
  <conditionalFormatting sqref="C93:D93">
    <cfRule type="cellIs" priority="5" dxfId="0" operator="lessThan" stopIfTrue="1">
      <formula>0</formula>
    </cfRule>
  </conditionalFormatting>
  <conditionalFormatting sqref="C90:D90">
    <cfRule type="cellIs" priority="6" dxfId="0" operator="greaterThan" stopIfTrue="1">
      <formula>$C$92*0.1</formula>
    </cfRule>
  </conditionalFormatting>
  <conditionalFormatting sqref="E90:F90">
    <cfRule type="cellIs" priority="7" dxfId="0" operator="greaterThan" stopIfTrue="1">
      <formula>$E$92*0.1</formula>
    </cfRule>
  </conditionalFormatting>
  <conditionalFormatting sqref="E54:F54">
    <cfRule type="cellIs" priority="8" dxfId="0" operator="greaterThan" stopIfTrue="1">
      <formula>$E$56*0.1</formula>
    </cfRule>
  </conditionalFormatting>
  <conditionalFormatting sqref="C54:D54">
    <cfRule type="cellIs" priority="9" dxfId="0" operator="greaterThan" stopIfTrue="1">
      <formula>$C$56*0.1</formula>
    </cfRule>
  </conditionalFormatting>
  <conditionalFormatting sqref="G54">
    <cfRule type="cellIs" priority="10" dxfId="271" operator="greaterThan" stopIfTrue="1">
      <formula>$G$56*0.1+G98</formula>
    </cfRule>
  </conditionalFormatting>
  <printOptions/>
  <pageMargins left="0.5" right="0.5" top="1" bottom="0.5" header="0.5" footer="0.5"/>
  <pageSetup blackAndWhite="1" fitToHeight="2" fitToWidth="1" horizontalDpi="120" verticalDpi="120" orientation="portrait" scale="83" r:id="rId1"/>
  <headerFooter alignWithMargins="0">
    <oddHeader>&amp;RState of Kansas
City</oddHeader>
    <oddFooter>&amp;Lrevised 8/21/08</oddFooter>
  </headerFooter>
  <rowBreaks count="1" manualBreakCount="1">
    <brk id="60"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D98"/>
  <sheetViews>
    <sheetView zoomScalePageLayoutView="0" workbookViewId="0" topLeftCell="A46">
      <selection activeCell="A71" sqref="A71"/>
    </sheetView>
  </sheetViews>
  <sheetFormatPr defaultColWidth="8.796875" defaultRowHeight="15"/>
  <cols>
    <col min="1" max="1" width="28.296875" style="2" customWidth="1"/>
    <col min="2" max="3" width="15.796875" style="2" customWidth="1"/>
    <col min="4" max="4" width="16.09765625" style="2" customWidth="1"/>
    <col min="5" max="16384" width="8.8984375" style="2" customWidth="1"/>
  </cols>
  <sheetData>
    <row r="1" spans="1:4" ht="15.75">
      <c r="A1" s="72" t="str">
        <f>inputPrYr!D2</f>
        <v>City of Ellsworth</v>
      </c>
      <c r="B1" s="21"/>
      <c r="C1" s="92"/>
      <c r="D1" s="21">
        <f>inputPrYr!C5</f>
        <v>2010</v>
      </c>
    </row>
    <row r="2" spans="1:4" ht="15.75">
      <c r="A2" s="21"/>
      <c r="B2" s="21"/>
      <c r="C2" s="21"/>
      <c r="D2" s="92"/>
    </row>
    <row r="3" spans="1:4" ht="15.75">
      <c r="A3" s="90"/>
      <c r="B3" s="98"/>
      <c r="C3" s="98"/>
      <c r="D3" s="98"/>
    </row>
    <row r="4" spans="1:4" ht="15.75">
      <c r="A4" s="92" t="s">
        <v>156</v>
      </c>
      <c r="B4" s="93" t="s">
        <v>178</v>
      </c>
      <c r="C4" s="33" t="s">
        <v>314</v>
      </c>
      <c r="D4" s="33" t="s">
        <v>315</v>
      </c>
    </row>
    <row r="5" spans="1:4" ht="15.75">
      <c r="A5" s="20" t="s">
        <v>34</v>
      </c>
      <c r="B5" s="144">
        <f>D1-2</f>
        <v>2008</v>
      </c>
      <c r="C5" s="144">
        <f>D1-1</f>
        <v>2009</v>
      </c>
      <c r="D5" s="144">
        <f>D1</f>
        <v>2010</v>
      </c>
    </row>
    <row r="6" spans="1:4" ht="15.75">
      <c r="A6" s="409" t="s">
        <v>166</v>
      </c>
      <c r="B6" s="412"/>
      <c r="C6" s="412"/>
      <c r="D6" s="412"/>
    </row>
    <row r="7" spans="1:4" ht="15.75">
      <c r="A7" s="411" t="s">
        <v>494</v>
      </c>
      <c r="B7" s="414"/>
      <c r="C7" s="414"/>
      <c r="D7" s="414"/>
    </row>
    <row r="8" spans="1:4" ht="15.75">
      <c r="A8" s="410" t="s">
        <v>174</v>
      </c>
      <c r="B8" s="413">
        <v>150311</v>
      </c>
      <c r="C8" s="413">
        <v>156890</v>
      </c>
      <c r="D8" s="413">
        <v>152940</v>
      </c>
    </row>
    <row r="9" spans="1:4" ht="15.75">
      <c r="A9" s="14" t="s">
        <v>167</v>
      </c>
      <c r="B9" s="13">
        <v>83984</v>
      </c>
      <c r="C9" s="13">
        <v>95465</v>
      </c>
      <c r="D9" s="13">
        <v>107575</v>
      </c>
    </row>
    <row r="10" spans="1:4" ht="15.75">
      <c r="A10" s="14" t="s">
        <v>168</v>
      </c>
      <c r="B10" s="13">
        <v>7146</v>
      </c>
      <c r="C10" s="13">
        <v>7400</v>
      </c>
      <c r="D10" s="13">
        <v>8500</v>
      </c>
    </row>
    <row r="11" spans="1:4" ht="15.75">
      <c r="A11" s="14" t="s">
        <v>169</v>
      </c>
      <c r="B11" s="13">
        <v>0</v>
      </c>
      <c r="C11" s="13">
        <v>250</v>
      </c>
      <c r="D11" s="13">
        <v>1000</v>
      </c>
    </row>
    <row r="12" spans="1:4" ht="15.75">
      <c r="A12" s="8" t="s">
        <v>495</v>
      </c>
      <c r="B12" s="13">
        <v>30000</v>
      </c>
      <c r="C12" s="13">
        <v>19500</v>
      </c>
      <c r="D12" s="13">
        <v>25000</v>
      </c>
    </row>
    <row r="13" spans="1:4" ht="15.75">
      <c r="A13" s="8" t="s">
        <v>496</v>
      </c>
      <c r="B13" s="13">
        <v>30700</v>
      </c>
      <c r="C13" s="13">
        <v>3500</v>
      </c>
      <c r="D13" s="13">
        <v>4000</v>
      </c>
    </row>
    <row r="14" spans="1:4" ht="15.75">
      <c r="A14" s="86" t="s">
        <v>128</v>
      </c>
      <c r="B14" s="257">
        <f>SUM(B8:B13)</f>
        <v>302141</v>
      </c>
      <c r="C14" s="257">
        <f>SUM(C8:C13)</f>
        <v>283005</v>
      </c>
      <c r="D14" s="257">
        <f>SUM(D8:D13)</f>
        <v>299015</v>
      </c>
    </row>
    <row r="15" spans="1:4" ht="15.75">
      <c r="A15" s="408" t="s">
        <v>497</v>
      </c>
      <c r="B15" s="72"/>
      <c r="C15" s="72"/>
      <c r="D15" s="72"/>
    </row>
    <row r="16" spans="1:4" ht="15.75">
      <c r="A16" s="14" t="s">
        <v>174</v>
      </c>
      <c r="B16" s="13">
        <v>240175</v>
      </c>
      <c r="C16" s="13">
        <v>260900</v>
      </c>
      <c r="D16" s="13">
        <v>270250</v>
      </c>
    </row>
    <row r="17" spans="1:4" ht="15.75">
      <c r="A17" s="14" t="s">
        <v>167</v>
      </c>
      <c r="B17" s="13">
        <v>12414</v>
      </c>
      <c r="C17" s="13">
        <v>12665</v>
      </c>
      <c r="D17" s="13">
        <v>19610</v>
      </c>
    </row>
    <row r="18" spans="1:4" ht="15.75">
      <c r="A18" s="14" t="s">
        <v>168</v>
      </c>
      <c r="B18" s="13">
        <v>12578</v>
      </c>
      <c r="C18" s="13">
        <v>11600</v>
      </c>
      <c r="D18" s="13">
        <v>14250</v>
      </c>
    </row>
    <row r="19" spans="1:4" ht="15.75">
      <c r="A19" s="14" t="s">
        <v>169</v>
      </c>
      <c r="B19" s="13">
        <v>97</v>
      </c>
      <c r="C19" s="13">
        <v>200</v>
      </c>
      <c r="D19" s="13">
        <v>225</v>
      </c>
    </row>
    <row r="20" spans="1:4" ht="15.75">
      <c r="A20" s="14" t="s">
        <v>495</v>
      </c>
      <c r="B20" s="13">
        <v>0</v>
      </c>
      <c r="C20" s="13">
        <v>1000</v>
      </c>
      <c r="D20" s="13">
        <v>1000</v>
      </c>
    </row>
    <row r="21" spans="1:4" ht="15.75">
      <c r="A21" s="8" t="s">
        <v>496</v>
      </c>
      <c r="B21" s="13">
        <v>11750</v>
      </c>
      <c r="C21" s="13">
        <v>9350</v>
      </c>
      <c r="D21" s="13">
        <v>16000</v>
      </c>
    </row>
    <row r="22" spans="1:4" ht="15.75">
      <c r="A22" s="86" t="s">
        <v>128</v>
      </c>
      <c r="B22" s="257">
        <f>SUM(B16:B21)</f>
        <v>277014</v>
      </c>
      <c r="C22" s="257">
        <f>SUM(C16:C21)</f>
        <v>295715</v>
      </c>
      <c r="D22" s="257">
        <f>SUM(D16:D21)</f>
        <v>321335</v>
      </c>
    </row>
    <row r="23" spans="1:4" ht="15.75">
      <c r="A23" s="408" t="s">
        <v>498</v>
      </c>
      <c r="B23" s="72"/>
      <c r="C23" s="72"/>
      <c r="D23" s="72"/>
    </row>
    <row r="24" spans="1:4" ht="15.75">
      <c r="A24" s="14" t="s">
        <v>174</v>
      </c>
      <c r="B24" s="13">
        <v>8000</v>
      </c>
      <c r="C24" s="13">
        <v>8000</v>
      </c>
      <c r="D24" s="13">
        <v>8000</v>
      </c>
    </row>
    <row r="25" spans="1:4" ht="15.75">
      <c r="A25" s="14" t="s">
        <v>167</v>
      </c>
      <c r="B25" s="13">
        <v>28451</v>
      </c>
      <c r="C25" s="13">
        <v>28515</v>
      </c>
      <c r="D25" s="13">
        <v>30450</v>
      </c>
    </row>
    <row r="26" spans="1:4" ht="15.75">
      <c r="A26" s="14" t="s">
        <v>168</v>
      </c>
      <c r="B26" s="13">
        <v>9330</v>
      </c>
      <c r="C26" s="13">
        <v>11250</v>
      </c>
      <c r="D26" s="13">
        <v>11400</v>
      </c>
    </row>
    <row r="27" spans="1:4" ht="15.75">
      <c r="A27" s="14" t="s">
        <v>169</v>
      </c>
      <c r="B27" s="13">
        <v>6414</v>
      </c>
      <c r="C27" s="13">
        <v>5500</v>
      </c>
      <c r="D27" s="13">
        <v>6100</v>
      </c>
    </row>
    <row r="28" spans="1:4" ht="15.75">
      <c r="A28" s="8" t="s">
        <v>495</v>
      </c>
      <c r="B28" s="13">
        <v>1000</v>
      </c>
      <c r="C28" s="13">
        <v>1000</v>
      </c>
      <c r="D28" s="13">
        <v>1500</v>
      </c>
    </row>
    <row r="29" spans="1:4" ht="15.75">
      <c r="A29" s="8" t="s">
        <v>496</v>
      </c>
      <c r="B29" s="13">
        <v>2500</v>
      </c>
      <c r="C29" s="13">
        <v>3200</v>
      </c>
      <c r="D29" s="13">
        <v>15500</v>
      </c>
    </row>
    <row r="30" spans="1:4" ht="15.75">
      <c r="A30" s="14" t="s">
        <v>499</v>
      </c>
      <c r="B30" s="13">
        <v>494</v>
      </c>
      <c r="C30" s="13">
        <v>500</v>
      </c>
      <c r="D30" s="13">
        <v>500</v>
      </c>
    </row>
    <row r="31" spans="1:4" ht="15.75">
      <c r="A31" s="86" t="s">
        <v>128</v>
      </c>
      <c r="B31" s="257">
        <f>SUM(B24:B30)</f>
        <v>56189</v>
      </c>
      <c r="C31" s="257">
        <f>SUM(C24:C30)</f>
        <v>57965</v>
      </c>
      <c r="D31" s="257">
        <f>SUM(D24:D30)</f>
        <v>73450</v>
      </c>
    </row>
    <row r="32" spans="1:4" ht="15.75">
      <c r="A32" s="408" t="s">
        <v>500</v>
      </c>
      <c r="B32" s="72"/>
      <c r="C32" s="72"/>
      <c r="D32" s="72"/>
    </row>
    <row r="33" spans="1:4" ht="15.75">
      <c r="A33" s="14" t="s">
        <v>174</v>
      </c>
      <c r="B33" s="13">
        <v>148143</v>
      </c>
      <c r="C33" s="13">
        <v>153700</v>
      </c>
      <c r="D33" s="13">
        <v>158550</v>
      </c>
    </row>
    <row r="34" spans="1:4" ht="15.75">
      <c r="A34" s="14" t="s">
        <v>167</v>
      </c>
      <c r="B34" s="13">
        <v>25145</v>
      </c>
      <c r="C34" s="13">
        <v>24525</v>
      </c>
      <c r="D34" s="13">
        <v>71725</v>
      </c>
    </row>
    <row r="35" spans="1:4" ht="15.75">
      <c r="A35" s="14" t="s">
        <v>168</v>
      </c>
      <c r="B35" s="13">
        <v>19970</v>
      </c>
      <c r="C35" s="13">
        <v>26000</v>
      </c>
      <c r="D35" s="13">
        <v>34000</v>
      </c>
    </row>
    <row r="36" spans="1:4" ht="15.75">
      <c r="A36" s="8" t="s">
        <v>495</v>
      </c>
      <c r="B36" s="13">
        <v>60500</v>
      </c>
      <c r="C36" s="13">
        <v>50000</v>
      </c>
      <c r="D36" s="13">
        <v>50000</v>
      </c>
    </row>
    <row r="37" spans="1:4" ht="15.75">
      <c r="A37" s="8" t="s">
        <v>496</v>
      </c>
      <c r="B37" s="13">
        <v>49500</v>
      </c>
      <c r="C37" s="13">
        <v>41250</v>
      </c>
      <c r="D37" s="13">
        <v>42000</v>
      </c>
    </row>
    <row r="38" spans="1:4" ht="15.75">
      <c r="A38" s="86" t="s">
        <v>128</v>
      </c>
      <c r="B38" s="257">
        <f>SUM(B33:B37)</f>
        <v>303258</v>
      </c>
      <c r="C38" s="257">
        <f>SUM(C33:C37)</f>
        <v>295475</v>
      </c>
      <c r="D38" s="257">
        <f>SUM(D33:D37)</f>
        <v>356275</v>
      </c>
    </row>
    <row r="39" spans="1:4" ht="15.75">
      <c r="A39" s="408" t="s">
        <v>501</v>
      </c>
      <c r="B39" s="72"/>
      <c r="C39" s="72"/>
      <c r="D39" s="72"/>
    </row>
    <row r="40" spans="1:4" ht="15.75">
      <c r="A40" s="14" t="s">
        <v>167</v>
      </c>
      <c r="B40" s="13">
        <v>36126</v>
      </c>
      <c r="C40" s="13">
        <v>38000</v>
      </c>
      <c r="D40" s="13">
        <v>0</v>
      </c>
    </row>
    <row r="41" spans="1:4" ht="15.75">
      <c r="A41" s="86" t="s">
        <v>128</v>
      </c>
      <c r="B41" s="257">
        <f>SUM(B40:B40)</f>
        <v>36126</v>
      </c>
      <c r="C41" s="257">
        <f>SUM(C40:C40)</f>
        <v>38000</v>
      </c>
      <c r="D41" s="257">
        <f>SUM(D40:D40)</f>
        <v>0</v>
      </c>
    </row>
    <row r="42" spans="1:4" ht="15.75">
      <c r="A42" s="408" t="s">
        <v>502</v>
      </c>
      <c r="B42" s="72"/>
      <c r="C42" s="72"/>
      <c r="D42" s="72"/>
    </row>
    <row r="43" spans="1:4" ht="15.75">
      <c r="A43" s="14" t="s">
        <v>174</v>
      </c>
      <c r="B43" s="13">
        <v>25762</v>
      </c>
      <c r="C43" s="13">
        <v>29900</v>
      </c>
      <c r="D43" s="13">
        <v>32650</v>
      </c>
    </row>
    <row r="44" spans="1:4" ht="15.75">
      <c r="A44" s="14" t="s">
        <v>167</v>
      </c>
      <c r="B44" s="13">
        <v>12463</v>
      </c>
      <c r="C44" s="13">
        <v>11249</v>
      </c>
      <c r="D44" s="13">
        <v>12640</v>
      </c>
    </row>
    <row r="45" spans="1:4" ht="15.75">
      <c r="A45" s="14" t="s">
        <v>168</v>
      </c>
      <c r="B45" s="13">
        <v>6633</v>
      </c>
      <c r="C45" s="13">
        <v>5500</v>
      </c>
      <c r="D45" s="13">
        <v>6600</v>
      </c>
    </row>
    <row r="46" spans="1:4" ht="15.75">
      <c r="A46" s="14" t="s">
        <v>169</v>
      </c>
      <c r="B46" s="13">
        <v>117</v>
      </c>
      <c r="C46" s="13">
        <v>120</v>
      </c>
      <c r="D46" s="13">
        <v>125</v>
      </c>
    </row>
    <row r="47" spans="1:4" ht="15.75">
      <c r="A47" s="14" t="s">
        <v>495</v>
      </c>
      <c r="B47" s="13">
        <v>2500</v>
      </c>
      <c r="C47" s="13">
        <v>3500</v>
      </c>
      <c r="D47" s="13">
        <v>3500</v>
      </c>
    </row>
    <row r="48" spans="1:4" ht="15.75">
      <c r="A48" s="14" t="s">
        <v>496</v>
      </c>
      <c r="B48" s="13">
        <v>10000</v>
      </c>
      <c r="C48" s="13">
        <v>9100</v>
      </c>
      <c r="D48" s="13">
        <v>9100</v>
      </c>
    </row>
    <row r="49" spans="1:4" ht="15.75">
      <c r="A49" s="86" t="s">
        <v>128</v>
      </c>
      <c r="B49" s="257">
        <f>SUM(B43:B48)</f>
        <v>57475</v>
      </c>
      <c r="C49" s="257">
        <f>SUM(C43:C48)</f>
        <v>59369</v>
      </c>
      <c r="D49" s="257">
        <f>SUM(D43:D48)</f>
        <v>64615</v>
      </c>
    </row>
    <row r="50" spans="1:4" ht="15.75">
      <c r="A50" s="408" t="s">
        <v>503</v>
      </c>
      <c r="B50" s="72"/>
      <c r="C50" s="72"/>
      <c r="D50" s="72"/>
    </row>
    <row r="51" spans="1:4" ht="15.75">
      <c r="A51" s="14" t="s">
        <v>174</v>
      </c>
      <c r="B51" s="13">
        <v>11392</v>
      </c>
      <c r="C51" s="13">
        <v>12500</v>
      </c>
      <c r="D51" s="13">
        <v>13500</v>
      </c>
    </row>
    <row r="52" spans="1:4" ht="15.75">
      <c r="A52" s="14" t="s">
        <v>167</v>
      </c>
      <c r="B52" s="13">
        <v>2952</v>
      </c>
      <c r="C52" s="13">
        <v>3440</v>
      </c>
      <c r="D52" s="13">
        <v>4180</v>
      </c>
    </row>
    <row r="53" spans="1:4" ht="15.75">
      <c r="A53" s="14" t="s">
        <v>168</v>
      </c>
      <c r="B53" s="13">
        <v>2247</v>
      </c>
      <c r="C53" s="13">
        <v>2250</v>
      </c>
      <c r="D53" s="13">
        <v>2300</v>
      </c>
    </row>
    <row r="54" spans="1:4" ht="15.75">
      <c r="A54" s="14" t="s">
        <v>495</v>
      </c>
      <c r="B54" s="13"/>
      <c r="C54" s="13">
        <v>0</v>
      </c>
      <c r="D54" s="13">
        <v>300</v>
      </c>
    </row>
    <row r="55" spans="1:4" ht="15.75">
      <c r="A55" s="14" t="s">
        <v>496</v>
      </c>
      <c r="B55" s="13">
        <v>200</v>
      </c>
      <c r="C55" s="13">
        <v>400</v>
      </c>
      <c r="D55" s="13">
        <v>300</v>
      </c>
    </row>
    <row r="56" spans="1:4" ht="15.75">
      <c r="A56" s="86" t="s">
        <v>128</v>
      </c>
      <c r="B56" s="257">
        <f>SUM(B51:B55)</f>
        <v>16791</v>
      </c>
      <c r="C56" s="257">
        <f>SUM(C51:C55)</f>
        <v>18590</v>
      </c>
      <c r="D56" s="257">
        <f>SUM(D51:D55)</f>
        <v>20580</v>
      </c>
    </row>
    <row r="57" spans="1:4" ht="15.75">
      <c r="A57" s="408" t="s">
        <v>504</v>
      </c>
      <c r="B57" s="72"/>
      <c r="C57" s="72"/>
      <c r="D57" s="72"/>
    </row>
    <row r="58" spans="1:4" ht="15.75">
      <c r="A58" s="14" t="s">
        <v>167</v>
      </c>
      <c r="B58" s="13">
        <v>406</v>
      </c>
      <c r="C58" s="13">
        <v>400</v>
      </c>
      <c r="D58" s="13">
        <v>0</v>
      </c>
    </row>
    <row r="59" spans="1:4" ht="15.75">
      <c r="A59" s="14" t="s">
        <v>495</v>
      </c>
      <c r="B59" s="13">
        <v>16000</v>
      </c>
      <c r="C59" s="13">
        <v>0</v>
      </c>
      <c r="D59" s="13">
        <v>0</v>
      </c>
    </row>
    <row r="60" spans="1:4" ht="15.75">
      <c r="A60" s="420" t="s">
        <v>128</v>
      </c>
      <c r="B60" s="415">
        <f>SUM(B58:B59)</f>
        <v>16406</v>
      </c>
      <c r="C60" s="415">
        <f>SUM(C58:C59)</f>
        <v>400</v>
      </c>
      <c r="D60" s="415">
        <f>SUM(D58:D59)</f>
        <v>0</v>
      </c>
    </row>
    <row r="61" spans="1:4" ht="15.75">
      <c r="A61" s="416" t="s">
        <v>505</v>
      </c>
      <c r="B61" s="417"/>
      <c r="C61" s="417"/>
      <c r="D61" s="417"/>
    </row>
    <row r="62" spans="1:4" ht="15.75">
      <c r="A62" s="410" t="s">
        <v>174</v>
      </c>
      <c r="B62" s="413">
        <v>28793</v>
      </c>
      <c r="C62" s="413">
        <v>37750</v>
      </c>
      <c r="D62" s="413">
        <v>42300</v>
      </c>
    </row>
    <row r="63" spans="1:4" ht="15.75">
      <c r="A63" s="14" t="s">
        <v>167</v>
      </c>
      <c r="B63" s="13">
        <v>12430</v>
      </c>
      <c r="C63" s="13">
        <v>13423</v>
      </c>
      <c r="D63" s="13">
        <v>15900</v>
      </c>
    </row>
    <row r="64" spans="1:4" ht="15.75">
      <c r="A64" s="14" t="s">
        <v>168</v>
      </c>
      <c r="B64" s="13">
        <v>18742</v>
      </c>
      <c r="C64" s="13">
        <v>26000</v>
      </c>
      <c r="D64" s="13">
        <v>29000</v>
      </c>
    </row>
    <row r="65" spans="1:4" ht="15.75">
      <c r="A65" s="14" t="s">
        <v>496</v>
      </c>
      <c r="B65" s="13">
        <v>12500</v>
      </c>
      <c r="C65" s="13">
        <v>0</v>
      </c>
      <c r="D65" s="13">
        <v>0</v>
      </c>
    </row>
    <row r="66" spans="1:4" ht="15.75">
      <c r="A66" s="420" t="s">
        <v>128</v>
      </c>
      <c r="B66" s="415">
        <f>SUM(B61:B65)</f>
        <v>72465</v>
      </c>
      <c r="C66" s="415">
        <f>SUM(C61:C65)</f>
        <v>77173</v>
      </c>
      <c r="D66" s="415">
        <f>SUM(D61:D65)</f>
        <v>87200</v>
      </c>
    </row>
    <row r="67" spans="1:4" ht="15.75">
      <c r="A67" s="411" t="s">
        <v>506</v>
      </c>
      <c r="B67" s="414"/>
      <c r="C67" s="414"/>
      <c r="D67" s="414"/>
    </row>
    <row r="68" spans="1:4" ht="15.75">
      <c r="A68" s="410" t="s">
        <v>167</v>
      </c>
      <c r="B68" s="413">
        <v>15207</v>
      </c>
      <c r="C68" s="413">
        <v>16000</v>
      </c>
      <c r="D68" s="413">
        <v>16200</v>
      </c>
    </row>
    <row r="69" spans="1:4" ht="15.75">
      <c r="A69" s="420" t="s">
        <v>128</v>
      </c>
      <c r="B69" s="415">
        <f>SUM(B68:B68)</f>
        <v>15207</v>
      </c>
      <c r="C69" s="415">
        <f>SUM(C68:C68)</f>
        <v>16000</v>
      </c>
      <c r="D69" s="415">
        <f>SUM(D68:D68)</f>
        <v>16200</v>
      </c>
    </row>
    <row r="70" spans="1:4" ht="15.75">
      <c r="A70" s="418" t="s">
        <v>50</v>
      </c>
      <c r="B70" s="419"/>
      <c r="C70" s="419"/>
      <c r="D70" s="419"/>
    </row>
    <row r="71" spans="1:4" ht="15.75">
      <c r="A71" s="14" t="s">
        <v>611</v>
      </c>
      <c r="B71" s="13">
        <v>293112</v>
      </c>
      <c r="C71" s="13">
        <v>333263</v>
      </c>
      <c r="D71" s="13">
        <v>396700</v>
      </c>
    </row>
    <row r="72" spans="1:4" ht="15.75">
      <c r="A72" s="420" t="s">
        <v>128</v>
      </c>
      <c r="B72" s="415">
        <f>SUM(B71:B71)</f>
        <v>293112</v>
      </c>
      <c r="C72" s="415">
        <f>C71</f>
        <v>333263</v>
      </c>
      <c r="D72" s="415">
        <f>SUM(D71:D71)</f>
        <v>396700</v>
      </c>
    </row>
    <row r="73" spans="1:4" ht="15.75">
      <c r="A73" s="411" t="s">
        <v>507</v>
      </c>
      <c r="B73" s="414"/>
      <c r="C73" s="414"/>
      <c r="D73" s="414"/>
    </row>
    <row r="74" spans="1:4" ht="15.75">
      <c r="A74" s="410" t="s">
        <v>167</v>
      </c>
      <c r="B74" s="413">
        <v>150</v>
      </c>
      <c r="C74" s="413">
        <v>0</v>
      </c>
      <c r="D74" s="413">
        <v>0</v>
      </c>
    </row>
    <row r="75" spans="1:4" ht="15.75">
      <c r="A75" s="14" t="s">
        <v>168</v>
      </c>
      <c r="B75" s="13">
        <v>408</v>
      </c>
      <c r="C75" s="13">
        <v>4915</v>
      </c>
      <c r="D75" s="13">
        <v>0</v>
      </c>
    </row>
    <row r="76" spans="1:4" ht="15.75">
      <c r="A76" s="420" t="s">
        <v>128</v>
      </c>
      <c r="B76" s="415">
        <f>SUM(B74:B75)</f>
        <v>558</v>
      </c>
      <c r="C76" s="415">
        <f>SUM(C74:C75)</f>
        <v>4915</v>
      </c>
      <c r="D76" s="415">
        <f>SUM(D74:D75)</f>
        <v>0</v>
      </c>
    </row>
    <row r="77" spans="1:4" ht="15.75">
      <c r="A77" s="411" t="s">
        <v>465</v>
      </c>
      <c r="B77" s="414"/>
      <c r="C77" s="414"/>
      <c r="D77" s="414"/>
    </row>
    <row r="78" spans="1:4" ht="15.75">
      <c r="A78" s="410" t="s">
        <v>167</v>
      </c>
      <c r="B78" s="413">
        <v>6326</v>
      </c>
      <c r="C78" s="413">
        <v>7126</v>
      </c>
      <c r="D78" s="413">
        <v>8000</v>
      </c>
    </row>
    <row r="79" spans="1:4" ht="15.75">
      <c r="A79" s="14" t="s">
        <v>168</v>
      </c>
      <c r="B79" s="13">
        <v>19017</v>
      </c>
      <c r="C79" s="13">
        <v>18110</v>
      </c>
      <c r="D79" s="13">
        <v>18700</v>
      </c>
    </row>
    <row r="80" spans="1:4" ht="15.75">
      <c r="A80" s="14" t="s">
        <v>495</v>
      </c>
      <c r="B80" s="13">
        <v>10000</v>
      </c>
      <c r="C80" s="13">
        <v>15000</v>
      </c>
      <c r="D80" s="13">
        <v>20976</v>
      </c>
    </row>
    <row r="81" spans="1:4" ht="15.75">
      <c r="A81" s="420" t="s">
        <v>128</v>
      </c>
      <c r="B81" s="415">
        <f>SUM(B78:B80)</f>
        <v>35343</v>
      </c>
      <c r="C81" s="415">
        <f>SUM(C78:C80)</f>
        <v>40236</v>
      </c>
      <c r="D81" s="415">
        <f>SUM(D78:D80)</f>
        <v>47676</v>
      </c>
    </row>
    <row r="82" spans="1:4" ht="15.75">
      <c r="A82" s="411" t="s">
        <v>508</v>
      </c>
      <c r="B82" s="414"/>
      <c r="C82" s="414"/>
      <c r="D82" s="414"/>
    </row>
    <row r="83" spans="1:4" ht="15.75">
      <c r="A83" s="410" t="s">
        <v>167</v>
      </c>
      <c r="B83" s="413">
        <v>5000</v>
      </c>
      <c r="C83" s="413">
        <v>5150</v>
      </c>
      <c r="D83" s="413">
        <v>5200</v>
      </c>
    </row>
    <row r="84" spans="1:4" ht="15.75">
      <c r="A84" s="8" t="s">
        <v>509</v>
      </c>
      <c r="B84" s="13">
        <v>47250</v>
      </c>
      <c r="C84" s="13">
        <v>49000</v>
      </c>
      <c r="D84" s="13">
        <v>53000</v>
      </c>
    </row>
    <row r="85" spans="1:4" ht="15.75">
      <c r="A85" s="8" t="s">
        <v>510</v>
      </c>
      <c r="B85" s="13">
        <v>0</v>
      </c>
      <c r="C85" s="13">
        <v>0</v>
      </c>
      <c r="D85" s="13">
        <v>93399</v>
      </c>
    </row>
    <row r="86" spans="1:4" ht="15.75">
      <c r="A86" s="420" t="s">
        <v>128</v>
      </c>
      <c r="B86" s="415">
        <f>SUM(B83:B85)</f>
        <v>52250</v>
      </c>
      <c r="C86" s="415">
        <f>SUM(C83:C85)</f>
        <v>54150</v>
      </c>
      <c r="D86" s="415">
        <f>SUM(D83:D85)</f>
        <v>151599</v>
      </c>
    </row>
    <row r="87" spans="1:4" ht="15.75">
      <c r="A87" s="411" t="s">
        <v>511</v>
      </c>
      <c r="B87" s="414"/>
      <c r="C87" s="414"/>
      <c r="D87" s="414"/>
    </row>
    <row r="88" spans="1:4" ht="15.75">
      <c r="A88" s="410" t="s">
        <v>174</v>
      </c>
      <c r="B88" s="413">
        <v>58395</v>
      </c>
      <c r="C88" s="413">
        <v>65950</v>
      </c>
      <c r="D88" s="413">
        <v>70600</v>
      </c>
    </row>
    <row r="89" spans="1:4" ht="15.75">
      <c r="A89" s="14" t="s">
        <v>167</v>
      </c>
      <c r="B89" s="13">
        <v>27052</v>
      </c>
      <c r="C89" s="13">
        <v>27094</v>
      </c>
      <c r="D89" s="13">
        <v>28160</v>
      </c>
    </row>
    <row r="90" spans="1:4" ht="15.75">
      <c r="A90" s="14" t="s">
        <v>168</v>
      </c>
      <c r="B90" s="13">
        <v>30884</v>
      </c>
      <c r="C90" s="13">
        <v>33350</v>
      </c>
      <c r="D90" s="13">
        <v>36900</v>
      </c>
    </row>
    <row r="91" spans="1:4" ht="15.75">
      <c r="A91" s="8" t="s">
        <v>495</v>
      </c>
      <c r="B91" s="13">
        <v>9500</v>
      </c>
      <c r="C91" s="13">
        <v>4500</v>
      </c>
      <c r="D91" s="13">
        <v>4500</v>
      </c>
    </row>
    <row r="92" spans="1:4" ht="15.75">
      <c r="A92" s="8" t="s">
        <v>496</v>
      </c>
      <c r="B92" s="13">
        <v>14200</v>
      </c>
      <c r="C92" s="13">
        <v>37500</v>
      </c>
      <c r="D92" s="13">
        <v>37500</v>
      </c>
    </row>
    <row r="93" spans="1:4" ht="15.75">
      <c r="A93" s="86" t="s">
        <v>128</v>
      </c>
      <c r="B93" s="257">
        <f>SUM(B88:B92)</f>
        <v>140031</v>
      </c>
      <c r="C93" s="257">
        <f>SUM(C88:C92)</f>
        <v>168394</v>
      </c>
      <c r="D93" s="257">
        <f>SUM(D88:D92)</f>
        <v>177660</v>
      </c>
    </row>
    <row r="94" spans="1:4" ht="15.75">
      <c r="A94" s="14"/>
      <c r="B94" s="13"/>
      <c r="C94" s="13"/>
      <c r="D94" s="13"/>
    </row>
    <row r="95" spans="1:4" ht="15.75">
      <c r="A95" s="14"/>
      <c r="B95" s="13"/>
      <c r="C95" s="13"/>
      <c r="D95" s="13"/>
    </row>
    <row r="96" spans="1:4" ht="16.5" thickBot="1">
      <c r="A96" s="83" t="s">
        <v>175</v>
      </c>
      <c r="B96" s="258">
        <f>B93+B86+B81+B76+B72+B69+B66+B60+B56+B49+B41+B38+B31+B22+B14</f>
        <v>1674366</v>
      </c>
      <c r="C96" s="258">
        <f>C93+C86+C81+C76+C72+C69+C66+C60+C56+C49+C41+C38+C31+C22+C14</f>
        <v>1742650</v>
      </c>
      <c r="D96" s="258">
        <f>D93+D86+D81+D76+D72+D69+D66+D60+D56+D49+D41+D38+D31+D22+D14</f>
        <v>2012305</v>
      </c>
    </row>
    <row r="97" spans="1:4" ht="16.5" thickTop="1">
      <c r="A97" s="387" t="s">
        <v>81</v>
      </c>
      <c r="B97" s="72"/>
      <c r="C97" s="72"/>
      <c r="D97" s="72"/>
    </row>
    <row r="98" spans="1:4" ht="15.75">
      <c r="A98" s="21"/>
      <c r="B98" s="99" t="s">
        <v>308</v>
      </c>
      <c r="C98" s="72"/>
      <c r="D98" s="72"/>
    </row>
  </sheetData>
  <sheetProtection/>
  <printOptions/>
  <pageMargins left="0.5" right="0.5" top="1" bottom="0.5" header="0.5" footer="0.5"/>
  <pageSetup blackAndWhite="1" fitToHeight="1" fitToWidth="1" horizontalDpi="300" verticalDpi="300" orientation="portrait" scale="45" r:id="rId1"/>
  <headerFooter alignWithMargins="0">
    <oddHeader>&amp;RState of Kansas
City</oddHeader>
    <oddFooter>&amp;Lrevised 8/21/08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9">
      <selection activeCell="C33" sqref="C33:D33"/>
    </sheetView>
  </sheetViews>
  <sheetFormatPr defaultColWidth="8.796875" defaultRowHeight="15"/>
  <cols>
    <col min="1" max="1" width="28.796875" style="7" customWidth="1"/>
    <col min="2" max="2" width="9.59765625" style="7" customWidth="1"/>
    <col min="3" max="3" width="10.3984375" style="7" customWidth="1"/>
    <col min="4" max="4" width="5.796875" style="7" customWidth="1"/>
    <col min="5" max="5" width="9.69921875" style="7" customWidth="1"/>
    <col min="6" max="6" width="6.69921875" style="7" customWidth="1"/>
    <col min="7" max="7" width="16.19921875" style="7" customWidth="1"/>
    <col min="8" max="16384" width="8.8984375" style="7" customWidth="1"/>
  </cols>
  <sheetData>
    <row r="1" spans="1:7" ht="15.75">
      <c r="A1" s="72" t="str">
        <f>inputPrYr!D2</f>
        <v>City of Ellsworth</v>
      </c>
      <c r="B1" s="72"/>
      <c r="C1" s="21"/>
      <c r="D1" s="21"/>
      <c r="E1" s="21"/>
      <c r="F1" s="21"/>
      <c r="G1" s="141">
        <f>inputPrYr!$C$5</f>
        <v>2010</v>
      </c>
    </row>
    <row r="2" spans="1:7" ht="15.75">
      <c r="A2" s="21"/>
      <c r="B2" s="21"/>
      <c r="C2" s="21"/>
      <c r="D2" s="21"/>
      <c r="E2" s="21"/>
      <c r="F2" s="21"/>
      <c r="G2" s="24"/>
    </row>
    <row r="3" spans="1:7" ht="15.75">
      <c r="A3" s="90" t="s">
        <v>21</v>
      </c>
      <c r="B3" s="90"/>
      <c r="C3" s="94"/>
      <c r="D3" s="94"/>
      <c r="E3" s="94"/>
      <c r="F3" s="94"/>
      <c r="G3" s="142"/>
    </row>
    <row r="4" spans="1:7" ht="15.75">
      <c r="A4" s="21"/>
      <c r="B4" s="21"/>
      <c r="C4" s="143"/>
      <c r="D4" s="143"/>
      <c r="E4" s="143"/>
      <c r="F4" s="143"/>
      <c r="G4" s="143"/>
    </row>
    <row r="5" spans="1:7" ht="15.75">
      <c r="A5" s="25" t="s">
        <v>156</v>
      </c>
      <c r="B5" s="25"/>
      <c r="C5" s="492" t="s">
        <v>178</v>
      </c>
      <c r="D5" s="493"/>
      <c r="E5" s="488" t="s">
        <v>314</v>
      </c>
      <c r="F5" s="489"/>
      <c r="G5" s="33" t="s">
        <v>315</v>
      </c>
    </row>
    <row r="6" spans="1:7" ht="15.75">
      <c r="A6" s="137" t="str">
        <f>inputPrYr!B17</f>
        <v>Debt Service</v>
      </c>
      <c r="B6" s="137"/>
      <c r="C6" s="456">
        <f>G1-2</f>
        <v>2008</v>
      </c>
      <c r="D6" s="503"/>
      <c r="E6" s="456">
        <f>G1-1</f>
        <v>2009</v>
      </c>
      <c r="F6" s="503"/>
      <c r="G6" s="145">
        <f>G1</f>
        <v>2010</v>
      </c>
    </row>
    <row r="7" spans="1:7" ht="15.75">
      <c r="A7" s="37" t="s">
        <v>287</v>
      </c>
      <c r="B7" s="301"/>
      <c r="C7" s="466">
        <v>64599</v>
      </c>
      <c r="D7" s="467"/>
      <c r="E7" s="504">
        <f>C34</f>
        <v>96729</v>
      </c>
      <c r="F7" s="505"/>
      <c r="G7" s="147">
        <f>E34</f>
        <v>54869</v>
      </c>
    </row>
    <row r="8" spans="1:7" ht="15.75">
      <c r="A8" s="300" t="s">
        <v>289</v>
      </c>
      <c r="B8" s="301"/>
      <c r="C8" s="501"/>
      <c r="D8" s="502"/>
      <c r="E8" s="504"/>
      <c r="F8" s="505"/>
      <c r="G8" s="147"/>
    </row>
    <row r="9" spans="1:7" ht="15.75">
      <c r="A9" s="37" t="s">
        <v>157</v>
      </c>
      <c r="B9" s="301"/>
      <c r="C9" s="460">
        <v>152887</v>
      </c>
      <c r="D9" s="461"/>
      <c r="E9" s="501">
        <v>135000</v>
      </c>
      <c r="F9" s="502"/>
      <c r="G9" s="97" t="s">
        <v>145</v>
      </c>
    </row>
    <row r="10" spans="1:7" ht="15.75">
      <c r="A10" s="37" t="s">
        <v>158</v>
      </c>
      <c r="B10" s="301"/>
      <c r="C10" s="460">
        <v>1334</v>
      </c>
      <c r="D10" s="461"/>
      <c r="E10" s="460">
        <v>1783</v>
      </c>
      <c r="F10" s="461"/>
      <c r="G10" s="146">
        <v>1500</v>
      </c>
    </row>
    <row r="11" spans="1:7" ht="15.75">
      <c r="A11" s="37" t="s">
        <v>159</v>
      </c>
      <c r="B11" s="301"/>
      <c r="C11" s="460">
        <v>48912</v>
      </c>
      <c r="D11" s="461"/>
      <c r="E11" s="460">
        <v>27000</v>
      </c>
      <c r="F11" s="461"/>
      <c r="G11" s="148">
        <v>29000</v>
      </c>
    </row>
    <row r="12" spans="1:7" ht="15.75">
      <c r="A12" s="37" t="s">
        <v>160</v>
      </c>
      <c r="B12" s="301"/>
      <c r="C12" s="460">
        <v>834</v>
      </c>
      <c r="D12" s="461"/>
      <c r="E12" s="460">
        <v>400</v>
      </c>
      <c r="F12" s="461"/>
      <c r="G12" s="148">
        <v>500</v>
      </c>
    </row>
    <row r="13" spans="1:7" ht="15.75">
      <c r="A13" s="314" t="s">
        <v>264</v>
      </c>
      <c r="B13" s="301"/>
      <c r="C13" s="460">
        <v>97</v>
      </c>
      <c r="D13" s="461"/>
      <c r="E13" s="460">
        <v>357</v>
      </c>
      <c r="F13" s="461"/>
      <c r="G13" s="148">
        <v>400</v>
      </c>
    </row>
    <row r="14" spans="1:7" ht="15.75">
      <c r="A14" s="314" t="s">
        <v>331</v>
      </c>
      <c r="B14" s="301"/>
      <c r="C14" s="460">
        <v>46</v>
      </c>
      <c r="D14" s="461"/>
      <c r="E14" s="460">
        <v>0</v>
      </c>
      <c r="F14" s="461"/>
      <c r="G14" s="148">
        <v>0</v>
      </c>
    </row>
    <row r="15" spans="1:7" ht="15.75">
      <c r="A15" s="314" t="s">
        <v>512</v>
      </c>
      <c r="B15" s="301"/>
      <c r="C15" s="460">
        <v>48807</v>
      </c>
      <c r="D15" s="461"/>
      <c r="E15" s="460">
        <v>32000</v>
      </c>
      <c r="F15" s="461"/>
      <c r="G15" s="148">
        <v>32000</v>
      </c>
    </row>
    <row r="16" spans="1:7" ht="15.75">
      <c r="A16" s="314" t="s">
        <v>513</v>
      </c>
      <c r="B16" s="301"/>
      <c r="C16" s="460">
        <v>87618</v>
      </c>
      <c r="D16" s="461"/>
      <c r="E16" s="460">
        <v>73000</v>
      </c>
      <c r="F16" s="461"/>
      <c r="G16" s="148">
        <v>75000</v>
      </c>
    </row>
    <row r="17" spans="1:7" ht="15.75">
      <c r="A17" s="315" t="s">
        <v>479</v>
      </c>
      <c r="B17" s="302"/>
      <c r="C17" s="460">
        <v>108</v>
      </c>
      <c r="D17" s="461"/>
      <c r="E17" s="460">
        <v>0</v>
      </c>
      <c r="F17" s="461"/>
      <c r="G17" s="146">
        <v>0</v>
      </c>
    </row>
    <row r="18" spans="1:7" ht="15.75">
      <c r="A18" s="315" t="s">
        <v>514</v>
      </c>
      <c r="B18" s="302"/>
      <c r="C18" s="460">
        <v>60000</v>
      </c>
      <c r="D18" s="461"/>
      <c r="E18" s="460">
        <v>60000</v>
      </c>
      <c r="F18" s="461"/>
      <c r="G18" s="149">
        <v>0</v>
      </c>
    </row>
    <row r="19" spans="1:7" ht="15.75">
      <c r="A19" s="316" t="s">
        <v>162</v>
      </c>
      <c r="B19" s="302"/>
      <c r="C19" s="460">
        <v>4805</v>
      </c>
      <c r="D19" s="461"/>
      <c r="E19" s="460">
        <v>1600</v>
      </c>
      <c r="F19" s="461"/>
      <c r="G19" s="146">
        <v>1731</v>
      </c>
    </row>
    <row r="20" spans="1:7" ht="15.75">
      <c r="A20" s="313" t="s">
        <v>26</v>
      </c>
      <c r="B20" s="309"/>
      <c r="C20" s="460"/>
      <c r="D20" s="461"/>
      <c r="E20" s="460"/>
      <c r="F20" s="461"/>
      <c r="G20" s="317"/>
    </row>
    <row r="21" spans="1:7" ht="15.75">
      <c r="A21" s="303" t="s">
        <v>28</v>
      </c>
      <c r="B21" s="309"/>
      <c r="C21" s="480">
        <f>IF(C22*0.1&lt;C20,"Exceed 10% Rule","")</f>
      </c>
      <c r="D21" s="481"/>
      <c r="E21" s="480">
        <f>IF(E22*0.1&lt;E20,"Exceed 10% Rule","")</f>
      </c>
      <c r="F21" s="481"/>
      <c r="G21" s="345">
        <f>IF(G22*0.1+G39&lt;G20,"Exceed 10% Rule","")</f>
      </c>
    </row>
    <row r="22" spans="1:7" ht="15.75">
      <c r="A22" s="150" t="s">
        <v>163</v>
      </c>
      <c r="B22" s="301"/>
      <c r="C22" s="496">
        <f>SUM(C9:C20)</f>
        <v>405448</v>
      </c>
      <c r="D22" s="497"/>
      <c r="E22" s="496">
        <f>SUM(E9:E20)</f>
        <v>331140</v>
      </c>
      <c r="F22" s="500"/>
      <c r="G22" s="273">
        <f>SUM(G9:G20)</f>
        <v>140131</v>
      </c>
    </row>
    <row r="23" spans="1:7" ht="15.75">
      <c r="A23" s="150" t="s">
        <v>164</v>
      </c>
      <c r="B23" s="301"/>
      <c r="C23" s="496">
        <f>C7+C22</f>
        <v>470047</v>
      </c>
      <c r="D23" s="500"/>
      <c r="E23" s="496">
        <f>E7+E22</f>
        <v>427869</v>
      </c>
      <c r="F23" s="500"/>
      <c r="G23" s="272">
        <f>G7+G22</f>
        <v>195000</v>
      </c>
    </row>
    <row r="24" spans="1:7" ht="15.75">
      <c r="A24" s="300" t="s">
        <v>166</v>
      </c>
      <c r="B24" s="301"/>
      <c r="C24" s="501"/>
      <c r="D24" s="502"/>
      <c r="E24" s="501"/>
      <c r="F24" s="502"/>
      <c r="G24" s="148"/>
    </row>
    <row r="25" spans="1:7" ht="15.75">
      <c r="A25" s="293" t="s">
        <v>515</v>
      </c>
      <c r="B25" s="302"/>
      <c r="C25" s="460">
        <v>285000</v>
      </c>
      <c r="D25" s="461"/>
      <c r="E25" s="460">
        <v>300000</v>
      </c>
      <c r="F25" s="461"/>
      <c r="G25" s="146">
        <v>320000</v>
      </c>
    </row>
    <row r="26" spans="1:7" ht="15.75">
      <c r="A26" s="293" t="s">
        <v>516</v>
      </c>
      <c r="B26" s="302"/>
      <c r="C26" s="460">
        <v>88318</v>
      </c>
      <c r="D26" s="461"/>
      <c r="E26" s="460">
        <v>73000</v>
      </c>
      <c r="F26" s="461"/>
      <c r="G26" s="146">
        <v>80000</v>
      </c>
    </row>
    <row r="27" spans="1:7" ht="15.75">
      <c r="A27" s="293"/>
      <c r="B27" s="302"/>
      <c r="C27" s="460"/>
      <c r="D27" s="461"/>
      <c r="E27" s="460"/>
      <c r="F27" s="461"/>
      <c r="G27" s="146"/>
    </row>
    <row r="28" spans="1:7" ht="15.75">
      <c r="A28" s="293"/>
      <c r="B28" s="302"/>
      <c r="C28" s="460"/>
      <c r="D28" s="461"/>
      <c r="E28" s="460"/>
      <c r="F28" s="461"/>
      <c r="G28" s="146"/>
    </row>
    <row r="29" spans="1:7" ht="15.75">
      <c r="A29" s="293"/>
      <c r="B29" s="302"/>
      <c r="C29" s="460"/>
      <c r="D29" s="461"/>
      <c r="E29" s="460"/>
      <c r="F29" s="461"/>
      <c r="G29" s="146"/>
    </row>
    <row r="30" spans="1:7" ht="15.75">
      <c r="A30" s="311" t="s">
        <v>25</v>
      </c>
      <c r="B30" s="309"/>
      <c r="C30" s="460">
        <v>0</v>
      </c>
      <c r="D30" s="461"/>
      <c r="E30" s="460">
        <v>0</v>
      </c>
      <c r="F30" s="461"/>
      <c r="G30" s="346">
        <f>nhood!E7</f>
        <v>635</v>
      </c>
    </row>
    <row r="31" spans="1:7" ht="15.75">
      <c r="A31" s="311" t="s">
        <v>26</v>
      </c>
      <c r="B31" s="309"/>
      <c r="C31" s="466">
        <v>0</v>
      </c>
      <c r="D31" s="467"/>
      <c r="E31" s="466"/>
      <c r="F31" s="467"/>
      <c r="G31" s="317">
        <v>9365</v>
      </c>
    </row>
    <row r="32" spans="1:7" ht="15.75">
      <c r="A32" s="311" t="s">
        <v>27</v>
      </c>
      <c r="B32" s="309"/>
      <c r="C32" s="480">
        <f>IF(C33*0.1&lt;C31,"Exceed 10% Rule","")</f>
      </c>
      <c r="D32" s="481"/>
      <c r="E32" s="480">
        <f>IF(E33*0.1&lt;E31,"Exceed 10% Rule","")</f>
      </c>
      <c r="F32" s="481"/>
      <c r="G32" s="345">
        <f>IF(G33*0.1&lt;G31,"Exceed 10% Rule","")</f>
      </c>
    </row>
    <row r="33" spans="1:7" ht="15.75">
      <c r="A33" s="150" t="s">
        <v>170</v>
      </c>
      <c r="B33" s="301"/>
      <c r="C33" s="496">
        <f>SUM(C25:C31)</f>
        <v>373318</v>
      </c>
      <c r="D33" s="497"/>
      <c r="E33" s="496">
        <f>SUM(E25:E31)</f>
        <v>373000</v>
      </c>
      <c r="F33" s="500"/>
      <c r="G33" s="273">
        <f>SUM(G25:G31)</f>
        <v>410000</v>
      </c>
    </row>
    <row r="34" spans="1:7" ht="15.75">
      <c r="A34" s="37" t="s">
        <v>288</v>
      </c>
      <c r="B34" s="301"/>
      <c r="C34" s="498">
        <f>C23-C33</f>
        <v>96729</v>
      </c>
      <c r="D34" s="499"/>
      <c r="E34" s="498">
        <f>E23-E33</f>
        <v>54869</v>
      </c>
      <c r="F34" s="499"/>
      <c r="G34" s="97" t="s">
        <v>145</v>
      </c>
    </row>
    <row r="35" spans="1:8" ht="15.75">
      <c r="A35" s="23" t="str">
        <f>CONCATENATE("",G1-2,"/",G1-1," Budget Authority Amount:")</f>
        <v>2008/2009 Budget Authority Amount:</v>
      </c>
      <c r="B35" s="328">
        <f>inputOth!B60</f>
        <v>471552</v>
      </c>
      <c r="C35" s="328">
        <f>inputPrYr!D17</f>
        <v>479815</v>
      </c>
      <c r="D35" s="473" t="s">
        <v>77</v>
      </c>
      <c r="E35" s="474"/>
      <c r="F35" s="475"/>
      <c r="G35" s="9"/>
      <c r="H35" s="288">
        <f>IF(G33/0.95-G33&lt;G35,"Exceeds 5%","")</f>
      </c>
    </row>
    <row r="36" spans="1:7" ht="15.75">
      <c r="A36" s="23" t="str">
        <f>CONCATENATE("Violation of Budget Law for ",G1-2,"/",G1-1,":")</f>
        <v>Violation of Budget Law for 2008/2009:</v>
      </c>
      <c r="B36" s="329" t="str">
        <f>IF(C33&gt;B35,"Yes","No")</f>
        <v>No</v>
      </c>
      <c r="C36" s="329" t="str">
        <f>IF(E33&gt;C35,"Yes","No")</f>
        <v>No</v>
      </c>
      <c r="D36" s="21"/>
      <c r="E36" s="476" t="s">
        <v>78</v>
      </c>
      <c r="F36" s="477"/>
      <c r="G36" s="85">
        <f>G33+G35</f>
        <v>410000</v>
      </c>
    </row>
    <row r="37" spans="1:7" ht="15.75">
      <c r="A37" s="23" t="str">
        <f>CONCATENATE("Possible Cash Violation for ",G1-2,":")</f>
        <v>Possible Cash Violation for 2008:</v>
      </c>
      <c r="B37" s="329" t="str">
        <f>IF(C34&lt;0,"Yes","No")</f>
        <v>No</v>
      </c>
      <c r="C37" s="329"/>
      <c r="D37" s="21"/>
      <c r="E37" s="476" t="s">
        <v>171</v>
      </c>
      <c r="F37" s="477"/>
      <c r="G37" s="259">
        <f>IF(G36-G23&gt;0,G36-G23,0)</f>
        <v>215000</v>
      </c>
    </row>
    <row r="38" spans="1:7" ht="15.75">
      <c r="A38" s="24"/>
      <c r="B38" s="24"/>
      <c r="C38" s="478" t="s">
        <v>79</v>
      </c>
      <c r="D38" s="479"/>
      <c r="E38" s="479"/>
      <c r="F38" s="228">
        <f>(inputOth!$E$46)</f>
        <v>0</v>
      </c>
      <c r="G38" s="85">
        <f>ROUND(IF(F38&gt;0,(G37*F38),0),0)</f>
        <v>0</v>
      </c>
    </row>
    <row r="39" spans="1:7" ht="15.75">
      <c r="A39" s="21"/>
      <c r="B39" s="21"/>
      <c r="C39" s="470" t="str">
        <f>CONCATENATE("Amount of  ",$G$1-1," Ad Valorem Tax")</f>
        <v>Amount of  2009 Ad Valorem Tax</v>
      </c>
      <c r="D39" s="471"/>
      <c r="E39" s="471"/>
      <c r="F39" s="472"/>
      <c r="G39" s="382">
        <f>G37+G38</f>
        <v>215000</v>
      </c>
    </row>
    <row r="40" spans="1:7" ht="15.75">
      <c r="A40" s="24"/>
      <c r="B40" s="24"/>
      <c r="C40" s="21"/>
      <c r="D40" s="21"/>
      <c r="E40" s="21"/>
      <c r="F40" s="21"/>
      <c r="G40" s="21"/>
    </row>
    <row r="41" spans="1:7" ht="15.75">
      <c r="A41" s="23"/>
      <c r="B41" s="23" t="s">
        <v>173</v>
      </c>
      <c r="C41" s="100">
        <v>8</v>
      </c>
      <c r="D41" s="380"/>
      <c r="E41" s="21"/>
      <c r="F41" s="21"/>
      <c r="G41" s="21"/>
    </row>
  </sheetData>
  <sheetProtection/>
  <mergeCells count="65">
    <mergeCell ref="C17:D17"/>
    <mergeCell ref="E19:F19"/>
    <mergeCell ref="E5:F5"/>
    <mergeCell ref="E6:F6"/>
    <mergeCell ref="E7:F7"/>
    <mergeCell ref="E8:F8"/>
    <mergeCell ref="C5:D5"/>
    <mergeCell ref="C6:D6"/>
    <mergeCell ref="C7:D7"/>
    <mergeCell ref="C8:D8"/>
    <mergeCell ref="C24:D24"/>
    <mergeCell ref="E21:F21"/>
    <mergeCell ref="E22:F22"/>
    <mergeCell ref="E23:F23"/>
    <mergeCell ref="E24:F24"/>
    <mergeCell ref="E20:F20"/>
    <mergeCell ref="E9:F9"/>
    <mergeCell ref="C21:D21"/>
    <mergeCell ref="C22:D22"/>
    <mergeCell ref="C23:D23"/>
    <mergeCell ref="C18:D18"/>
    <mergeCell ref="D35:F35"/>
    <mergeCell ref="C20:D20"/>
    <mergeCell ref="E10:F10"/>
    <mergeCell ref="E11:F11"/>
    <mergeCell ref="E12:F12"/>
    <mergeCell ref="E36:F36"/>
    <mergeCell ref="E37:F37"/>
    <mergeCell ref="C38:E38"/>
    <mergeCell ref="C32:D32"/>
    <mergeCell ref="C33:D33"/>
    <mergeCell ref="C34:D34"/>
    <mergeCell ref="E32:F32"/>
    <mergeCell ref="E33:F33"/>
    <mergeCell ref="E34:F34"/>
    <mergeCell ref="C39:F39"/>
    <mergeCell ref="C9:D9"/>
    <mergeCell ref="C10:D10"/>
    <mergeCell ref="C11:D11"/>
    <mergeCell ref="C12:D12"/>
    <mergeCell ref="C13:D13"/>
    <mergeCell ref="C14:D14"/>
    <mergeCell ref="C15:D15"/>
    <mergeCell ref="C16:D16"/>
    <mergeCell ref="E26:F26"/>
    <mergeCell ref="C28:D28"/>
    <mergeCell ref="C29:D29"/>
    <mergeCell ref="E13:F13"/>
    <mergeCell ref="E14:F14"/>
    <mergeCell ref="E15:F15"/>
    <mergeCell ref="E16:F16"/>
    <mergeCell ref="E18:F18"/>
    <mergeCell ref="C19:D19"/>
    <mergeCell ref="E28:F28"/>
    <mergeCell ref="E17:F17"/>
    <mergeCell ref="E29:F29"/>
    <mergeCell ref="E30:F30"/>
    <mergeCell ref="E31:F31"/>
    <mergeCell ref="C25:D25"/>
    <mergeCell ref="C26:D26"/>
    <mergeCell ref="C27:D27"/>
    <mergeCell ref="C30:D30"/>
    <mergeCell ref="C31:D31"/>
    <mergeCell ref="E25:F25"/>
    <mergeCell ref="E27:F27"/>
  </mergeCells>
  <conditionalFormatting sqref="C31:G31">
    <cfRule type="cellIs" priority="1" dxfId="271" operator="greaterThan" stopIfTrue="1">
      <formula>$G$33*0.1</formula>
    </cfRule>
  </conditionalFormatting>
  <conditionalFormatting sqref="G35">
    <cfRule type="cellIs" priority="2" dxfId="271" operator="greaterThan" stopIfTrue="1">
      <formula>$G$33/0.95-$G$33</formula>
    </cfRule>
  </conditionalFormatting>
  <conditionalFormatting sqref="E33:F33">
    <cfRule type="cellIs" priority="3" dxfId="0" operator="greaterThan" stopIfTrue="1">
      <formula>$C$35</formula>
    </cfRule>
  </conditionalFormatting>
  <conditionalFormatting sqref="C33:D33">
    <cfRule type="cellIs" priority="4" dxfId="0" operator="greaterThan" stopIfTrue="1">
      <formula>$B$35</formula>
    </cfRule>
  </conditionalFormatting>
  <conditionalFormatting sqref="C34:D34">
    <cfRule type="cellIs" priority="5" dxfId="0" operator="lessThan" stopIfTrue="1">
      <formula>0</formula>
    </cfRule>
  </conditionalFormatting>
  <conditionalFormatting sqref="E20:F20">
    <cfRule type="cellIs" priority="6" dxfId="0" operator="greaterThan" stopIfTrue="1">
      <formula>$E$22*0.1</formula>
    </cfRule>
  </conditionalFormatting>
  <conditionalFormatting sqref="C20:D20">
    <cfRule type="cellIs" priority="7" dxfId="0" operator="greaterThan" stopIfTrue="1">
      <formula>$C$22*0.1</formula>
    </cfRule>
  </conditionalFormatting>
  <conditionalFormatting sqref="G20">
    <cfRule type="cellIs" priority="8" dxfId="271" operator="greaterThan" stopIfTrue="1">
      <formula>$G$22*0.1+G39</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City</oddHeader>
    <oddFooter>&amp;Lrevised 8/21/08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63"/>
  <sheetViews>
    <sheetView zoomScalePageLayoutView="0" workbookViewId="0" topLeftCell="A49">
      <selection activeCell="C62" sqref="C62"/>
    </sheetView>
  </sheetViews>
  <sheetFormatPr defaultColWidth="8.796875" defaultRowHeight="15"/>
  <cols>
    <col min="1" max="1" width="28.796875" style="7" customWidth="1"/>
    <col min="2" max="2" width="9.59765625" style="7" customWidth="1"/>
    <col min="3" max="3" width="10.3984375" style="7" customWidth="1"/>
    <col min="4" max="4" width="5.796875" style="7" customWidth="1"/>
    <col min="5" max="5" width="9.69921875" style="7" customWidth="1"/>
    <col min="6" max="6" width="6.69921875" style="7" customWidth="1"/>
    <col min="7" max="7" width="16.19921875" style="7" customWidth="1"/>
    <col min="8" max="16384" width="8.8984375" style="7" customWidth="1"/>
  </cols>
  <sheetData>
    <row r="1" spans="1:7" ht="15.75">
      <c r="A1" s="72" t="str">
        <f>(inputPrYr!D2)</f>
        <v>City of Ellsworth</v>
      </c>
      <c r="B1" s="72"/>
      <c r="C1" s="21"/>
      <c r="D1" s="21"/>
      <c r="E1" s="21"/>
      <c r="F1" s="21"/>
      <c r="G1" s="138">
        <f>inputPrYr!C5</f>
        <v>2010</v>
      </c>
    </row>
    <row r="2" spans="1:7" ht="15.75">
      <c r="A2" s="21"/>
      <c r="B2" s="21"/>
      <c r="C2" s="21"/>
      <c r="D2" s="21"/>
      <c r="E2" s="21"/>
      <c r="F2" s="21"/>
      <c r="G2" s="24"/>
    </row>
    <row r="3" spans="1:7" ht="15.75">
      <c r="A3" s="90" t="s">
        <v>231</v>
      </c>
      <c r="B3" s="90"/>
      <c r="C3" s="94"/>
      <c r="D3" s="94"/>
      <c r="E3" s="94"/>
      <c r="F3" s="94"/>
      <c r="G3" s="95"/>
    </row>
    <row r="4" spans="1:7" ht="15.75">
      <c r="A4" s="21"/>
      <c r="B4" s="21"/>
      <c r="C4" s="96"/>
      <c r="D4" s="96"/>
      <c r="E4" s="96"/>
      <c r="F4" s="96"/>
      <c r="G4" s="96"/>
    </row>
    <row r="5" spans="1:7" ht="15.75">
      <c r="A5" s="25" t="s">
        <v>156</v>
      </c>
      <c r="B5" s="25"/>
      <c r="C5" s="492" t="s">
        <v>178</v>
      </c>
      <c r="D5" s="493"/>
      <c r="E5" s="488" t="s">
        <v>314</v>
      </c>
      <c r="F5" s="489"/>
      <c r="G5" s="33" t="s">
        <v>315</v>
      </c>
    </row>
    <row r="6" spans="1:7" ht="15.75">
      <c r="A6" s="137" t="str">
        <f>inputPrYr!B19</f>
        <v>Library</v>
      </c>
      <c r="B6" s="137"/>
      <c r="C6" s="490">
        <f>G1-2</f>
        <v>2008</v>
      </c>
      <c r="D6" s="491"/>
      <c r="E6" s="490">
        <f>G1-1</f>
        <v>2009</v>
      </c>
      <c r="F6" s="491"/>
      <c r="G6" s="144">
        <f>G1</f>
        <v>2010</v>
      </c>
    </row>
    <row r="7" spans="1:7" ht="15.75">
      <c r="A7" s="303" t="s">
        <v>287</v>
      </c>
      <c r="B7" s="309"/>
      <c r="C7" s="460">
        <v>0</v>
      </c>
      <c r="D7" s="461"/>
      <c r="E7" s="468">
        <f>C26</f>
        <v>2162</v>
      </c>
      <c r="F7" s="469"/>
      <c r="G7" s="85">
        <f>E26</f>
        <v>57</v>
      </c>
    </row>
    <row r="8" spans="1:7" ht="15.75">
      <c r="A8" s="308" t="s">
        <v>289</v>
      </c>
      <c r="B8" s="309"/>
      <c r="C8" s="464"/>
      <c r="D8" s="465"/>
      <c r="E8" s="464"/>
      <c r="F8" s="465"/>
      <c r="G8" s="40"/>
    </row>
    <row r="9" spans="1:7" ht="15.75">
      <c r="A9" s="37" t="s">
        <v>157</v>
      </c>
      <c r="B9" s="309"/>
      <c r="C9" s="460">
        <v>83175</v>
      </c>
      <c r="D9" s="461"/>
      <c r="E9" s="468">
        <v>82000</v>
      </c>
      <c r="F9" s="469"/>
      <c r="G9" s="97" t="s">
        <v>145</v>
      </c>
    </row>
    <row r="10" spans="1:7" ht="15.75">
      <c r="A10" s="37" t="s">
        <v>158</v>
      </c>
      <c r="B10" s="309"/>
      <c r="C10" s="460">
        <v>616</v>
      </c>
      <c r="D10" s="461"/>
      <c r="E10" s="460">
        <v>576</v>
      </c>
      <c r="F10" s="461"/>
      <c r="G10" s="9">
        <v>500</v>
      </c>
    </row>
    <row r="11" spans="1:7" ht="15.75">
      <c r="A11" s="37" t="s">
        <v>159</v>
      </c>
      <c r="B11" s="309"/>
      <c r="C11" s="460">
        <v>14938</v>
      </c>
      <c r="D11" s="461"/>
      <c r="E11" s="460">
        <v>14250</v>
      </c>
      <c r="F11" s="461"/>
      <c r="G11" s="85">
        <v>14500</v>
      </c>
    </row>
    <row r="12" spans="1:7" ht="15.75">
      <c r="A12" s="37" t="s">
        <v>160</v>
      </c>
      <c r="B12" s="309"/>
      <c r="C12" s="460">
        <v>255</v>
      </c>
      <c r="D12" s="461"/>
      <c r="E12" s="460">
        <v>150</v>
      </c>
      <c r="F12" s="461"/>
      <c r="G12" s="85">
        <v>200</v>
      </c>
    </row>
    <row r="13" spans="1:7" ht="15.75">
      <c r="A13" s="313" t="s">
        <v>264</v>
      </c>
      <c r="B13" s="309"/>
      <c r="C13" s="460">
        <v>69</v>
      </c>
      <c r="D13" s="461"/>
      <c r="E13" s="460">
        <v>109</v>
      </c>
      <c r="F13" s="461"/>
      <c r="G13" s="85">
        <v>110</v>
      </c>
    </row>
    <row r="14" spans="1:7" ht="15.75">
      <c r="A14" s="314" t="s">
        <v>331</v>
      </c>
      <c r="B14" s="309"/>
      <c r="C14" s="460">
        <v>25</v>
      </c>
      <c r="D14" s="461"/>
      <c r="E14" s="460">
        <v>0</v>
      </c>
      <c r="F14" s="461"/>
      <c r="G14" s="85">
        <v>0</v>
      </c>
    </row>
    <row r="15" spans="1:7" ht="15.75">
      <c r="A15" s="304" t="s">
        <v>162</v>
      </c>
      <c r="B15" s="310"/>
      <c r="C15" s="460">
        <v>0</v>
      </c>
      <c r="D15" s="461"/>
      <c r="E15" s="460">
        <v>0</v>
      </c>
      <c r="F15" s="461"/>
      <c r="G15" s="9">
        <v>0</v>
      </c>
    </row>
    <row r="16" spans="1:7" ht="15.75">
      <c r="A16" s="313" t="s">
        <v>26</v>
      </c>
      <c r="B16" s="309"/>
      <c r="C16" s="460">
        <v>0</v>
      </c>
      <c r="D16" s="461"/>
      <c r="E16" s="460">
        <v>0</v>
      </c>
      <c r="F16" s="461"/>
      <c r="G16" s="305">
        <v>0</v>
      </c>
    </row>
    <row r="17" spans="1:7" ht="15.75">
      <c r="A17" s="303" t="s">
        <v>28</v>
      </c>
      <c r="B17" s="309"/>
      <c r="C17" s="480">
        <f>IF(C18*0.1&lt;C16,"Exceed 10% Rule","")</f>
      </c>
      <c r="D17" s="481"/>
      <c r="E17" s="480">
        <f>IF(E18*0.1&lt;E16,"Exceed 10% Rule","")</f>
      </c>
      <c r="F17" s="481"/>
      <c r="G17" s="345">
        <f>IF(G18*0.1+G31&lt;G16,"Exceed 10% Rule","")</f>
      </c>
    </row>
    <row r="18" spans="1:7" ht="15.75">
      <c r="A18" s="150" t="s">
        <v>163</v>
      </c>
      <c r="B18" s="309"/>
      <c r="C18" s="486">
        <f>SUM(C9:C16)</f>
        <v>99078</v>
      </c>
      <c r="D18" s="487"/>
      <c r="E18" s="486">
        <f>SUM(E9:E16)</f>
        <v>97085</v>
      </c>
      <c r="F18" s="487"/>
      <c r="G18" s="260">
        <f>SUM(G9:G16)</f>
        <v>15310</v>
      </c>
    </row>
    <row r="19" spans="1:7" ht="15.75">
      <c r="A19" s="150" t="s">
        <v>164</v>
      </c>
      <c r="B19" s="309"/>
      <c r="C19" s="484">
        <f>C7+C18</f>
        <v>99078</v>
      </c>
      <c r="D19" s="485"/>
      <c r="E19" s="484">
        <f>E7+E18</f>
        <v>99247</v>
      </c>
      <c r="F19" s="485"/>
      <c r="G19" s="259">
        <f>G7+G18</f>
        <v>15367</v>
      </c>
    </row>
    <row r="20" spans="1:7" ht="15.75">
      <c r="A20" s="37" t="s">
        <v>166</v>
      </c>
      <c r="B20" s="309"/>
      <c r="C20" s="506"/>
      <c r="D20" s="507"/>
      <c r="E20" s="506"/>
      <c r="F20" s="507"/>
      <c r="G20" s="42"/>
    </row>
    <row r="21" spans="1:7" ht="15.75">
      <c r="A21" s="293" t="s">
        <v>517</v>
      </c>
      <c r="B21" s="310"/>
      <c r="C21" s="460">
        <v>96916</v>
      </c>
      <c r="D21" s="461"/>
      <c r="E21" s="460">
        <v>99190</v>
      </c>
      <c r="F21" s="461"/>
      <c r="G21" s="9">
        <v>98845</v>
      </c>
    </row>
    <row r="22" spans="1:7" ht="15.75">
      <c r="A22" s="311" t="s">
        <v>25</v>
      </c>
      <c r="B22" s="309"/>
      <c r="C22" s="460">
        <v>0</v>
      </c>
      <c r="D22" s="461"/>
      <c r="E22" s="460">
        <v>0</v>
      </c>
      <c r="F22" s="461"/>
      <c r="G22" s="259">
        <f>nhood!E8</f>
        <v>257</v>
      </c>
    </row>
    <row r="23" spans="1:7" ht="15.75">
      <c r="A23" s="311" t="s">
        <v>26</v>
      </c>
      <c r="B23" s="309"/>
      <c r="C23" s="460">
        <v>0</v>
      </c>
      <c r="D23" s="461"/>
      <c r="E23" s="460">
        <v>0</v>
      </c>
      <c r="F23" s="461"/>
      <c r="G23" s="305">
        <v>3220</v>
      </c>
    </row>
    <row r="24" spans="1:7" ht="15.75">
      <c r="A24" s="311" t="s">
        <v>27</v>
      </c>
      <c r="B24" s="309"/>
      <c r="C24" s="480">
        <f>IF(C25*0.1&lt;C23,"Exceed 10% Rule","")</f>
      </c>
      <c r="D24" s="481"/>
      <c r="E24" s="480">
        <f>IF(E25*0.1&lt;E23,"Exceed 10% Rule","")</f>
      </c>
      <c r="F24" s="481"/>
      <c r="G24" s="345">
        <f>IF(G25*0.1&lt;G23,"Exceed 10% Rule","")</f>
      </c>
    </row>
    <row r="25" spans="1:7" ht="15.75">
      <c r="A25" s="150" t="s">
        <v>170</v>
      </c>
      <c r="B25" s="309"/>
      <c r="C25" s="486">
        <f>SUM(C21:C23)</f>
        <v>96916</v>
      </c>
      <c r="D25" s="487"/>
      <c r="E25" s="486">
        <f>SUM(E21:E23)</f>
        <v>99190</v>
      </c>
      <c r="F25" s="487"/>
      <c r="G25" s="260">
        <f>SUM(G21:G23)</f>
        <v>102322</v>
      </c>
    </row>
    <row r="26" spans="1:7" ht="15.75">
      <c r="A26" s="37" t="s">
        <v>288</v>
      </c>
      <c r="B26" s="309"/>
      <c r="C26" s="484">
        <f>C19-C25</f>
        <v>2162</v>
      </c>
      <c r="D26" s="485"/>
      <c r="E26" s="484">
        <f>E19-E25</f>
        <v>57</v>
      </c>
      <c r="F26" s="485"/>
      <c r="G26" s="97" t="s">
        <v>145</v>
      </c>
    </row>
    <row r="27" spans="1:8" ht="15.75">
      <c r="A27" s="23" t="str">
        <f>CONCATENATE("",G1-2,"/",G1-1," Budget Authority Amount:")</f>
        <v>2008/2009 Budget Authority Amount:</v>
      </c>
      <c r="B27" s="328">
        <f>inputOth!B61</f>
        <v>100919</v>
      </c>
      <c r="C27" s="328">
        <f>inputPrYr!D19</f>
        <v>102290</v>
      </c>
      <c r="D27" s="473" t="s">
        <v>77</v>
      </c>
      <c r="E27" s="474"/>
      <c r="F27" s="475"/>
      <c r="G27" s="9"/>
      <c r="H27" s="288">
        <f>IF(G25/0.95-G25&lt;G27,"Exceeds 5%","")</f>
      </c>
    </row>
    <row r="28" spans="1:7" ht="15.75">
      <c r="A28" s="23" t="str">
        <f>CONCATENATE("Violation of Budget Law for ",G1-2,"/",G1-1,":")</f>
        <v>Violation of Budget Law for 2008/2009:</v>
      </c>
      <c r="B28" s="329" t="str">
        <f>IF(C25&gt;B27,"Yes","No")</f>
        <v>No</v>
      </c>
      <c r="C28" s="329" t="str">
        <f>IF(E25&gt;C27,"Yes","No")</f>
        <v>No</v>
      </c>
      <c r="D28" s="21"/>
      <c r="E28" s="476" t="s">
        <v>78</v>
      </c>
      <c r="F28" s="477"/>
      <c r="G28" s="85">
        <f>G25+G27</f>
        <v>102322</v>
      </c>
    </row>
    <row r="29" spans="1:7" ht="15.75">
      <c r="A29" s="23" t="str">
        <f>CONCATENATE("Possible Cash Violation for ",G1-2,":")</f>
        <v>Possible Cash Violation for 2008:</v>
      </c>
      <c r="B29" s="329" t="str">
        <f>IF(C26&lt;0,"Yes","No")</f>
        <v>No</v>
      </c>
      <c r="C29" s="329"/>
      <c r="D29" s="21"/>
      <c r="E29" s="476" t="s">
        <v>171</v>
      </c>
      <c r="F29" s="477"/>
      <c r="G29" s="259">
        <f>IF(G28-G19&gt;0,G28-G19,0)</f>
        <v>86955</v>
      </c>
    </row>
    <row r="30" spans="1:7" ht="15.75">
      <c r="A30" s="24"/>
      <c r="B30" s="24"/>
      <c r="C30" s="478" t="s">
        <v>79</v>
      </c>
      <c r="D30" s="479"/>
      <c r="E30" s="479"/>
      <c r="F30" s="228">
        <f>(inputOth!$E$46)</f>
        <v>0</v>
      </c>
      <c r="G30" s="85">
        <f>ROUND(IF(F30&gt;0,(G29*F30),0),0)</f>
        <v>0</v>
      </c>
    </row>
    <row r="31" spans="1:7" ht="15.75">
      <c r="A31" s="24"/>
      <c r="B31" s="24"/>
      <c r="C31" s="470" t="str">
        <f>CONCATENATE("Amount of  ",$G$1-1," Ad Valorem Tax")</f>
        <v>Amount of  2009 Ad Valorem Tax</v>
      </c>
      <c r="D31" s="471"/>
      <c r="E31" s="471"/>
      <c r="F31" s="472"/>
      <c r="G31" s="384">
        <f>G29+G30</f>
        <v>86955</v>
      </c>
    </row>
    <row r="32" spans="1:7" ht="15.75">
      <c r="A32" s="21"/>
      <c r="B32" s="21"/>
      <c r="C32" s="470"/>
      <c r="D32" s="470"/>
      <c r="E32" s="508"/>
      <c r="F32" s="383"/>
      <c r="G32" s="105"/>
    </row>
    <row r="33" spans="1:7" ht="15.75">
      <c r="A33" s="25" t="s">
        <v>156</v>
      </c>
      <c r="B33" s="25"/>
      <c r="C33" s="96"/>
      <c r="D33" s="96"/>
      <c r="E33" s="96"/>
      <c r="F33" s="96"/>
      <c r="G33" s="96"/>
    </row>
    <row r="34" spans="1:7" ht="15.75">
      <c r="A34" s="21"/>
      <c r="B34" s="21"/>
      <c r="C34" s="492" t="s">
        <v>178</v>
      </c>
      <c r="D34" s="493"/>
      <c r="E34" s="488" t="s">
        <v>314</v>
      </c>
      <c r="F34" s="489"/>
      <c r="G34" s="33" t="s">
        <v>315</v>
      </c>
    </row>
    <row r="35" spans="1:7" ht="15.75">
      <c r="A35" s="137" t="str">
        <f>(inputPrYr!B20)</f>
        <v>Fire/Police Equipment</v>
      </c>
      <c r="B35" s="137"/>
      <c r="C35" s="490">
        <f>G1-2</f>
        <v>2008</v>
      </c>
      <c r="D35" s="491"/>
      <c r="E35" s="490">
        <f>G1-1</f>
        <v>2009</v>
      </c>
      <c r="F35" s="491"/>
      <c r="G35" s="144">
        <f>G1</f>
        <v>2010</v>
      </c>
    </row>
    <row r="36" spans="1:7" ht="15.75">
      <c r="A36" s="303" t="s">
        <v>287</v>
      </c>
      <c r="B36" s="309"/>
      <c r="C36" s="460">
        <v>1177</v>
      </c>
      <c r="D36" s="461"/>
      <c r="E36" s="468">
        <f>C56</f>
        <v>3171</v>
      </c>
      <c r="F36" s="469"/>
      <c r="G36" s="85">
        <f>E56</f>
        <v>0</v>
      </c>
    </row>
    <row r="37" spans="1:7" ht="15.75">
      <c r="A37" s="308" t="s">
        <v>289</v>
      </c>
      <c r="B37" s="309"/>
      <c r="C37" s="464"/>
      <c r="D37" s="465"/>
      <c r="E37" s="464"/>
      <c r="F37" s="465"/>
      <c r="G37" s="40"/>
    </row>
    <row r="38" spans="1:7" ht="15.75">
      <c r="A38" s="37" t="s">
        <v>157</v>
      </c>
      <c r="B38" s="309"/>
      <c r="C38" s="460">
        <v>22431</v>
      </c>
      <c r="D38" s="461"/>
      <c r="E38" s="468">
        <v>9864</v>
      </c>
      <c r="F38" s="469"/>
      <c r="G38" s="97" t="s">
        <v>145</v>
      </c>
    </row>
    <row r="39" spans="1:7" ht="15.75">
      <c r="A39" s="37" t="s">
        <v>158</v>
      </c>
      <c r="B39" s="309"/>
      <c r="C39" s="460">
        <v>155</v>
      </c>
      <c r="D39" s="461"/>
      <c r="E39" s="460">
        <v>147</v>
      </c>
      <c r="F39" s="461"/>
      <c r="G39" s="9">
        <v>0</v>
      </c>
    </row>
    <row r="40" spans="1:7" ht="15.75">
      <c r="A40" s="37" t="s">
        <v>159</v>
      </c>
      <c r="B40" s="309"/>
      <c r="C40" s="460">
        <v>3853</v>
      </c>
      <c r="D40" s="461"/>
      <c r="E40" s="460">
        <v>3250</v>
      </c>
      <c r="F40" s="461"/>
      <c r="G40" s="85">
        <v>2750</v>
      </c>
    </row>
    <row r="41" spans="1:7" ht="15.75">
      <c r="A41" s="37" t="s">
        <v>160</v>
      </c>
      <c r="B41" s="309"/>
      <c r="C41" s="460">
        <v>66</v>
      </c>
      <c r="D41" s="461"/>
      <c r="E41" s="460">
        <v>60</v>
      </c>
      <c r="F41" s="461"/>
      <c r="G41" s="85">
        <v>60</v>
      </c>
    </row>
    <row r="42" spans="1:7" ht="15.75">
      <c r="A42" s="313" t="s">
        <v>264</v>
      </c>
      <c r="B42" s="309"/>
      <c r="C42" s="460">
        <v>15</v>
      </c>
      <c r="D42" s="461"/>
      <c r="E42" s="460">
        <v>28</v>
      </c>
      <c r="F42" s="461"/>
      <c r="G42" s="85">
        <v>25</v>
      </c>
    </row>
    <row r="43" spans="1:7" ht="15.75">
      <c r="A43" s="314" t="s">
        <v>331</v>
      </c>
      <c r="B43" s="309"/>
      <c r="C43" s="460">
        <v>7</v>
      </c>
      <c r="D43" s="461"/>
      <c r="E43" s="460">
        <v>0</v>
      </c>
      <c r="F43" s="461"/>
      <c r="G43" s="85">
        <v>0</v>
      </c>
    </row>
    <row r="44" spans="1:7" ht="15.75">
      <c r="A44" s="304" t="s">
        <v>162</v>
      </c>
      <c r="B44" s="310"/>
      <c r="C44" s="460">
        <v>212</v>
      </c>
      <c r="D44" s="461"/>
      <c r="E44" s="460">
        <v>85</v>
      </c>
      <c r="F44" s="461"/>
      <c r="G44" s="9">
        <v>85</v>
      </c>
    </row>
    <row r="45" spans="1:7" ht="15.75">
      <c r="A45" s="313" t="s">
        <v>26</v>
      </c>
      <c r="B45" s="309"/>
      <c r="C45" s="460">
        <v>0</v>
      </c>
      <c r="D45" s="461"/>
      <c r="E45" s="460">
        <v>0</v>
      </c>
      <c r="F45" s="461"/>
      <c r="G45" s="305">
        <v>0</v>
      </c>
    </row>
    <row r="46" spans="1:7" ht="15.75">
      <c r="A46" s="303" t="s">
        <v>28</v>
      </c>
      <c r="B46" s="309"/>
      <c r="C46" s="480">
        <f>IF(C47*0.1&lt;C45,"Exceed 10% Rule","")</f>
      </c>
      <c r="D46" s="481"/>
      <c r="E46" s="480">
        <f>IF(E47*0.1&lt;E45,"Exceed 10% Rule","")</f>
      </c>
      <c r="F46" s="481"/>
      <c r="G46" s="345">
        <f>IF(G47*0.1+G61&lt;G45,"Exceed 10% Rule","")</f>
      </c>
    </row>
    <row r="47" spans="1:7" ht="15.75">
      <c r="A47" s="150" t="s">
        <v>163</v>
      </c>
      <c r="B47" s="309"/>
      <c r="C47" s="486">
        <f>SUM(C38:C45)</f>
        <v>26739</v>
      </c>
      <c r="D47" s="487"/>
      <c r="E47" s="486">
        <f>SUM(E38:E45)</f>
        <v>13434</v>
      </c>
      <c r="F47" s="487"/>
      <c r="G47" s="260">
        <f>SUM(G38:G45)</f>
        <v>2920</v>
      </c>
    </row>
    <row r="48" spans="1:7" ht="15.75">
      <c r="A48" s="150" t="s">
        <v>164</v>
      </c>
      <c r="B48" s="309"/>
      <c r="C48" s="486">
        <f>C36+C47</f>
        <v>27916</v>
      </c>
      <c r="D48" s="487"/>
      <c r="E48" s="486">
        <f>E36+E47</f>
        <v>16605</v>
      </c>
      <c r="F48" s="487"/>
      <c r="G48" s="260">
        <f>G36+G47</f>
        <v>2920</v>
      </c>
    </row>
    <row r="49" spans="1:7" ht="15.75">
      <c r="A49" s="37" t="s">
        <v>166</v>
      </c>
      <c r="B49" s="309"/>
      <c r="C49" s="506"/>
      <c r="D49" s="507"/>
      <c r="E49" s="506"/>
      <c r="F49" s="507"/>
      <c r="G49" s="42"/>
    </row>
    <row r="50" spans="1:7" ht="15.75">
      <c r="A50" s="293" t="s">
        <v>518</v>
      </c>
      <c r="B50" s="310"/>
      <c r="C50" s="460">
        <v>9440</v>
      </c>
      <c r="D50" s="461"/>
      <c r="E50" s="460">
        <v>0</v>
      </c>
      <c r="F50" s="461"/>
      <c r="G50" s="9">
        <v>0</v>
      </c>
    </row>
    <row r="51" spans="1:7" ht="15.75">
      <c r="A51" s="293" t="s">
        <v>519</v>
      </c>
      <c r="B51" s="310"/>
      <c r="C51" s="460">
        <v>15305</v>
      </c>
      <c r="D51" s="461"/>
      <c r="E51" s="460">
        <v>16605</v>
      </c>
      <c r="F51" s="461"/>
      <c r="G51" s="9">
        <v>17457</v>
      </c>
    </row>
    <row r="52" spans="1:7" ht="15.75">
      <c r="A52" s="311" t="s">
        <v>25</v>
      </c>
      <c r="B52" s="309"/>
      <c r="C52" s="460"/>
      <c r="D52" s="461"/>
      <c r="E52" s="460"/>
      <c r="F52" s="461"/>
      <c r="G52" s="259">
        <f>nhood!E9</f>
        <v>43</v>
      </c>
    </row>
    <row r="53" spans="1:7" ht="15.75">
      <c r="A53" s="311" t="s">
        <v>26</v>
      </c>
      <c r="B53" s="309"/>
      <c r="C53" s="460"/>
      <c r="D53" s="461"/>
      <c r="E53" s="460"/>
      <c r="F53" s="461"/>
      <c r="G53" s="305"/>
    </row>
    <row r="54" spans="1:7" ht="15.75">
      <c r="A54" s="311" t="s">
        <v>27</v>
      </c>
      <c r="B54" s="309"/>
      <c r="C54" s="480">
        <f>IF(C55*0.1&lt;C53,"Exceed 10% Rule","")</f>
      </c>
      <c r="D54" s="481"/>
      <c r="E54" s="480">
        <f>IF(E55*0.1&lt;E53,"Exceed 10% Rule","")</f>
      </c>
      <c r="F54" s="481"/>
      <c r="G54" s="345">
        <f>IF(G55*0.1&lt;G53,"Exceed 10% Rule","")</f>
      </c>
    </row>
    <row r="55" spans="1:7" ht="15.75">
      <c r="A55" s="150" t="s">
        <v>170</v>
      </c>
      <c r="B55" s="309"/>
      <c r="C55" s="486">
        <f>SUM(C50:C53)</f>
        <v>24745</v>
      </c>
      <c r="D55" s="487"/>
      <c r="E55" s="486">
        <f>SUM(E50:E53)</f>
        <v>16605</v>
      </c>
      <c r="F55" s="487"/>
      <c r="G55" s="260">
        <f>SUM(G50:G53)</f>
        <v>17500</v>
      </c>
    </row>
    <row r="56" spans="1:7" ht="15.75">
      <c r="A56" s="37" t="s">
        <v>288</v>
      </c>
      <c r="B56" s="309"/>
      <c r="C56" s="484">
        <f>C48-C55</f>
        <v>3171</v>
      </c>
      <c r="D56" s="485"/>
      <c r="E56" s="484">
        <f>E48-E55</f>
        <v>0</v>
      </c>
      <c r="F56" s="485"/>
      <c r="G56" s="97" t="s">
        <v>145</v>
      </c>
    </row>
    <row r="57" spans="1:8" ht="15.75">
      <c r="A57" s="23" t="str">
        <f>CONCATENATE("",G1-2,"/",G1-1," Budget Authority Amount:")</f>
        <v>2008/2009 Budget Authority Amount:</v>
      </c>
      <c r="B57" s="328">
        <f>inputOth!B62</f>
        <v>28007</v>
      </c>
      <c r="C57" s="328">
        <f>inputPrYr!D20</f>
        <v>17350</v>
      </c>
      <c r="D57" s="473" t="s">
        <v>77</v>
      </c>
      <c r="E57" s="474"/>
      <c r="F57" s="475"/>
      <c r="G57" s="9"/>
      <c r="H57" s="288">
        <f>IF(G55/0.95-G55&lt;G57,"Exceeds 5%","")</f>
      </c>
    </row>
    <row r="58" spans="1:7" ht="15.75">
      <c r="A58" s="23" t="str">
        <f>CONCATENATE("Violation of Budget Law for ",G1-2,"/",G1-1,":")</f>
        <v>Violation of Budget Law for 2008/2009:</v>
      </c>
      <c r="B58" s="329" t="str">
        <f>IF(C55&gt;B57,"Yes","No")</f>
        <v>No</v>
      </c>
      <c r="C58" s="329" t="str">
        <f>IF(E55&gt;C57,"Yes","No")</f>
        <v>No</v>
      </c>
      <c r="D58" s="21"/>
      <c r="E58" s="476" t="s">
        <v>78</v>
      </c>
      <c r="F58" s="477"/>
      <c r="G58" s="85">
        <f>G55+G57</f>
        <v>17500</v>
      </c>
    </row>
    <row r="59" spans="1:7" ht="15.75">
      <c r="A59" s="23" t="str">
        <f>CONCATENATE("Possible Cash Violation for ",G1-2,":")</f>
        <v>Possible Cash Violation for 2008:</v>
      </c>
      <c r="B59" s="329" t="str">
        <f>IF(C56&lt;0,"Yes","No")</f>
        <v>No</v>
      </c>
      <c r="C59" s="329"/>
      <c r="D59" s="21"/>
      <c r="E59" s="476" t="s">
        <v>171</v>
      </c>
      <c r="F59" s="477"/>
      <c r="G59" s="259">
        <f>IF(G58-G48&gt;0,G58-G48,0)</f>
        <v>14580</v>
      </c>
    </row>
    <row r="60" spans="1:7" ht="15.75">
      <c r="A60" s="24"/>
      <c r="B60" s="24"/>
      <c r="C60" s="478" t="s">
        <v>79</v>
      </c>
      <c r="D60" s="479"/>
      <c r="E60" s="479"/>
      <c r="F60" s="228">
        <f>(inputOth!$E$46)</f>
        <v>0</v>
      </c>
      <c r="G60" s="85">
        <f>ROUND(IF(F60&gt;0,(G59*F60),0),0)</f>
        <v>0</v>
      </c>
    </row>
    <row r="61" spans="1:7" ht="15.75">
      <c r="A61" s="21"/>
      <c r="B61" s="21"/>
      <c r="C61" s="470" t="str">
        <f>CONCATENATE("Amount of  ",$G$1-1," Ad Valorem Tax")</f>
        <v>Amount of  2009 Ad Valorem Tax</v>
      </c>
      <c r="D61" s="471"/>
      <c r="E61" s="471"/>
      <c r="F61" s="472"/>
      <c r="G61" s="384">
        <f>G59+G60</f>
        <v>14580</v>
      </c>
    </row>
    <row r="62" spans="1:7" ht="15.75">
      <c r="A62" s="24"/>
      <c r="B62" s="24" t="s">
        <v>173</v>
      </c>
      <c r="C62" s="100">
        <v>9</v>
      </c>
      <c r="D62" s="136"/>
      <c r="E62" s="21"/>
      <c r="F62" s="21"/>
      <c r="G62" s="21"/>
    </row>
    <row r="63" spans="1:2" ht="15.75">
      <c r="A63" s="2"/>
      <c r="B63" s="2"/>
    </row>
  </sheetData>
  <sheetProtection/>
  <mergeCells count="101">
    <mergeCell ref="E6:F6"/>
    <mergeCell ref="E7:F7"/>
    <mergeCell ref="C17:D17"/>
    <mergeCell ref="C18:D18"/>
    <mergeCell ref="C9:D9"/>
    <mergeCell ref="C10:D10"/>
    <mergeCell ref="C11:D11"/>
    <mergeCell ref="C12:D12"/>
    <mergeCell ref="C16:D16"/>
    <mergeCell ref="E10:F10"/>
    <mergeCell ref="C32:E32"/>
    <mergeCell ref="C5:D5"/>
    <mergeCell ref="C6:D6"/>
    <mergeCell ref="C7:D7"/>
    <mergeCell ref="C8:D8"/>
    <mergeCell ref="E5:F5"/>
    <mergeCell ref="C24:D24"/>
    <mergeCell ref="C15:D15"/>
    <mergeCell ref="E11:F11"/>
    <mergeCell ref="C13:D13"/>
    <mergeCell ref="C14:D14"/>
    <mergeCell ref="E18:F18"/>
    <mergeCell ref="E24:F24"/>
    <mergeCell ref="E25:F25"/>
    <mergeCell ref="E12:F12"/>
    <mergeCell ref="E13:F13"/>
    <mergeCell ref="C19:D19"/>
    <mergeCell ref="E23:F23"/>
    <mergeCell ref="C20:D20"/>
    <mergeCell ref="E17:F17"/>
    <mergeCell ref="E26:F26"/>
    <mergeCell ref="E20:F20"/>
    <mergeCell ref="E8:F8"/>
    <mergeCell ref="E9:F9"/>
    <mergeCell ref="E19:F19"/>
    <mergeCell ref="E15:F15"/>
    <mergeCell ref="E16:F16"/>
    <mergeCell ref="E21:F21"/>
    <mergeCell ref="E14:F14"/>
    <mergeCell ref="E22:F22"/>
    <mergeCell ref="E36:F36"/>
    <mergeCell ref="E37:F37"/>
    <mergeCell ref="C34:D34"/>
    <mergeCell ref="C35:D35"/>
    <mergeCell ref="E34:F34"/>
    <mergeCell ref="E35:F35"/>
    <mergeCell ref="C54:D54"/>
    <mergeCell ref="C55:D55"/>
    <mergeCell ref="C56:D56"/>
    <mergeCell ref="E54:F54"/>
    <mergeCell ref="E55:F55"/>
    <mergeCell ref="E56:F56"/>
    <mergeCell ref="C21:D21"/>
    <mergeCell ref="C41:D41"/>
    <mergeCell ref="C42:D42"/>
    <mergeCell ref="C43:D43"/>
    <mergeCell ref="C22:D22"/>
    <mergeCell ref="C23:D23"/>
    <mergeCell ref="C36:D36"/>
    <mergeCell ref="C37:D37"/>
    <mergeCell ref="C25:D25"/>
    <mergeCell ref="C26:D26"/>
    <mergeCell ref="E42:F42"/>
    <mergeCell ref="E43:F43"/>
    <mergeCell ref="C48:D48"/>
    <mergeCell ref="C46:D46"/>
    <mergeCell ref="C47:D47"/>
    <mergeCell ref="C44:D44"/>
    <mergeCell ref="C45:D45"/>
    <mergeCell ref="E44:F44"/>
    <mergeCell ref="E45:F45"/>
    <mergeCell ref="D27:F27"/>
    <mergeCell ref="E28:F28"/>
    <mergeCell ref="E29:F29"/>
    <mergeCell ref="E39:F39"/>
    <mergeCell ref="E40:F40"/>
    <mergeCell ref="E41:F41"/>
    <mergeCell ref="E38:F38"/>
    <mergeCell ref="C38:D38"/>
    <mergeCell ref="C39:D39"/>
    <mergeCell ref="C40:D40"/>
    <mergeCell ref="C53:D53"/>
    <mergeCell ref="E50:F50"/>
    <mergeCell ref="E51:F51"/>
    <mergeCell ref="E52:F52"/>
    <mergeCell ref="C49:D49"/>
    <mergeCell ref="E46:F46"/>
    <mergeCell ref="E47:F47"/>
    <mergeCell ref="C52:D52"/>
    <mergeCell ref="C50:D50"/>
    <mergeCell ref="C51:D51"/>
    <mergeCell ref="C61:F61"/>
    <mergeCell ref="C30:E30"/>
    <mergeCell ref="C31:F31"/>
    <mergeCell ref="D57:F57"/>
    <mergeCell ref="E58:F58"/>
    <mergeCell ref="E59:F59"/>
    <mergeCell ref="C60:E60"/>
    <mergeCell ref="E48:F48"/>
    <mergeCell ref="E49:F49"/>
    <mergeCell ref="E53:F53"/>
  </mergeCells>
  <conditionalFormatting sqref="G53">
    <cfRule type="cellIs" priority="1" dxfId="271" operator="greaterThan" stopIfTrue="1">
      <formula>$G$55*0.1</formula>
    </cfRule>
  </conditionalFormatting>
  <conditionalFormatting sqref="G57">
    <cfRule type="cellIs" priority="2" dxfId="271" operator="greaterThan" stopIfTrue="1">
      <formula>$G$55/0.95-$G$55</formula>
    </cfRule>
  </conditionalFormatting>
  <conditionalFormatting sqref="G23">
    <cfRule type="cellIs" priority="3" dxfId="271" operator="greaterThan" stopIfTrue="1">
      <formula>$G$25*0.1</formula>
    </cfRule>
  </conditionalFormatting>
  <conditionalFormatting sqref="G27">
    <cfRule type="cellIs" priority="4" dxfId="271" operator="greaterThan" stopIfTrue="1">
      <formula>$G$25/0.95-$G$25</formula>
    </cfRule>
  </conditionalFormatting>
  <conditionalFormatting sqref="C23:D23">
    <cfRule type="cellIs" priority="5" dxfId="0" operator="greaterThan" stopIfTrue="1">
      <formula>$C$25*0.1</formula>
    </cfRule>
  </conditionalFormatting>
  <conditionalFormatting sqref="E23:F23">
    <cfRule type="cellIs" priority="6" dxfId="0" operator="greaterThan" stopIfTrue="1">
      <formula>$E$25*0.1</formula>
    </cfRule>
  </conditionalFormatting>
  <conditionalFormatting sqref="E25:F25">
    <cfRule type="cellIs" priority="7" dxfId="0" operator="greaterThan" stopIfTrue="1">
      <formula>$C$27</formula>
    </cfRule>
  </conditionalFormatting>
  <conditionalFormatting sqref="C25:D25">
    <cfRule type="cellIs" priority="8" dxfId="0" operator="greaterThan" stopIfTrue="1">
      <formula>$B$27</formula>
    </cfRule>
  </conditionalFormatting>
  <conditionalFormatting sqref="C56:D56 C26:D26">
    <cfRule type="cellIs" priority="9" dxfId="0" operator="lessThan" stopIfTrue="1">
      <formula>0</formula>
    </cfRule>
  </conditionalFormatting>
  <conditionalFormatting sqref="C53:D53">
    <cfRule type="cellIs" priority="10" dxfId="0" operator="greaterThan" stopIfTrue="1">
      <formula>$C$55*0.1</formula>
    </cfRule>
  </conditionalFormatting>
  <conditionalFormatting sqref="E53:F53">
    <cfRule type="cellIs" priority="11" dxfId="0" operator="greaterThan" stopIfTrue="1">
      <formula>$E$55*0.1</formula>
    </cfRule>
  </conditionalFormatting>
  <conditionalFormatting sqref="E55:F55">
    <cfRule type="cellIs" priority="12" dxfId="0" operator="greaterThan" stopIfTrue="1">
      <formula>$C$57</formula>
    </cfRule>
  </conditionalFormatting>
  <conditionalFormatting sqref="C55:D55">
    <cfRule type="cellIs" priority="13" dxfId="0" operator="greaterThan" stopIfTrue="1">
      <formula>$B$57</formula>
    </cfRule>
  </conditionalFormatting>
  <conditionalFormatting sqref="E16:F16">
    <cfRule type="cellIs" priority="14" dxfId="0" operator="greaterThan" stopIfTrue="1">
      <formula>$E$18*0.1</formula>
    </cfRule>
  </conditionalFormatting>
  <conditionalFormatting sqref="C16:D16">
    <cfRule type="cellIs" priority="15" dxfId="0" operator="greaterThan" stopIfTrue="1">
      <formula>$C$18*0.1</formula>
    </cfRule>
  </conditionalFormatting>
  <conditionalFormatting sqref="E45:F45">
    <cfRule type="cellIs" priority="16" dxfId="0" operator="greaterThan" stopIfTrue="1">
      <formula>$E$47*0.1</formula>
    </cfRule>
  </conditionalFormatting>
  <conditionalFormatting sqref="C45:D45">
    <cfRule type="cellIs" priority="17" dxfId="0" operator="greaterThan" stopIfTrue="1">
      <formula>$C$47*0.1</formula>
    </cfRule>
  </conditionalFormatting>
  <conditionalFormatting sqref="G16">
    <cfRule type="cellIs" priority="18" dxfId="271" operator="greaterThan" stopIfTrue="1">
      <formula>$G$18*0.1+G31</formula>
    </cfRule>
  </conditionalFormatting>
  <conditionalFormatting sqref="G45">
    <cfRule type="cellIs" priority="19" dxfId="271" operator="greaterThan" stopIfTrue="1">
      <formula>$G$47*0.1+G61</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oddHeader>
    <oddFooter>&amp;Lrevised 8/21/08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B1">
      <selection activeCell="C74" sqref="C74"/>
    </sheetView>
  </sheetViews>
  <sheetFormatPr defaultColWidth="8.796875" defaultRowHeight="15"/>
  <cols>
    <col min="1" max="1" width="28.796875" style="7" customWidth="1"/>
    <col min="2" max="2" width="9.59765625" style="7" customWidth="1"/>
    <col min="3" max="3" width="10.3984375" style="7" customWidth="1"/>
    <col min="4" max="4" width="5.796875" style="7" customWidth="1"/>
    <col min="5" max="5" width="9.69921875" style="7" customWidth="1"/>
    <col min="6" max="6" width="6.69921875" style="7" customWidth="1"/>
    <col min="7" max="7" width="16.296875" style="7" customWidth="1"/>
    <col min="8" max="16384" width="8.8984375" style="7" customWidth="1"/>
  </cols>
  <sheetData>
    <row r="1" spans="1:7" ht="15.75">
      <c r="A1" s="72" t="str">
        <f>(inputPrYr!D2)</f>
        <v>City of Ellsworth</v>
      </c>
      <c r="B1" s="72"/>
      <c r="C1" s="21"/>
      <c r="D1" s="21"/>
      <c r="E1" s="21"/>
      <c r="F1" s="21"/>
      <c r="G1" s="138">
        <f>inputPrYr!C5</f>
        <v>2010</v>
      </c>
    </row>
    <row r="2" spans="1:7" ht="15.75">
      <c r="A2" s="21"/>
      <c r="B2" s="21"/>
      <c r="C2" s="21"/>
      <c r="D2" s="21"/>
      <c r="E2" s="21"/>
      <c r="F2" s="21"/>
      <c r="G2" s="24"/>
    </row>
    <row r="3" spans="1:7" ht="15.75">
      <c r="A3" s="90" t="s">
        <v>231</v>
      </c>
      <c r="B3" s="90"/>
      <c r="C3" s="94"/>
      <c r="D3" s="94"/>
      <c r="E3" s="94"/>
      <c r="F3" s="94"/>
      <c r="G3" s="95"/>
    </row>
    <row r="4" spans="1:7" ht="15.75">
      <c r="A4" s="21"/>
      <c r="B4" s="21"/>
      <c r="C4" s="96"/>
      <c r="D4" s="96"/>
      <c r="E4" s="96"/>
      <c r="F4" s="96"/>
      <c r="G4" s="96"/>
    </row>
    <row r="5" spans="1:7" ht="15.75">
      <c r="A5" s="25" t="s">
        <v>156</v>
      </c>
      <c r="B5" s="25"/>
      <c r="C5" s="492" t="s">
        <v>178</v>
      </c>
      <c r="D5" s="493"/>
      <c r="E5" s="488" t="s">
        <v>314</v>
      </c>
      <c r="F5" s="489"/>
      <c r="G5" s="33" t="s">
        <v>315</v>
      </c>
    </row>
    <row r="6" spans="1:7" ht="15.75">
      <c r="A6" s="137">
        <f>inputPrYr!B21</f>
        <v>0</v>
      </c>
      <c r="B6" s="137"/>
      <c r="C6" s="490">
        <f>G1-2</f>
        <v>2008</v>
      </c>
      <c r="D6" s="491"/>
      <c r="E6" s="490">
        <f>G1-1</f>
        <v>2009</v>
      </c>
      <c r="F6" s="491"/>
      <c r="G6" s="144">
        <f>G1</f>
        <v>2010</v>
      </c>
    </row>
    <row r="7" spans="1:7" ht="15.75">
      <c r="A7" s="303" t="s">
        <v>287</v>
      </c>
      <c r="B7" s="309"/>
      <c r="C7" s="460"/>
      <c r="D7" s="461"/>
      <c r="E7" s="468">
        <f>C32</f>
        <v>0</v>
      </c>
      <c r="F7" s="469"/>
      <c r="G7" s="85">
        <f>E32</f>
        <v>0</v>
      </c>
    </row>
    <row r="8" spans="1:7" ht="15.75">
      <c r="A8" s="308" t="s">
        <v>289</v>
      </c>
      <c r="B8" s="309"/>
      <c r="C8" s="468"/>
      <c r="D8" s="469"/>
      <c r="E8" s="468"/>
      <c r="F8" s="469"/>
      <c r="G8" s="85"/>
    </row>
    <row r="9" spans="1:7" ht="15.75">
      <c r="A9" s="37" t="s">
        <v>157</v>
      </c>
      <c r="B9" s="309"/>
      <c r="C9" s="460"/>
      <c r="D9" s="461"/>
      <c r="E9" s="468">
        <f>inputPrYr!E21</f>
        <v>0</v>
      </c>
      <c r="F9" s="469"/>
      <c r="G9" s="97" t="s">
        <v>145</v>
      </c>
    </row>
    <row r="10" spans="1:7" ht="15.75">
      <c r="A10" s="37" t="s">
        <v>158</v>
      </c>
      <c r="B10" s="309"/>
      <c r="C10" s="460"/>
      <c r="D10" s="461"/>
      <c r="E10" s="460"/>
      <c r="F10" s="461"/>
      <c r="G10" s="9"/>
    </row>
    <row r="11" spans="1:7" ht="15.75">
      <c r="A11" s="37" t="s">
        <v>159</v>
      </c>
      <c r="B11" s="309"/>
      <c r="C11" s="460"/>
      <c r="D11" s="461"/>
      <c r="E11" s="460"/>
      <c r="F11" s="461"/>
      <c r="G11" s="85" t="str">
        <f>mvalloc!C11</f>
        <v>  </v>
      </c>
    </row>
    <row r="12" spans="1:7" ht="15.75">
      <c r="A12" s="37" t="s">
        <v>160</v>
      </c>
      <c r="B12" s="309"/>
      <c r="C12" s="460"/>
      <c r="D12" s="461"/>
      <c r="E12" s="460"/>
      <c r="F12" s="461"/>
      <c r="G12" s="85" t="str">
        <f>mvalloc!D11</f>
        <v> </v>
      </c>
    </row>
    <row r="13" spans="1:7" ht="15.75">
      <c r="A13" s="313" t="s">
        <v>264</v>
      </c>
      <c r="B13" s="309"/>
      <c r="C13" s="460"/>
      <c r="D13" s="461"/>
      <c r="E13" s="460"/>
      <c r="F13" s="461"/>
      <c r="G13" s="85" t="str">
        <f>mvalloc!E11</f>
        <v> </v>
      </c>
    </row>
    <row r="14" spans="1:7" ht="15.75">
      <c r="A14" s="314" t="s">
        <v>333</v>
      </c>
      <c r="B14" s="309"/>
      <c r="C14" s="460"/>
      <c r="D14" s="461"/>
      <c r="E14" s="460"/>
      <c r="F14" s="461"/>
      <c r="G14" s="85" t="str">
        <f>mvalloc!F11</f>
        <v> </v>
      </c>
    </row>
    <row r="15" spans="1:7" ht="15.75">
      <c r="A15" s="293"/>
      <c r="B15" s="310"/>
      <c r="C15" s="460"/>
      <c r="D15" s="461"/>
      <c r="E15" s="460"/>
      <c r="F15" s="461"/>
      <c r="G15" s="9"/>
    </row>
    <row r="16" spans="1:7" ht="15.75">
      <c r="A16" s="293"/>
      <c r="B16" s="310"/>
      <c r="C16" s="460"/>
      <c r="D16" s="461"/>
      <c r="E16" s="460"/>
      <c r="F16" s="461"/>
      <c r="G16" s="9"/>
    </row>
    <row r="17" spans="1:7" ht="15.75">
      <c r="A17" s="304" t="s">
        <v>162</v>
      </c>
      <c r="B17" s="310"/>
      <c r="C17" s="460"/>
      <c r="D17" s="461"/>
      <c r="E17" s="460"/>
      <c r="F17" s="461"/>
      <c r="G17" s="9"/>
    </row>
    <row r="18" spans="1:7" ht="15.75">
      <c r="A18" s="313" t="s">
        <v>26</v>
      </c>
      <c r="B18" s="309"/>
      <c r="C18" s="460"/>
      <c r="D18" s="461"/>
      <c r="E18" s="460"/>
      <c r="F18" s="461"/>
      <c r="G18" s="305"/>
    </row>
    <row r="19" spans="1:7" ht="15.75">
      <c r="A19" s="303" t="s">
        <v>28</v>
      </c>
      <c r="B19" s="309"/>
      <c r="C19" s="480">
        <f>IF(C20*0.1&lt;C18,"Exceed 10% Rule","")</f>
      </c>
      <c r="D19" s="481"/>
      <c r="E19" s="480">
        <f>IF(E20*0.1&lt;E18,"Exceed 10% Rule","")</f>
      </c>
      <c r="F19" s="481"/>
      <c r="G19" s="345">
        <f>IF(G20*0.1+G37&lt;G18,"Exceed 10% Rule","")</f>
      </c>
    </row>
    <row r="20" spans="1:7" ht="15.75">
      <c r="A20" s="150" t="s">
        <v>163</v>
      </c>
      <c r="B20" s="309"/>
      <c r="C20" s="486">
        <f>SUM(C9:C18)</f>
        <v>0</v>
      </c>
      <c r="D20" s="487"/>
      <c r="E20" s="486">
        <f>SUM(E9:E18)</f>
        <v>0</v>
      </c>
      <c r="F20" s="487"/>
      <c r="G20" s="260">
        <f>SUM(G9:G18)</f>
        <v>0</v>
      </c>
    </row>
    <row r="21" spans="1:7" ht="15.75">
      <c r="A21" s="150" t="s">
        <v>164</v>
      </c>
      <c r="B21" s="309"/>
      <c r="C21" s="486">
        <f>C7+C20</f>
        <v>0</v>
      </c>
      <c r="D21" s="487"/>
      <c r="E21" s="486">
        <f>E7+E20</f>
        <v>0</v>
      </c>
      <c r="F21" s="487"/>
      <c r="G21" s="260">
        <f>G7+G20</f>
        <v>0</v>
      </c>
    </row>
    <row r="22" spans="1:8" ht="15.75">
      <c r="A22" s="37" t="s">
        <v>166</v>
      </c>
      <c r="B22" s="309"/>
      <c r="C22" s="506"/>
      <c r="D22" s="507"/>
      <c r="E22" s="506"/>
      <c r="F22" s="507"/>
      <c r="G22" s="42"/>
      <c r="H22" s="15"/>
    </row>
    <row r="23" spans="1:7" ht="15.75">
      <c r="A23" s="294"/>
      <c r="B23" s="310"/>
      <c r="C23" s="460"/>
      <c r="D23" s="461"/>
      <c r="E23" s="460"/>
      <c r="F23" s="461"/>
      <c r="G23" s="17"/>
    </row>
    <row r="24" spans="1:7" ht="15.75">
      <c r="A24" s="293"/>
      <c r="B24" s="310"/>
      <c r="C24" s="460"/>
      <c r="D24" s="461"/>
      <c r="E24" s="460"/>
      <c r="F24" s="461"/>
      <c r="G24" s="9"/>
    </row>
    <row r="25" spans="1:7" ht="15.75">
      <c r="A25" s="293"/>
      <c r="B25" s="310"/>
      <c r="C25" s="460"/>
      <c r="D25" s="461"/>
      <c r="E25" s="460"/>
      <c r="F25" s="461"/>
      <c r="G25" s="9"/>
    </row>
    <row r="26" spans="1:7" ht="15.75">
      <c r="A26" s="293"/>
      <c r="B26" s="310"/>
      <c r="C26" s="460"/>
      <c r="D26" s="461"/>
      <c r="E26" s="460"/>
      <c r="F26" s="461"/>
      <c r="G26" s="9"/>
    </row>
    <row r="27" spans="1:9" ht="15.75">
      <c r="A27" s="293"/>
      <c r="B27" s="310"/>
      <c r="C27" s="460"/>
      <c r="D27" s="461"/>
      <c r="E27" s="460"/>
      <c r="F27" s="461"/>
      <c r="G27" s="9"/>
      <c r="I27" s="15"/>
    </row>
    <row r="28" spans="1:9" ht="15.75">
      <c r="A28" s="311" t="s">
        <v>25</v>
      </c>
      <c r="B28" s="309"/>
      <c r="C28" s="460"/>
      <c r="D28" s="461"/>
      <c r="E28" s="460"/>
      <c r="F28" s="461"/>
      <c r="G28" s="259">
        <f>nhood!E10</f>
      </c>
      <c r="I28" s="15"/>
    </row>
    <row r="29" spans="1:9" ht="15.75">
      <c r="A29" s="311" t="s">
        <v>26</v>
      </c>
      <c r="B29" s="309"/>
      <c r="C29" s="460"/>
      <c r="D29" s="461"/>
      <c r="E29" s="460"/>
      <c r="F29" s="461"/>
      <c r="G29" s="305"/>
      <c r="I29" s="15"/>
    </row>
    <row r="30" spans="1:9" ht="15.75">
      <c r="A30" s="311" t="s">
        <v>27</v>
      </c>
      <c r="B30" s="309"/>
      <c r="C30" s="480">
        <f>IF(C31*0.1&lt;C29,"Exceed 10% Rule","")</f>
      </c>
      <c r="D30" s="481"/>
      <c r="E30" s="480">
        <f>IF(E31*0.1&lt;E29,"Exceed 10% Rule","")</f>
      </c>
      <c r="F30" s="481"/>
      <c r="G30" s="345">
        <f>IF(G31*0.1&lt;G29,"Exceed 10% Rule","")</f>
      </c>
      <c r="I30" s="15"/>
    </row>
    <row r="31" spans="1:7" ht="15.75">
      <c r="A31" s="150" t="s">
        <v>170</v>
      </c>
      <c r="B31" s="309"/>
      <c r="C31" s="486">
        <f>SUM(C23:C29)</f>
        <v>0</v>
      </c>
      <c r="D31" s="487"/>
      <c r="E31" s="486">
        <f>SUM(E23:E29)</f>
        <v>0</v>
      </c>
      <c r="F31" s="487"/>
      <c r="G31" s="260">
        <f>SUM(G23:G29)</f>
        <v>0</v>
      </c>
    </row>
    <row r="32" spans="1:7" ht="15.75">
      <c r="A32" s="37" t="s">
        <v>288</v>
      </c>
      <c r="B32" s="309"/>
      <c r="C32" s="484">
        <f>C21-C31</f>
        <v>0</v>
      </c>
      <c r="D32" s="485"/>
      <c r="E32" s="484">
        <f>E21-E31</f>
        <v>0</v>
      </c>
      <c r="F32" s="485"/>
      <c r="G32" s="97" t="s">
        <v>145</v>
      </c>
    </row>
    <row r="33" spans="1:8" ht="15.75">
      <c r="A33" s="23" t="str">
        <f>CONCATENATE("",G1-2,"/",G1-1," Budget Authority Amount:")</f>
        <v>2008/2009 Budget Authority Amount:</v>
      </c>
      <c r="B33" s="328">
        <f>inputOth!B63</f>
        <v>0</v>
      </c>
      <c r="C33" s="328">
        <f>inputPrYr!D21</f>
        <v>0</v>
      </c>
      <c r="D33" s="473" t="s">
        <v>77</v>
      </c>
      <c r="E33" s="474"/>
      <c r="F33" s="475"/>
      <c r="G33" s="9"/>
      <c r="H33" s="288">
        <f>IF(G31/0.95-G31&lt;G33,"Exceeds 5%","")</f>
      </c>
    </row>
    <row r="34" spans="1:9" ht="15.75">
      <c r="A34" s="23" t="str">
        <f>CONCATENATE("Violation of Budget Law for ",G1-2,"/",G1-1,":")</f>
        <v>Violation of Budget Law for 2008/2009:</v>
      </c>
      <c r="B34" s="329" t="str">
        <f>IF(C31&gt;B33,"Yes","No")</f>
        <v>No</v>
      </c>
      <c r="C34" s="329" t="str">
        <f>IF(E31&gt;C33,"Yes","No")</f>
        <v>No</v>
      </c>
      <c r="D34" s="21"/>
      <c r="E34" s="476" t="s">
        <v>78</v>
      </c>
      <c r="F34" s="477"/>
      <c r="G34" s="85">
        <f>G31+G33</f>
        <v>0</v>
      </c>
      <c r="I34" s="15"/>
    </row>
    <row r="35" spans="1:7" ht="15.75">
      <c r="A35" s="23" t="str">
        <f>CONCATENATE("Possible Cash Violation for ",G1-2,":")</f>
        <v>Possible Cash Violation for 2008:</v>
      </c>
      <c r="B35" s="329" t="str">
        <f>IF(C32&lt;0,"Yes","No")</f>
        <v>No</v>
      </c>
      <c r="C35" s="329"/>
      <c r="D35" s="21"/>
      <c r="E35" s="476" t="s">
        <v>171</v>
      </c>
      <c r="F35" s="477"/>
      <c r="G35" s="259">
        <f>IF(G34-G21&gt;0,G34-G21,0)</f>
        <v>0</v>
      </c>
    </row>
    <row r="36" spans="1:7" ht="15.75">
      <c r="A36" s="24"/>
      <c r="B36" s="24"/>
      <c r="C36" s="478" t="s">
        <v>79</v>
      </c>
      <c r="D36" s="479"/>
      <c r="E36" s="479"/>
      <c r="F36" s="228">
        <f>(inputOth!$E$46)</f>
        <v>0</v>
      </c>
      <c r="G36" s="85">
        <f>ROUND(IF(F36&gt;0,(G35*F36),0),0)</f>
        <v>0</v>
      </c>
    </row>
    <row r="37" spans="1:7" ht="15.75">
      <c r="A37" s="24"/>
      <c r="B37" s="24"/>
      <c r="C37" s="470" t="str">
        <f>CONCATENATE("Amount of  ",$G$1-1," Ad Valorem Tax")</f>
        <v>Amount of  2009 Ad Valorem Tax</v>
      </c>
      <c r="D37" s="471"/>
      <c r="E37" s="471"/>
      <c r="F37" s="472"/>
      <c r="G37" s="384">
        <f>G35+G36</f>
        <v>0</v>
      </c>
    </row>
    <row r="38" spans="1:7" ht="15.75">
      <c r="A38" s="21"/>
      <c r="B38" s="21"/>
      <c r="C38" s="470"/>
      <c r="D38" s="470"/>
      <c r="E38" s="508"/>
      <c r="F38" s="383"/>
      <c r="G38" s="105"/>
    </row>
    <row r="39" spans="1:7" ht="15.75">
      <c r="A39" s="25" t="s">
        <v>156</v>
      </c>
      <c r="B39" s="25"/>
      <c r="C39" s="96"/>
      <c r="D39" s="96"/>
      <c r="E39" s="96"/>
      <c r="F39" s="96"/>
      <c r="G39" s="96"/>
    </row>
    <row r="40" spans="1:7" ht="15.75">
      <c r="A40" s="21"/>
      <c r="B40" s="21"/>
      <c r="C40" s="492" t="s">
        <v>178</v>
      </c>
      <c r="D40" s="493"/>
      <c r="E40" s="488" t="s">
        <v>314</v>
      </c>
      <c r="F40" s="489"/>
      <c r="G40" s="33" t="s">
        <v>315</v>
      </c>
    </row>
    <row r="41" spans="1:7" ht="15.75">
      <c r="A41" s="137">
        <f>inputPrYr!B22</f>
        <v>0</v>
      </c>
      <c r="B41" s="137"/>
      <c r="C41" s="490">
        <f>G1-2</f>
        <v>2008</v>
      </c>
      <c r="D41" s="491"/>
      <c r="E41" s="490">
        <f>G1-1</f>
        <v>2009</v>
      </c>
      <c r="F41" s="491"/>
      <c r="G41" s="144">
        <f>G1</f>
        <v>2010</v>
      </c>
    </row>
    <row r="42" spans="1:7" ht="15.75">
      <c r="A42" s="303" t="s">
        <v>287</v>
      </c>
      <c r="B42" s="309"/>
      <c r="C42" s="460"/>
      <c r="D42" s="461"/>
      <c r="E42" s="468">
        <f>C67</f>
        <v>0</v>
      </c>
      <c r="F42" s="469"/>
      <c r="G42" s="85">
        <f>E67</f>
        <v>0</v>
      </c>
    </row>
    <row r="43" spans="1:7" ht="15.75">
      <c r="A43" s="308" t="s">
        <v>289</v>
      </c>
      <c r="B43" s="309"/>
      <c r="C43" s="464"/>
      <c r="D43" s="465"/>
      <c r="E43" s="464"/>
      <c r="F43" s="465"/>
      <c r="G43" s="40"/>
    </row>
    <row r="44" spans="1:7" ht="15.75">
      <c r="A44" s="37" t="s">
        <v>157</v>
      </c>
      <c r="B44" s="309"/>
      <c r="C44" s="460"/>
      <c r="D44" s="461"/>
      <c r="E44" s="468">
        <f>inputPrYr!E22</f>
        <v>0</v>
      </c>
      <c r="F44" s="469"/>
      <c r="G44" s="97" t="s">
        <v>145</v>
      </c>
    </row>
    <row r="45" spans="1:7" ht="15.75">
      <c r="A45" s="37" t="s">
        <v>158</v>
      </c>
      <c r="B45" s="309"/>
      <c r="C45" s="460"/>
      <c r="D45" s="461"/>
      <c r="E45" s="460"/>
      <c r="F45" s="461"/>
      <c r="G45" s="9"/>
    </row>
    <row r="46" spans="1:7" ht="15.75">
      <c r="A46" s="37" t="s">
        <v>159</v>
      </c>
      <c r="B46" s="309"/>
      <c r="C46" s="460"/>
      <c r="D46" s="461"/>
      <c r="E46" s="460"/>
      <c r="F46" s="461"/>
      <c r="G46" s="85" t="str">
        <f>mvalloc!C12</f>
        <v>  </v>
      </c>
    </row>
    <row r="47" spans="1:7" ht="15.75">
      <c r="A47" s="37" t="s">
        <v>160</v>
      </c>
      <c r="B47" s="309"/>
      <c r="C47" s="460"/>
      <c r="D47" s="461"/>
      <c r="E47" s="460"/>
      <c r="F47" s="461"/>
      <c r="G47" s="85" t="str">
        <f>mvalloc!D12</f>
        <v> </v>
      </c>
    </row>
    <row r="48" spans="1:7" ht="15.75">
      <c r="A48" s="313" t="s">
        <v>264</v>
      </c>
      <c r="B48" s="309"/>
      <c r="C48" s="460"/>
      <c r="D48" s="461"/>
      <c r="E48" s="460"/>
      <c r="F48" s="461"/>
      <c r="G48" s="85" t="str">
        <f>mvalloc!E12</f>
        <v> </v>
      </c>
    </row>
    <row r="49" spans="1:7" ht="15.75">
      <c r="A49" s="314" t="s">
        <v>333</v>
      </c>
      <c r="B49" s="309"/>
      <c r="C49" s="460"/>
      <c r="D49" s="461"/>
      <c r="E49" s="460"/>
      <c r="F49" s="461"/>
      <c r="G49" s="85" t="str">
        <f>mvalloc!F12</f>
        <v> </v>
      </c>
    </row>
    <row r="50" spans="1:7" ht="15.75">
      <c r="A50" s="293"/>
      <c r="B50" s="310"/>
      <c r="C50" s="460"/>
      <c r="D50" s="461"/>
      <c r="E50" s="460"/>
      <c r="F50" s="461"/>
      <c r="G50" s="9"/>
    </row>
    <row r="51" spans="1:7" ht="15.75">
      <c r="A51" s="293"/>
      <c r="B51" s="310"/>
      <c r="C51" s="460"/>
      <c r="D51" s="461"/>
      <c r="E51" s="460"/>
      <c r="F51" s="461"/>
      <c r="G51" s="9"/>
    </row>
    <row r="52" spans="1:7" ht="15.75">
      <c r="A52" s="304" t="s">
        <v>162</v>
      </c>
      <c r="B52" s="310"/>
      <c r="C52" s="460"/>
      <c r="D52" s="461"/>
      <c r="E52" s="460"/>
      <c r="F52" s="461"/>
      <c r="G52" s="9"/>
    </row>
    <row r="53" spans="1:7" ht="15.75">
      <c r="A53" s="313" t="s">
        <v>26</v>
      </c>
      <c r="B53" s="309"/>
      <c r="C53" s="460"/>
      <c r="D53" s="461"/>
      <c r="E53" s="460"/>
      <c r="F53" s="461"/>
      <c r="G53" s="305"/>
    </row>
    <row r="54" spans="1:7" ht="15.75">
      <c r="A54" s="303" t="s">
        <v>28</v>
      </c>
      <c r="B54" s="309"/>
      <c r="C54" s="480">
        <f>IF(C55*0.1&lt;C53,"Exceed 10% Rule","")</f>
      </c>
      <c r="D54" s="481"/>
      <c r="E54" s="480">
        <f>IF(E55*0.1&lt;E53,"Exceed 10% Rule","")</f>
      </c>
      <c r="F54" s="481"/>
      <c r="G54" s="345">
        <f>IF(G55*0.1+G72&lt;G53,"Exceed 10% Rule","")</f>
      </c>
    </row>
    <row r="55" spans="1:7" ht="15.75">
      <c r="A55" s="150" t="s">
        <v>163</v>
      </c>
      <c r="B55" s="309"/>
      <c r="C55" s="486">
        <f>SUM(C44:C53)</f>
        <v>0</v>
      </c>
      <c r="D55" s="487"/>
      <c r="E55" s="486">
        <f>SUM(E44:E53)</f>
        <v>0</v>
      </c>
      <c r="F55" s="487"/>
      <c r="G55" s="260">
        <f>SUM(G45:G53)</f>
        <v>0</v>
      </c>
    </row>
    <row r="56" spans="1:7" ht="15.75">
      <c r="A56" s="150" t="s">
        <v>164</v>
      </c>
      <c r="B56" s="309"/>
      <c r="C56" s="486">
        <f>C42+C55</f>
        <v>0</v>
      </c>
      <c r="D56" s="487"/>
      <c r="E56" s="486">
        <f>E42+E55</f>
        <v>0</v>
      </c>
      <c r="F56" s="487"/>
      <c r="G56" s="260">
        <f>G42+G55</f>
        <v>0</v>
      </c>
    </row>
    <row r="57" spans="1:7" ht="15.75">
      <c r="A57" s="37" t="s">
        <v>166</v>
      </c>
      <c r="B57" s="309"/>
      <c r="C57" s="506"/>
      <c r="D57" s="507"/>
      <c r="E57" s="506"/>
      <c r="F57" s="507"/>
      <c r="G57" s="42"/>
    </row>
    <row r="58" spans="1:7" ht="15.75">
      <c r="A58" s="293"/>
      <c r="B58" s="310"/>
      <c r="C58" s="460"/>
      <c r="D58" s="461"/>
      <c r="E58" s="460"/>
      <c r="F58" s="461"/>
      <c r="G58" s="9"/>
    </row>
    <row r="59" spans="1:7" ht="15.75">
      <c r="A59" s="293"/>
      <c r="B59" s="310"/>
      <c r="C59" s="460"/>
      <c r="D59" s="461"/>
      <c r="E59" s="460"/>
      <c r="F59" s="461"/>
      <c r="G59" s="9"/>
    </row>
    <row r="60" spans="1:7" ht="15.75">
      <c r="A60" s="293"/>
      <c r="B60" s="310"/>
      <c r="C60" s="460"/>
      <c r="D60" s="461"/>
      <c r="E60" s="460"/>
      <c r="F60" s="461"/>
      <c r="G60" s="9"/>
    </row>
    <row r="61" spans="1:7" ht="15.75">
      <c r="A61" s="293"/>
      <c r="B61" s="310"/>
      <c r="C61" s="460"/>
      <c r="D61" s="461"/>
      <c r="E61" s="460"/>
      <c r="F61" s="461"/>
      <c r="G61" s="9"/>
    </row>
    <row r="62" spans="1:7" ht="15.75">
      <c r="A62" s="293"/>
      <c r="B62" s="310"/>
      <c r="C62" s="460"/>
      <c r="D62" s="461"/>
      <c r="E62" s="460"/>
      <c r="F62" s="461"/>
      <c r="G62" s="9"/>
    </row>
    <row r="63" spans="1:7" ht="15.75">
      <c r="A63" s="311" t="s">
        <v>25</v>
      </c>
      <c r="B63" s="309"/>
      <c r="C63" s="460"/>
      <c r="D63" s="461"/>
      <c r="E63" s="460"/>
      <c r="F63" s="461"/>
      <c r="G63" s="259">
        <f>nhood!E11</f>
      </c>
    </row>
    <row r="64" spans="1:7" ht="15.75">
      <c r="A64" s="311" t="s">
        <v>26</v>
      </c>
      <c r="B64" s="309"/>
      <c r="C64" s="460"/>
      <c r="D64" s="461"/>
      <c r="E64" s="460"/>
      <c r="F64" s="461"/>
      <c r="G64" s="305"/>
    </row>
    <row r="65" spans="1:7" ht="15.75">
      <c r="A65" s="311" t="s">
        <v>27</v>
      </c>
      <c r="B65" s="309"/>
      <c r="C65" s="480">
        <f>IF(C66*0.1&lt;C64,"Exceed 10% Rule","")</f>
      </c>
      <c r="D65" s="481"/>
      <c r="E65" s="480">
        <f>IF(E66*0.1&lt;E64,"Exceed 10% Rule","")</f>
      </c>
      <c r="F65" s="481"/>
      <c r="G65" s="345">
        <f>IF(G66*0.1&lt;G64,"Exceed 10% Rule","")</f>
      </c>
    </row>
    <row r="66" spans="1:7" ht="15.75">
      <c r="A66" s="150" t="s">
        <v>170</v>
      </c>
      <c r="B66" s="309"/>
      <c r="C66" s="486">
        <f>SUM(C58:C64)</f>
        <v>0</v>
      </c>
      <c r="D66" s="487"/>
      <c r="E66" s="486">
        <f>SUM(E58:E64)</f>
        <v>0</v>
      </c>
      <c r="F66" s="487"/>
      <c r="G66" s="260">
        <f>SUM(G58:G64)</f>
        <v>0</v>
      </c>
    </row>
    <row r="67" spans="1:7" ht="15.75">
      <c r="A67" s="37" t="s">
        <v>288</v>
      </c>
      <c r="B67" s="309"/>
      <c r="C67" s="484">
        <f>C56-C66</f>
        <v>0</v>
      </c>
      <c r="D67" s="485"/>
      <c r="E67" s="484">
        <f>E56-E66</f>
        <v>0</v>
      </c>
      <c r="F67" s="485"/>
      <c r="G67" s="97" t="s">
        <v>145</v>
      </c>
    </row>
    <row r="68" spans="1:8" ht="15.75">
      <c r="A68" s="23" t="str">
        <f>CONCATENATE("",G1-2,"/",G1-1," Budget Authority Amount:")</f>
        <v>2008/2009 Budget Authority Amount:</v>
      </c>
      <c r="B68" s="328">
        <f>inputOth!B64</f>
        <v>0</v>
      </c>
      <c r="C68" s="328">
        <f>inputPrYr!D22</f>
        <v>0</v>
      </c>
      <c r="D68" s="473" t="s">
        <v>77</v>
      </c>
      <c r="E68" s="474"/>
      <c r="F68" s="475"/>
      <c r="G68" s="9"/>
      <c r="H68" s="288">
        <f>IF(G66/0.95-G66&lt;G68,"Exceeds 5%","")</f>
      </c>
    </row>
    <row r="69" spans="1:7" ht="15.75">
      <c r="A69" s="23" t="str">
        <f>CONCATENATE("Violation of Budget Law for ",G1-2,"/",G1-1,":")</f>
        <v>Violation of Budget Law for 2008/2009:</v>
      </c>
      <c r="B69" s="329" t="str">
        <f>IF(C66&gt;B68,"Yes","No")</f>
        <v>No</v>
      </c>
      <c r="C69" s="329" t="str">
        <f>IF(E66&gt;C68,"Yes","No")</f>
        <v>No</v>
      </c>
      <c r="D69" s="21"/>
      <c r="E69" s="476" t="s">
        <v>78</v>
      </c>
      <c r="F69" s="477"/>
      <c r="G69" s="85">
        <f>G66+G68</f>
        <v>0</v>
      </c>
    </row>
    <row r="70" spans="1:7" ht="15.75">
      <c r="A70" s="23" t="str">
        <f>CONCATENATE("Possible Cash Violation for ",G1-2,":")</f>
        <v>Possible Cash Violation for 2008:</v>
      </c>
      <c r="B70" s="329" t="str">
        <f>IF(C67&lt;0,"Yes","No")</f>
        <v>No</v>
      </c>
      <c r="C70" s="329"/>
      <c r="D70" s="21"/>
      <c r="E70" s="476" t="s">
        <v>171</v>
      </c>
      <c r="F70" s="477"/>
      <c r="G70" s="259">
        <f>IF(G69-G56&gt;0,G69-G56,0)</f>
        <v>0</v>
      </c>
    </row>
    <row r="71" spans="1:7" ht="15.75">
      <c r="A71" s="24"/>
      <c r="B71" s="24"/>
      <c r="C71" s="478" t="s">
        <v>79</v>
      </c>
      <c r="D71" s="479"/>
      <c r="E71" s="479"/>
      <c r="F71" s="228">
        <f>(inputOth!$E$46)</f>
        <v>0</v>
      </c>
      <c r="G71" s="85">
        <f>ROUND(IF(F71&gt;0,(G70*F71),0),0)</f>
        <v>0</v>
      </c>
    </row>
    <row r="72" spans="1:7" ht="15.75">
      <c r="A72" s="21"/>
      <c r="B72" s="21"/>
      <c r="C72" s="470" t="str">
        <f>CONCATENATE("Amount of  ",$G$1-1," Ad Valorem Tax")</f>
        <v>Amount of  2009 Ad Valorem Tax</v>
      </c>
      <c r="D72" s="471"/>
      <c r="E72" s="471"/>
      <c r="F72" s="472"/>
      <c r="G72" s="384">
        <f>G70+G71</f>
        <v>0</v>
      </c>
    </row>
    <row r="73" spans="1:7" ht="15.75">
      <c r="A73" s="21"/>
      <c r="B73" s="21"/>
      <c r="C73" s="21"/>
      <c r="D73" s="21"/>
      <c r="E73" s="21"/>
      <c r="F73" s="21"/>
      <c r="G73" s="21"/>
    </row>
    <row r="74" spans="1:7" ht="15.75">
      <c r="A74" s="24"/>
      <c r="B74" s="24" t="s">
        <v>173</v>
      </c>
      <c r="C74" s="100"/>
      <c r="D74" s="136"/>
      <c r="E74" s="21"/>
      <c r="F74" s="21"/>
      <c r="G74" s="21"/>
    </row>
  </sheetData>
  <sheetProtection sheet="1" objects="1" scenarios="1"/>
  <mergeCells count="123">
    <mergeCell ref="C65:D65"/>
    <mergeCell ref="E56:F56"/>
    <mergeCell ref="C64:D64"/>
    <mergeCell ref="E58:F58"/>
    <mergeCell ref="E59:F59"/>
    <mergeCell ref="E60:F60"/>
    <mergeCell ref="E61:F61"/>
    <mergeCell ref="C62:D62"/>
    <mergeCell ref="C57:D57"/>
    <mergeCell ref="E63:F63"/>
    <mergeCell ref="E64:F64"/>
    <mergeCell ref="C58:D58"/>
    <mergeCell ref="C59:D59"/>
    <mergeCell ref="C56:D56"/>
    <mergeCell ref="E57:F57"/>
    <mergeCell ref="E46:F46"/>
    <mergeCell ref="E47:F47"/>
    <mergeCell ref="E48:F48"/>
    <mergeCell ref="E49:F49"/>
    <mergeCell ref="E50:F50"/>
    <mergeCell ref="E65:F65"/>
    <mergeCell ref="E27:F27"/>
    <mergeCell ref="C43:D43"/>
    <mergeCell ref="C32:D32"/>
    <mergeCell ref="C31:D31"/>
    <mergeCell ref="C30:D30"/>
    <mergeCell ref="E40:F40"/>
    <mergeCell ref="C40:D40"/>
    <mergeCell ref="C38:E38"/>
    <mergeCell ref="E43:F43"/>
    <mergeCell ref="E42:F42"/>
    <mergeCell ref="C42:D42"/>
    <mergeCell ref="C22:D22"/>
    <mergeCell ref="C26:D26"/>
    <mergeCell ref="C27:D27"/>
    <mergeCell ref="C28:D28"/>
    <mergeCell ref="D33:F33"/>
    <mergeCell ref="E34:F34"/>
    <mergeCell ref="E35:F35"/>
    <mergeCell ref="E41:F41"/>
    <mergeCell ref="E22:F22"/>
    <mergeCell ref="E21:F21"/>
    <mergeCell ref="E20:F20"/>
    <mergeCell ref="E19:F19"/>
    <mergeCell ref="E16:F16"/>
    <mergeCell ref="E17:F17"/>
    <mergeCell ref="E18:F18"/>
    <mergeCell ref="E5:F5"/>
    <mergeCell ref="C8:D8"/>
    <mergeCell ref="C7:D7"/>
    <mergeCell ref="C6:D6"/>
    <mergeCell ref="C5:D5"/>
    <mergeCell ref="E8:F8"/>
    <mergeCell ref="E7:F7"/>
    <mergeCell ref="E6:F6"/>
    <mergeCell ref="E10:F10"/>
    <mergeCell ref="C17:D17"/>
    <mergeCell ref="C9:D9"/>
    <mergeCell ref="C10:D10"/>
    <mergeCell ref="C11:D11"/>
    <mergeCell ref="C12:D12"/>
    <mergeCell ref="E9:F9"/>
    <mergeCell ref="E11:F11"/>
    <mergeCell ref="C15:D15"/>
    <mergeCell ref="C16:D16"/>
    <mergeCell ref="C21:D21"/>
    <mergeCell ref="C20:D20"/>
    <mergeCell ref="C19:D19"/>
    <mergeCell ref="E12:F12"/>
    <mergeCell ref="E13:F13"/>
    <mergeCell ref="E14:F14"/>
    <mergeCell ref="E15:F15"/>
    <mergeCell ref="C18:D18"/>
    <mergeCell ref="C13:D13"/>
    <mergeCell ref="C14:D14"/>
    <mergeCell ref="E28:F28"/>
    <mergeCell ref="E29:F29"/>
    <mergeCell ref="C44:D44"/>
    <mergeCell ref="C23:D23"/>
    <mergeCell ref="C24:D24"/>
    <mergeCell ref="C25:D25"/>
    <mergeCell ref="E23:F23"/>
    <mergeCell ref="E26:F26"/>
    <mergeCell ref="E24:F24"/>
    <mergeCell ref="E25:F25"/>
    <mergeCell ref="C45:D45"/>
    <mergeCell ref="E45:F45"/>
    <mergeCell ref="E32:F32"/>
    <mergeCell ref="E31:F31"/>
    <mergeCell ref="E30:F30"/>
    <mergeCell ref="C29:D29"/>
    <mergeCell ref="E44:F44"/>
    <mergeCell ref="C36:E36"/>
    <mergeCell ref="C37:F37"/>
    <mergeCell ref="C41:D41"/>
    <mergeCell ref="C50:D50"/>
    <mergeCell ref="C51:D51"/>
    <mergeCell ref="C52:D52"/>
    <mergeCell ref="C53:D53"/>
    <mergeCell ref="C46:D46"/>
    <mergeCell ref="C47:D47"/>
    <mergeCell ref="C48:D48"/>
    <mergeCell ref="C49:D49"/>
    <mergeCell ref="E51:F51"/>
    <mergeCell ref="E52:F52"/>
    <mergeCell ref="C72:F72"/>
    <mergeCell ref="C60:D60"/>
    <mergeCell ref="C61:D61"/>
    <mergeCell ref="E53:F53"/>
    <mergeCell ref="C66:D66"/>
    <mergeCell ref="C67:D67"/>
    <mergeCell ref="E66:F66"/>
    <mergeCell ref="E67:F67"/>
    <mergeCell ref="D68:F68"/>
    <mergeCell ref="E69:F69"/>
    <mergeCell ref="E70:F70"/>
    <mergeCell ref="C71:E71"/>
    <mergeCell ref="C54:D54"/>
    <mergeCell ref="E54:F54"/>
    <mergeCell ref="C63:D63"/>
    <mergeCell ref="E62:F62"/>
    <mergeCell ref="C55:D55"/>
    <mergeCell ref="E55:F55"/>
  </mergeCells>
  <conditionalFormatting sqref="G64">
    <cfRule type="cellIs" priority="1" dxfId="271" operator="greaterThan" stopIfTrue="1">
      <formula>$G$66*0.1</formula>
    </cfRule>
  </conditionalFormatting>
  <conditionalFormatting sqref="G68">
    <cfRule type="cellIs" priority="2" dxfId="271" operator="greaterThan" stopIfTrue="1">
      <formula>$G$66/0.95-$G$66</formula>
    </cfRule>
  </conditionalFormatting>
  <conditionalFormatting sqref="G29">
    <cfRule type="cellIs" priority="3" dxfId="271" operator="greaterThan" stopIfTrue="1">
      <formula>$G$31*0.1</formula>
    </cfRule>
  </conditionalFormatting>
  <conditionalFormatting sqref="G33">
    <cfRule type="cellIs" priority="4" dxfId="271" operator="greaterThan" stopIfTrue="1">
      <formula>$G$31/0.95-$G$31</formula>
    </cfRule>
  </conditionalFormatting>
  <conditionalFormatting sqref="C29:D29">
    <cfRule type="cellIs" priority="5" dxfId="0" operator="greaterThan" stopIfTrue="1">
      <formula>$C$31*0.1</formula>
    </cfRule>
  </conditionalFormatting>
  <conditionalFormatting sqref="E29:F29">
    <cfRule type="cellIs" priority="6" dxfId="0" operator="greaterThan" stopIfTrue="1">
      <formula>$E$31*0.1</formula>
    </cfRule>
  </conditionalFormatting>
  <conditionalFormatting sqref="E31:F31">
    <cfRule type="cellIs" priority="7" dxfId="0" operator="greaterThan" stopIfTrue="1">
      <formula>$C$33</formula>
    </cfRule>
  </conditionalFormatting>
  <conditionalFormatting sqref="C31:D31">
    <cfRule type="cellIs" priority="8" dxfId="0" operator="greaterThan" stopIfTrue="1">
      <formula>$B$33</formula>
    </cfRule>
  </conditionalFormatting>
  <conditionalFormatting sqref="C32:D32 C67:D67">
    <cfRule type="cellIs" priority="9" dxfId="0" operator="lessThan" stopIfTrue="1">
      <formula>0</formula>
    </cfRule>
  </conditionalFormatting>
  <conditionalFormatting sqref="C64:D64">
    <cfRule type="cellIs" priority="10" dxfId="0" operator="greaterThan" stopIfTrue="1">
      <formula>$C$66*0.1</formula>
    </cfRule>
  </conditionalFormatting>
  <conditionalFormatting sqref="E64:F64">
    <cfRule type="cellIs" priority="11" dxfId="0" operator="greaterThan" stopIfTrue="1">
      <formula>$E$66*0.1</formula>
    </cfRule>
  </conditionalFormatting>
  <conditionalFormatting sqref="E66:F66">
    <cfRule type="cellIs" priority="12" dxfId="0" operator="greaterThan" stopIfTrue="1">
      <formula>$C$68</formula>
    </cfRule>
  </conditionalFormatting>
  <conditionalFormatting sqref="C66:D66">
    <cfRule type="cellIs" priority="13" dxfId="0" operator="greaterThan" stopIfTrue="1">
      <formula>$B$68</formula>
    </cfRule>
  </conditionalFormatting>
  <conditionalFormatting sqref="E18:F18">
    <cfRule type="cellIs" priority="14" dxfId="0" operator="greaterThan" stopIfTrue="1">
      <formula>$E$20*0.1</formula>
    </cfRule>
  </conditionalFormatting>
  <conditionalFormatting sqref="C18:D18">
    <cfRule type="cellIs" priority="15" dxfId="0" operator="greaterThan" stopIfTrue="1">
      <formula>$C$20*0.1</formula>
    </cfRule>
  </conditionalFormatting>
  <conditionalFormatting sqref="E53:F53">
    <cfRule type="cellIs" priority="16" dxfId="0" operator="greaterThan" stopIfTrue="1">
      <formula>$E$55*0.1</formula>
    </cfRule>
  </conditionalFormatting>
  <conditionalFormatting sqref="C53:D53">
    <cfRule type="cellIs" priority="17" dxfId="0" operator="greaterThan" stopIfTrue="1">
      <formula>$C$55*0.1</formula>
    </cfRule>
  </conditionalFormatting>
  <conditionalFormatting sqref="G53">
    <cfRule type="cellIs" priority="18" dxfId="271" operator="greaterThan" stopIfTrue="1">
      <formula>$G$55*0.1+G72</formula>
    </cfRule>
  </conditionalFormatting>
  <conditionalFormatting sqref="G18">
    <cfRule type="cellIs" priority="19" dxfId="271" operator="greaterThan" stopIfTrue="1">
      <formula>$G$20*0.1+G37</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oddHeader>
    <oddFooter>&amp;Lrevised 8/21/08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3"/>
  <sheetViews>
    <sheetView zoomScalePageLayoutView="0" workbookViewId="0" topLeftCell="A1">
      <selection activeCell="F35" sqref="F35"/>
    </sheetView>
  </sheetViews>
  <sheetFormatPr defaultColWidth="8.796875" defaultRowHeight="15"/>
  <cols>
    <col min="1" max="1" width="28.796875" style="7" customWidth="1"/>
    <col min="2" max="2" width="9.59765625" style="7" customWidth="1"/>
    <col min="3" max="3" width="10.3984375" style="7" customWidth="1"/>
    <col min="4" max="4" width="5.796875" style="7" customWidth="1"/>
    <col min="5" max="5" width="9.69921875" style="7" customWidth="1"/>
    <col min="6" max="6" width="6.69921875" style="7" customWidth="1"/>
    <col min="7" max="7" width="16.19921875" style="7" customWidth="1"/>
    <col min="8" max="16384" width="8.8984375" style="7" customWidth="1"/>
  </cols>
  <sheetData>
    <row r="1" spans="1:7" ht="15.75">
      <c r="A1" s="72" t="str">
        <f>(inputPrYr!D2)</f>
        <v>City of Ellsworth</v>
      </c>
      <c r="B1" s="72"/>
      <c r="C1" s="21"/>
      <c r="D1" s="21"/>
      <c r="E1" s="21"/>
      <c r="F1" s="21"/>
      <c r="G1" s="138">
        <f>inputPrYr!C5</f>
        <v>2010</v>
      </c>
    </row>
    <row r="2" spans="1:7" ht="15.75">
      <c r="A2" s="21"/>
      <c r="B2" s="21"/>
      <c r="C2" s="21"/>
      <c r="D2" s="21"/>
      <c r="E2" s="21"/>
      <c r="F2" s="21"/>
      <c r="G2" s="24"/>
    </row>
    <row r="3" spans="1:7" ht="15.75">
      <c r="A3" s="90" t="s">
        <v>231</v>
      </c>
      <c r="B3" s="90"/>
      <c r="C3" s="94"/>
      <c r="D3" s="94"/>
      <c r="E3" s="94"/>
      <c r="F3" s="94"/>
      <c r="G3" s="95"/>
    </row>
    <row r="4" spans="1:7" ht="15.75">
      <c r="A4" s="21"/>
      <c r="B4" s="21"/>
      <c r="C4" s="96"/>
      <c r="D4" s="96"/>
      <c r="E4" s="96"/>
      <c r="F4" s="96"/>
      <c r="G4" s="96"/>
    </row>
    <row r="5" spans="1:7" ht="15.75">
      <c r="A5" s="25" t="s">
        <v>156</v>
      </c>
      <c r="B5" s="25"/>
      <c r="C5" s="492" t="s">
        <v>178</v>
      </c>
      <c r="D5" s="493"/>
      <c r="E5" s="488" t="s">
        <v>314</v>
      </c>
      <c r="F5" s="489"/>
      <c r="G5" s="33" t="s">
        <v>315</v>
      </c>
    </row>
    <row r="6" spans="1:7" ht="15.75">
      <c r="A6" s="137">
        <f>inputPrYr!B23</f>
        <v>0</v>
      </c>
      <c r="B6" s="137"/>
      <c r="C6" s="490">
        <f>G1-2</f>
        <v>2008</v>
      </c>
      <c r="D6" s="491"/>
      <c r="E6" s="490">
        <f>G1-1</f>
        <v>2009</v>
      </c>
      <c r="F6" s="491"/>
      <c r="G6" s="144">
        <f>G1</f>
        <v>2010</v>
      </c>
    </row>
    <row r="7" spans="1:7" ht="15.75">
      <c r="A7" s="303" t="s">
        <v>287</v>
      </c>
      <c r="B7" s="309"/>
      <c r="C7" s="460"/>
      <c r="D7" s="461"/>
      <c r="E7" s="468">
        <f>C31</f>
        <v>0</v>
      </c>
      <c r="F7" s="469"/>
      <c r="G7" s="85">
        <f>E31</f>
        <v>0</v>
      </c>
    </row>
    <row r="8" spans="1:7" ht="15.75">
      <c r="A8" s="308" t="s">
        <v>289</v>
      </c>
      <c r="B8" s="309"/>
      <c r="C8" s="464"/>
      <c r="D8" s="465"/>
      <c r="E8" s="464"/>
      <c r="F8" s="465"/>
      <c r="G8" s="40"/>
    </row>
    <row r="9" spans="1:7" ht="15.75">
      <c r="A9" s="37" t="s">
        <v>157</v>
      </c>
      <c r="B9" s="309"/>
      <c r="C9" s="460"/>
      <c r="D9" s="461"/>
      <c r="E9" s="468">
        <f>inputPrYr!E23</f>
        <v>0</v>
      </c>
      <c r="F9" s="469"/>
      <c r="G9" s="97" t="s">
        <v>145</v>
      </c>
    </row>
    <row r="10" spans="1:7" ht="15.75">
      <c r="A10" s="37" t="s">
        <v>158</v>
      </c>
      <c r="B10" s="309"/>
      <c r="C10" s="460"/>
      <c r="D10" s="461"/>
      <c r="E10" s="460"/>
      <c r="F10" s="461"/>
      <c r="G10" s="9"/>
    </row>
    <row r="11" spans="1:7" ht="15.75">
      <c r="A11" s="37" t="s">
        <v>159</v>
      </c>
      <c r="B11" s="309"/>
      <c r="C11" s="460"/>
      <c r="D11" s="461"/>
      <c r="E11" s="460"/>
      <c r="F11" s="461"/>
      <c r="G11" s="85" t="str">
        <f>mvalloc!C13</f>
        <v>  </v>
      </c>
    </row>
    <row r="12" spans="1:7" ht="15.75">
      <c r="A12" s="37" t="s">
        <v>160</v>
      </c>
      <c r="B12" s="309"/>
      <c r="C12" s="460"/>
      <c r="D12" s="461"/>
      <c r="E12" s="460"/>
      <c r="F12" s="461"/>
      <c r="G12" s="85" t="str">
        <f>mvalloc!D13</f>
        <v> </v>
      </c>
    </row>
    <row r="13" spans="1:7" ht="15.75">
      <c r="A13" s="313" t="s">
        <v>264</v>
      </c>
      <c r="B13" s="309"/>
      <c r="C13" s="460"/>
      <c r="D13" s="461"/>
      <c r="E13" s="460"/>
      <c r="F13" s="461"/>
      <c r="G13" s="85" t="str">
        <f>mvalloc!E13</f>
        <v> </v>
      </c>
    </row>
    <row r="14" spans="1:7" ht="15.75">
      <c r="A14" s="314" t="s">
        <v>333</v>
      </c>
      <c r="B14" s="309"/>
      <c r="C14" s="460"/>
      <c r="D14" s="461"/>
      <c r="E14" s="460"/>
      <c r="F14" s="461"/>
      <c r="G14" s="85" t="str">
        <f>mvalloc!F13</f>
        <v> </v>
      </c>
    </row>
    <row r="15" spans="1:7" ht="15.75">
      <c r="A15" s="293"/>
      <c r="B15" s="310"/>
      <c r="C15" s="460"/>
      <c r="D15" s="461"/>
      <c r="E15" s="460"/>
      <c r="F15" s="461"/>
      <c r="G15" s="9"/>
    </row>
    <row r="16" spans="1:7" ht="15.75">
      <c r="A16" s="293"/>
      <c r="B16" s="310"/>
      <c r="C16" s="460"/>
      <c r="D16" s="461"/>
      <c r="E16" s="460"/>
      <c r="F16" s="461"/>
      <c r="G16" s="9"/>
    </row>
    <row r="17" spans="1:7" ht="15.75">
      <c r="A17" s="304" t="s">
        <v>162</v>
      </c>
      <c r="B17" s="310"/>
      <c r="C17" s="460"/>
      <c r="D17" s="461"/>
      <c r="E17" s="460"/>
      <c r="F17" s="461"/>
      <c r="G17" s="9"/>
    </row>
    <row r="18" spans="1:7" ht="15.75">
      <c r="A18" s="313" t="s">
        <v>26</v>
      </c>
      <c r="B18" s="309"/>
      <c r="C18" s="460"/>
      <c r="D18" s="461"/>
      <c r="E18" s="460"/>
      <c r="F18" s="461"/>
      <c r="G18" s="305"/>
    </row>
    <row r="19" spans="1:7" ht="15.75">
      <c r="A19" s="303" t="s">
        <v>28</v>
      </c>
      <c r="B19" s="309"/>
      <c r="C19" s="480">
        <f>IF(C20*0.1&lt;C18,"Exceed 10% Rule","")</f>
      </c>
      <c r="D19" s="481"/>
      <c r="E19" s="480">
        <f>IF(E20*0.1&lt;E18,"Exceed 10% Rule","")</f>
      </c>
      <c r="F19" s="481"/>
      <c r="G19" s="345">
        <f>IF(G20*0.1+G36&lt;G18,"Exceed 10% Rule","")</f>
      </c>
    </row>
    <row r="20" spans="1:7" ht="15.75">
      <c r="A20" s="150" t="s">
        <v>163</v>
      </c>
      <c r="B20" s="309"/>
      <c r="C20" s="486">
        <f>SUM(C9:C18)</f>
        <v>0</v>
      </c>
      <c r="D20" s="487"/>
      <c r="E20" s="486">
        <f>SUM(E9:E18)</f>
        <v>0</v>
      </c>
      <c r="F20" s="487"/>
      <c r="G20" s="260">
        <f>SUM(G9:G18)</f>
        <v>0</v>
      </c>
    </row>
    <row r="21" spans="1:7" ht="15.75">
      <c r="A21" s="150" t="s">
        <v>164</v>
      </c>
      <c r="B21" s="309"/>
      <c r="C21" s="486">
        <f>C7+C20</f>
        <v>0</v>
      </c>
      <c r="D21" s="487"/>
      <c r="E21" s="486">
        <f>E7+E20</f>
        <v>0</v>
      </c>
      <c r="F21" s="487"/>
      <c r="G21" s="260">
        <f>G7+G20</f>
        <v>0</v>
      </c>
    </row>
    <row r="22" spans="1:7" ht="15.75">
      <c r="A22" s="37" t="s">
        <v>166</v>
      </c>
      <c r="B22" s="309"/>
      <c r="C22" s="506"/>
      <c r="D22" s="507"/>
      <c r="E22" s="506"/>
      <c r="F22" s="507"/>
      <c r="G22" s="42"/>
    </row>
    <row r="23" spans="1:7" ht="15.75">
      <c r="A23" s="293"/>
      <c r="B23" s="310"/>
      <c r="C23" s="460"/>
      <c r="D23" s="461"/>
      <c r="E23" s="460"/>
      <c r="F23" s="461"/>
      <c r="G23" s="9"/>
    </row>
    <row r="24" spans="1:7" ht="15.75">
      <c r="A24" s="293"/>
      <c r="B24" s="310"/>
      <c r="C24" s="460"/>
      <c r="D24" s="461"/>
      <c r="E24" s="460"/>
      <c r="F24" s="461"/>
      <c r="G24" s="9"/>
    </row>
    <row r="25" spans="1:7" ht="15.75">
      <c r="A25" s="293"/>
      <c r="B25" s="310"/>
      <c r="C25" s="460"/>
      <c r="D25" s="461"/>
      <c r="E25" s="460"/>
      <c r="F25" s="461"/>
      <c r="G25" s="9"/>
    </row>
    <row r="26" spans="1:7" ht="15.75">
      <c r="A26" s="293"/>
      <c r="B26" s="310"/>
      <c r="C26" s="460"/>
      <c r="D26" s="461"/>
      <c r="E26" s="460"/>
      <c r="F26" s="461"/>
      <c r="G26" s="9"/>
    </row>
    <row r="27" spans="1:7" ht="15.75">
      <c r="A27" s="311" t="s">
        <v>25</v>
      </c>
      <c r="B27" s="309"/>
      <c r="C27" s="460"/>
      <c r="D27" s="461"/>
      <c r="E27" s="460"/>
      <c r="F27" s="461"/>
      <c r="G27" s="259">
        <f>nhood!E12</f>
      </c>
    </row>
    <row r="28" spans="1:7" ht="15.75">
      <c r="A28" s="311" t="s">
        <v>26</v>
      </c>
      <c r="B28" s="309"/>
      <c r="C28" s="460"/>
      <c r="D28" s="461"/>
      <c r="E28" s="460"/>
      <c r="F28" s="461"/>
      <c r="G28" s="305"/>
    </row>
    <row r="29" spans="1:7" ht="15.75">
      <c r="A29" s="311" t="s">
        <v>27</v>
      </c>
      <c r="B29" s="309"/>
      <c r="C29" s="480">
        <f>IF(C30*0.1&lt;C28,"Exceed 10% Rule","")</f>
      </c>
      <c r="D29" s="481"/>
      <c r="E29" s="480">
        <f>IF(E30*0.1&lt;E28,"Exceed 10% Rule","")</f>
      </c>
      <c r="F29" s="481"/>
      <c r="G29" s="345">
        <f>IF(G30*0.1&lt;G28,"Exceed 10% Rule","")</f>
      </c>
    </row>
    <row r="30" spans="1:7" ht="15.75">
      <c r="A30" s="150" t="s">
        <v>170</v>
      </c>
      <c r="B30" s="309"/>
      <c r="C30" s="486">
        <f>SUM(C23:C28)</f>
        <v>0</v>
      </c>
      <c r="D30" s="487"/>
      <c r="E30" s="486">
        <f>SUM(E23:E28)</f>
        <v>0</v>
      </c>
      <c r="F30" s="487"/>
      <c r="G30" s="260">
        <f>SUM(G23:G28)</f>
        <v>0</v>
      </c>
    </row>
    <row r="31" spans="1:7" ht="15.75">
      <c r="A31" s="37" t="s">
        <v>288</v>
      </c>
      <c r="B31" s="309"/>
      <c r="C31" s="484">
        <f>C21-C30</f>
        <v>0</v>
      </c>
      <c r="D31" s="485"/>
      <c r="E31" s="484">
        <f>E21-E30</f>
        <v>0</v>
      </c>
      <c r="F31" s="485"/>
      <c r="G31" s="97" t="s">
        <v>145</v>
      </c>
    </row>
    <row r="32" spans="1:8" ht="15.75">
      <c r="A32" s="23" t="str">
        <f>CONCATENATE("",G1-2,"/",G1-1," Budget Authority Amount:")</f>
        <v>2008/2009 Budget Authority Amount:</v>
      </c>
      <c r="B32" s="328">
        <f>inputOth!B65</f>
        <v>0</v>
      </c>
      <c r="C32" s="328">
        <f>inputPrYr!D23</f>
        <v>0</v>
      </c>
      <c r="D32" s="473" t="s">
        <v>77</v>
      </c>
      <c r="E32" s="474"/>
      <c r="F32" s="475"/>
      <c r="G32" s="9"/>
      <c r="H32" s="288">
        <f>IF(G30/0.95-G30&lt;G32,"Exceeds 5%","")</f>
      </c>
    </row>
    <row r="33" spans="1:7" ht="15.75">
      <c r="A33" s="23" t="str">
        <f>CONCATENATE("Violation of Budget Law for ",G1-2,"/",G1-1,":")</f>
        <v>Violation of Budget Law for 2008/2009:</v>
      </c>
      <c r="B33" s="329" t="str">
        <f>IF(C30&gt;B32,"Yes","No")</f>
        <v>No</v>
      </c>
      <c r="C33" s="329" t="str">
        <f>IF(E30&gt;C32,"Yes","No")</f>
        <v>No</v>
      </c>
      <c r="D33" s="21"/>
      <c r="E33" s="476" t="s">
        <v>78</v>
      </c>
      <c r="F33" s="477"/>
      <c r="G33" s="85">
        <f>G30+G32</f>
        <v>0</v>
      </c>
    </row>
    <row r="34" spans="1:7" ht="15.75">
      <c r="A34" s="23" t="str">
        <f>CONCATENATE("Possible Cash Violation for ",G1-2,":")</f>
        <v>Possible Cash Violation for 2008:</v>
      </c>
      <c r="B34" s="329" t="str">
        <f>IF(C31&lt;0,"Yes","No")</f>
        <v>No</v>
      </c>
      <c r="C34" s="329"/>
      <c r="D34" s="21"/>
      <c r="E34" s="476" t="s">
        <v>171</v>
      </c>
      <c r="F34" s="477"/>
      <c r="G34" s="259">
        <f>IF(G33-G21&gt;0,G33-G21,0)</f>
        <v>0</v>
      </c>
    </row>
    <row r="35" spans="1:7" ht="15.75">
      <c r="A35" s="24"/>
      <c r="B35" s="24"/>
      <c r="C35" s="478" t="s">
        <v>79</v>
      </c>
      <c r="D35" s="479"/>
      <c r="E35" s="479"/>
      <c r="F35" s="228">
        <f>(inputOth!$E$46)</f>
        <v>0</v>
      </c>
      <c r="G35" s="85">
        <f>ROUND(IF(F35&gt;0,(G34*F35),0),0)</f>
        <v>0</v>
      </c>
    </row>
    <row r="36" spans="1:7" ht="15.75">
      <c r="A36" s="136"/>
      <c r="B36" s="136"/>
      <c r="C36" s="470" t="str">
        <f>CONCATENATE("Amount of  ",$G$1-1," Ad Valorem Tax")</f>
        <v>Amount of  2009 Ad Valorem Tax</v>
      </c>
      <c r="D36" s="471"/>
      <c r="E36" s="471"/>
      <c r="F36" s="472"/>
      <c r="G36" s="384">
        <f>G34+G35</f>
        <v>0</v>
      </c>
    </row>
    <row r="37" spans="1:7" ht="15.75">
      <c r="A37" s="21"/>
      <c r="B37" s="21"/>
      <c r="C37" s="136"/>
      <c r="D37" s="136"/>
      <c r="E37" s="136"/>
      <c r="F37" s="136"/>
      <c r="G37" s="21"/>
    </row>
    <row r="38" spans="1:7" ht="15.75">
      <c r="A38" s="25" t="s">
        <v>156</v>
      </c>
      <c r="B38" s="25"/>
      <c r="C38" s="96"/>
      <c r="D38" s="96"/>
      <c r="E38" s="96"/>
      <c r="F38" s="96"/>
      <c r="G38" s="96"/>
    </row>
    <row r="39" spans="1:7" ht="15.75">
      <c r="A39" s="21"/>
      <c r="B39" s="21"/>
      <c r="C39" s="492" t="s">
        <v>178</v>
      </c>
      <c r="D39" s="493"/>
      <c r="E39" s="488" t="s">
        <v>314</v>
      </c>
      <c r="F39" s="489"/>
      <c r="G39" s="33" t="s">
        <v>315</v>
      </c>
    </row>
    <row r="40" spans="1:7" ht="15.75">
      <c r="A40" s="137">
        <f>inputPrYr!B24</f>
        <v>0</v>
      </c>
      <c r="B40" s="137"/>
      <c r="C40" s="490">
        <f>G1-2</f>
        <v>2008</v>
      </c>
      <c r="D40" s="491"/>
      <c r="E40" s="490">
        <f>G1-1</f>
        <v>2009</v>
      </c>
      <c r="F40" s="491"/>
      <c r="G40" s="144">
        <f>G1</f>
        <v>2010</v>
      </c>
    </row>
    <row r="41" spans="1:7" ht="15.75">
      <c r="A41" s="303" t="s">
        <v>287</v>
      </c>
      <c r="B41" s="309"/>
      <c r="C41" s="460"/>
      <c r="D41" s="461"/>
      <c r="E41" s="468">
        <f>C66</f>
        <v>0</v>
      </c>
      <c r="F41" s="469"/>
      <c r="G41" s="85">
        <f>E66</f>
        <v>0</v>
      </c>
    </row>
    <row r="42" spans="1:7" ht="15.75">
      <c r="A42" s="308" t="s">
        <v>289</v>
      </c>
      <c r="B42" s="309"/>
      <c r="C42" s="464"/>
      <c r="D42" s="465"/>
      <c r="E42" s="464"/>
      <c r="F42" s="465"/>
      <c r="G42" s="40"/>
    </row>
    <row r="43" spans="1:7" ht="15.75">
      <c r="A43" s="37" t="s">
        <v>157</v>
      </c>
      <c r="B43" s="309"/>
      <c r="C43" s="460"/>
      <c r="D43" s="461"/>
      <c r="E43" s="468">
        <f>inputPrYr!E24</f>
        <v>0</v>
      </c>
      <c r="F43" s="469"/>
      <c r="G43" s="97" t="s">
        <v>145</v>
      </c>
    </row>
    <row r="44" spans="1:7" ht="15.75">
      <c r="A44" s="37" t="s">
        <v>158</v>
      </c>
      <c r="B44" s="309"/>
      <c r="C44" s="460"/>
      <c r="D44" s="461"/>
      <c r="E44" s="460"/>
      <c r="F44" s="461"/>
      <c r="G44" s="9"/>
    </row>
    <row r="45" spans="1:7" ht="15.75">
      <c r="A45" s="37" t="s">
        <v>159</v>
      </c>
      <c r="B45" s="309"/>
      <c r="C45" s="460"/>
      <c r="D45" s="461"/>
      <c r="E45" s="460"/>
      <c r="F45" s="461"/>
      <c r="G45" s="85" t="str">
        <f>mvalloc!C14</f>
        <v>  </v>
      </c>
    </row>
    <row r="46" spans="1:7" ht="15.75">
      <c r="A46" s="37" t="s">
        <v>160</v>
      </c>
      <c r="B46" s="309"/>
      <c r="C46" s="460"/>
      <c r="D46" s="461"/>
      <c r="E46" s="460"/>
      <c r="F46" s="461"/>
      <c r="G46" s="85" t="str">
        <f>mvalloc!D14</f>
        <v> </v>
      </c>
    </row>
    <row r="47" spans="1:7" ht="15.75">
      <c r="A47" s="313" t="s">
        <v>264</v>
      </c>
      <c r="B47" s="309"/>
      <c r="C47" s="460"/>
      <c r="D47" s="461"/>
      <c r="E47" s="460"/>
      <c r="F47" s="461"/>
      <c r="G47" s="85" t="str">
        <f>mvalloc!E14</f>
        <v> </v>
      </c>
    </row>
    <row r="48" spans="1:7" ht="15.75">
      <c r="A48" s="314" t="s">
        <v>333</v>
      </c>
      <c r="B48" s="309"/>
      <c r="C48" s="460"/>
      <c r="D48" s="461"/>
      <c r="E48" s="460"/>
      <c r="F48" s="461"/>
      <c r="G48" s="85" t="str">
        <f>mvalloc!F14</f>
        <v> </v>
      </c>
    </row>
    <row r="49" spans="1:7" ht="15.75">
      <c r="A49" s="293"/>
      <c r="B49" s="310"/>
      <c r="C49" s="460"/>
      <c r="D49" s="461"/>
      <c r="E49" s="460"/>
      <c r="F49" s="461"/>
      <c r="G49" s="9"/>
    </row>
    <row r="50" spans="1:7" ht="15.75">
      <c r="A50" s="293"/>
      <c r="B50" s="310"/>
      <c r="C50" s="460"/>
      <c r="D50" s="461"/>
      <c r="E50" s="460"/>
      <c r="F50" s="461"/>
      <c r="G50" s="9"/>
    </row>
    <row r="51" spans="1:7" ht="15.75">
      <c r="A51" s="304" t="s">
        <v>162</v>
      </c>
      <c r="B51" s="310"/>
      <c r="C51" s="460"/>
      <c r="D51" s="461"/>
      <c r="E51" s="460"/>
      <c r="F51" s="461"/>
      <c r="G51" s="9"/>
    </row>
    <row r="52" spans="1:7" ht="15.75">
      <c r="A52" s="313" t="s">
        <v>26</v>
      </c>
      <c r="B52" s="309"/>
      <c r="C52" s="460"/>
      <c r="D52" s="461"/>
      <c r="E52" s="460"/>
      <c r="F52" s="461"/>
      <c r="G52" s="305"/>
    </row>
    <row r="53" spans="1:7" ht="15.75">
      <c r="A53" s="303" t="s">
        <v>28</v>
      </c>
      <c r="B53" s="309"/>
      <c r="C53" s="480">
        <f>IF(C54*0.1&lt;C52,"Exceed 10% Rule","")</f>
      </c>
      <c r="D53" s="481"/>
      <c r="E53" s="480">
        <f>IF(E54*0.1&lt;E52,"Exceed 10% Rule","")</f>
      </c>
      <c r="F53" s="481"/>
      <c r="G53" s="345">
        <f>IF(G54*0.1+G71&lt;G52,"Exceed 10% Rule","")</f>
      </c>
    </row>
    <row r="54" spans="1:7" ht="15.75">
      <c r="A54" s="150" t="s">
        <v>163</v>
      </c>
      <c r="B54" s="309"/>
      <c r="C54" s="486">
        <f>SUM(C43:C52)</f>
        <v>0</v>
      </c>
      <c r="D54" s="487"/>
      <c r="E54" s="486">
        <f>SUM(E43:E52)</f>
        <v>0</v>
      </c>
      <c r="F54" s="487"/>
      <c r="G54" s="260">
        <f>SUM(G43:G52)</f>
        <v>0</v>
      </c>
    </row>
    <row r="55" spans="1:7" ht="15.75">
      <c r="A55" s="150" t="s">
        <v>164</v>
      </c>
      <c r="B55" s="309"/>
      <c r="C55" s="486">
        <f>C41+C54</f>
        <v>0</v>
      </c>
      <c r="D55" s="487"/>
      <c r="E55" s="486">
        <f>E41+E54</f>
        <v>0</v>
      </c>
      <c r="F55" s="487"/>
      <c r="G55" s="260">
        <f>G41+G54</f>
        <v>0</v>
      </c>
    </row>
    <row r="56" spans="1:7" ht="15.75">
      <c r="A56" s="37" t="s">
        <v>166</v>
      </c>
      <c r="B56" s="309"/>
      <c r="C56" s="506"/>
      <c r="D56" s="507"/>
      <c r="E56" s="506"/>
      <c r="F56" s="507"/>
      <c r="G56" s="42"/>
    </row>
    <row r="57" spans="1:7" ht="15.75">
      <c r="A57" s="293"/>
      <c r="B57" s="310"/>
      <c r="C57" s="460"/>
      <c r="D57" s="461"/>
      <c r="E57" s="460"/>
      <c r="F57" s="461"/>
      <c r="G57" s="9"/>
    </row>
    <row r="58" spans="1:7" ht="15.75">
      <c r="A58" s="293"/>
      <c r="B58" s="310"/>
      <c r="C58" s="460"/>
      <c r="D58" s="461"/>
      <c r="E58" s="460"/>
      <c r="F58" s="461"/>
      <c r="G58" s="9"/>
    </row>
    <row r="59" spans="1:7" ht="15.75">
      <c r="A59" s="293"/>
      <c r="B59" s="310"/>
      <c r="C59" s="460"/>
      <c r="D59" s="461"/>
      <c r="E59" s="460"/>
      <c r="F59" s="461"/>
      <c r="G59" s="9"/>
    </row>
    <row r="60" spans="1:7" ht="15.75">
      <c r="A60" s="293"/>
      <c r="B60" s="310"/>
      <c r="C60" s="460"/>
      <c r="D60" s="461"/>
      <c r="E60" s="460"/>
      <c r="F60" s="461"/>
      <c r="G60" s="9"/>
    </row>
    <row r="61" spans="1:7" ht="15.75">
      <c r="A61" s="293"/>
      <c r="B61" s="310"/>
      <c r="C61" s="460"/>
      <c r="D61" s="461"/>
      <c r="E61" s="460"/>
      <c r="F61" s="461"/>
      <c r="G61" s="347"/>
    </row>
    <row r="62" spans="1:7" ht="15.75">
      <c r="A62" s="311" t="s">
        <v>25</v>
      </c>
      <c r="B62" s="309"/>
      <c r="C62" s="460"/>
      <c r="D62" s="461"/>
      <c r="E62" s="460"/>
      <c r="F62" s="461"/>
      <c r="G62" s="259">
        <f>nhood!E13</f>
      </c>
    </row>
    <row r="63" spans="1:7" ht="15.75">
      <c r="A63" s="311" t="s">
        <v>26</v>
      </c>
      <c r="B63" s="309"/>
      <c r="C63" s="460"/>
      <c r="D63" s="461"/>
      <c r="E63" s="460"/>
      <c r="F63" s="461"/>
      <c r="G63" s="305"/>
    </row>
    <row r="64" spans="1:7" ht="15.75">
      <c r="A64" s="311" t="s">
        <v>27</v>
      </c>
      <c r="B64" s="309"/>
      <c r="C64" s="480">
        <f>IF(C65*0.1&lt;C63,"Exceed 10% Rule","")</f>
      </c>
      <c r="D64" s="481"/>
      <c r="E64" s="480">
        <f>IF(E65*0.1&lt;E63,"Exceed 10% Rule","")</f>
      </c>
      <c r="F64" s="481"/>
      <c r="G64" s="345">
        <f>IF(G65*0.1&lt;G63,"Exceed 10% Rule","")</f>
      </c>
    </row>
    <row r="65" spans="1:7" ht="15.75">
      <c r="A65" s="150" t="s">
        <v>170</v>
      </c>
      <c r="B65" s="309"/>
      <c r="C65" s="486">
        <f>SUM(C57:C63)</f>
        <v>0</v>
      </c>
      <c r="D65" s="487"/>
      <c r="E65" s="486">
        <f>SUM(E57:E63)</f>
        <v>0</v>
      </c>
      <c r="F65" s="487"/>
      <c r="G65" s="260">
        <f>SUM(G57:G63)</f>
        <v>0</v>
      </c>
    </row>
    <row r="66" spans="1:7" ht="15.75">
      <c r="A66" s="37" t="s">
        <v>288</v>
      </c>
      <c r="B66" s="309"/>
      <c r="C66" s="484">
        <f>C55-C65</f>
        <v>0</v>
      </c>
      <c r="D66" s="485"/>
      <c r="E66" s="484">
        <f>E55-E65</f>
        <v>0</v>
      </c>
      <c r="F66" s="485"/>
      <c r="G66" s="97" t="s">
        <v>145</v>
      </c>
    </row>
    <row r="67" spans="1:8" ht="15.75">
      <c r="A67" s="23" t="str">
        <f>CONCATENATE("",G1-2,"/",G1-1," Budget Authority Amount:")</f>
        <v>2008/2009 Budget Authority Amount:</v>
      </c>
      <c r="B67" s="328">
        <f>inputOth!B66</f>
        <v>0</v>
      </c>
      <c r="C67" s="328">
        <f>inputPrYr!D24</f>
        <v>0</v>
      </c>
      <c r="D67" s="473" t="s">
        <v>77</v>
      </c>
      <c r="E67" s="474"/>
      <c r="F67" s="475"/>
      <c r="G67" s="9"/>
      <c r="H67" s="288">
        <f>IF(G65/0.95-G65&lt;G67,"Exceeds 5%","")</f>
      </c>
    </row>
    <row r="68" spans="1:7" ht="15.75">
      <c r="A68" s="23" t="str">
        <f>CONCATENATE("Violation of Budget Law for ",G1-2,"/",G1-1,":")</f>
        <v>Violation of Budget Law for 2008/2009:</v>
      </c>
      <c r="B68" s="329" t="str">
        <f>IF(C65&gt;B67,"Yes","No")</f>
        <v>No</v>
      </c>
      <c r="C68" s="329" t="str">
        <f>IF(E65&gt;C67,"Yes","No")</f>
        <v>No</v>
      </c>
      <c r="D68" s="21"/>
      <c r="E68" s="476" t="s">
        <v>78</v>
      </c>
      <c r="F68" s="477"/>
      <c r="G68" s="85">
        <f>G65+G67</f>
        <v>0</v>
      </c>
    </row>
    <row r="69" spans="1:7" ht="15.75">
      <c r="A69" s="23" t="str">
        <f>CONCATENATE("Possible Cash Violation for ",G1-2,":")</f>
        <v>Possible Cash Violation for 2008:</v>
      </c>
      <c r="B69" s="329" t="str">
        <f>IF(C66&lt;0,"Yes","No")</f>
        <v>No</v>
      </c>
      <c r="C69" s="329"/>
      <c r="D69" s="21"/>
      <c r="E69" s="476" t="s">
        <v>171</v>
      </c>
      <c r="F69" s="477"/>
      <c r="G69" s="259">
        <f>IF(G68-G55&gt;0,G68-G55,0)</f>
        <v>0</v>
      </c>
    </row>
    <row r="70" spans="1:7" ht="15.75">
      <c r="A70" s="24"/>
      <c r="B70" s="24"/>
      <c r="C70" s="478" t="s">
        <v>79</v>
      </c>
      <c r="D70" s="479"/>
      <c r="E70" s="479"/>
      <c r="F70" s="228">
        <f>(inputOth!$E$46)</f>
        <v>0</v>
      </c>
      <c r="G70" s="85">
        <f>ROUND(IF(F70&gt;0,(G69*F70),0),0)</f>
        <v>0</v>
      </c>
    </row>
    <row r="71" spans="1:7" ht="15.75">
      <c r="A71" s="21"/>
      <c r="B71" s="21"/>
      <c r="C71" s="470" t="str">
        <f>CONCATENATE("Amount of  ",$G$1-1," Ad Valorem Tax")</f>
        <v>Amount of  2009 Ad Valorem Tax</v>
      </c>
      <c r="D71" s="471"/>
      <c r="E71" s="471"/>
      <c r="F71" s="472"/>
      <c r="G71" s="384">
        <f>G69+G70</f>
        <v>0</v>
      </c>
    </row>
    <row r="72" spans="1:7" ht="15.75">
      <c r="A72" s="21"/>
      <c r="B72" s="21"/>
      <c r="C72" s="21"/>
      <c r="D72" s="21"/>
      <c r="E72" s="21"/>
      <c r="F72" s="21"/>
      <c r="G72" s="21"/>
    </row>
    <row r="73" spans="1:7" ht="15.75">
      <c r="A73" s="24"/>
      <c r="B73" s="24" t="s">
        <v>173</v>
      </c>
      <c r="C73" s="100"/>
      <c r="D73" s="136"/>
      <c r="E73" s="21"/>
      <c r="F73" s="21"/>
      <c r="G73" s="21"/>
    </row>
  </sheetData>
  <sheetProtection sheet="1" objects="1" scenarios="1"/>
  <mergeCells count="120">
    <mergeCell ref="E53:F53"/>
    <mergeCell ref="C44:D44"/>
    <mergeCell ref="C66:D66"/>
    <mergeCell ref="C65:D65"/>
    <mergeCell ref="C64:D64"/>
    <mergeCell ref="E66:F66"/>
    <mergeCell ref="E65:F65"/>
    <mergeCell ref="E64:F64"/>
    <mergeCell ref="C55:D55"/>
    <mergeCell ref="E55:F55"/>
    <mergeCell ref="E54:F54"/>
    <mergeCell ref="C40:D40"/>
    <mergeCell ref="C41:D41"/>
    <mergeCell ref="E43:F43"/>
    <mergeCell ref="E42:F42"/>
    <mergeCell ref="E41:F41"/>
    <mergeCell ref="E40:F40"/>
    <mergeCell ref="C42:D42"/>
    <mergeCell ref="C43:D43"/>
    <mergeCell ref="E44:F44"/>
    <mergeCell ref="E39:F39"/>
    <mergeCell ref="C39:D39"/>
    <mergeCell ref="E17:F17"/>
    <mergeCell ref="E18:F18"/>
    <mergeCell ref="C26:D26"/>
    <mergeCell ref="C28:D28"/>
    <mergeCell ref="E28:F28"/>
    <mergeCell ref="C29:D29"/>
    <mergeCell ref="C18:D18"/>
    <mergeCell ref="C24:D24"/>
    <mergeCell ref="C9:D9"/>
    <mergeCell ref="C10:D10"/>
    <mergeCell ref="C11:D11"/>
    <mergeCell ref="C12:D12"/>
    <mergeCell ref="C16:D16"/>
    <mergeCell ref="C17:D17"/>
    <mergeCell ref="C23:D23"/>
    <mergeCell ref="C25:D25"/>
    <mergeCell ref="E13:F13"/>
    <mergeCell ref="C13:D13"/>
    <mergeCell ref="C14:D14"/>
    <mergeCell ref="C15:D15"/>
    <mergeCell ref="C20:D20"/>
    <mergeCell ref="E15:F15"/>
    <mergeCell ref="E16:F16"/>
    <mergeCell ref="E45:F45"/>
    <mergeCell ref="E46:F46"/>
    <mergeCell ref="E47:F47"/>
    <mergeCell ref="C49:D49"/>
    <mergeCell ref="C50:D50"/>
    <mergeCell ref="C45:D45"/>
    <mergeCell ref="C46:D46"/>
    <mergeCell ref="C47:D47"/>
    <mergeCell ref="C48:D48"/>
    <mergeCell ref="C54:D54"/>
    <mergeCell ref="C53:D53"/>
    <mergeCell ref="E56:F56"/>
    <mergeCell ref="E48:F48"/>
    <mergeCell ref="E49:F49"/>
    <mergeCell ref="E50:F50"/>
    <mergeCell ref="E51:F51"/>
    <mergeCell ref="C51:D51"/>
    <mergeCell ref="C52:D52"/>
    <mergeCell ref="C56:D56"/>
    <mergeCell ref="C57:D57"/>
    <mergeCell ref="C58:D58"/>
    <mergeCell ref="C59:D59"/>
    <mergeCell ref="E57:F57"/>
    <mergeCell ref="E58:F58"/>
    <mergeCell ref="E59:F59"/>
    <mergeCell ref="C31:D31"/>
    <mergeCell ref="E29:F29"/>
    <mergeCell ref="E30:F30"/>
    <mergeCell ref="E31:F31"/>
    <mergeCell ref="E63:F63"/>
    <mergeCell ref="C60:D60"/>
    <mergeCell ref="C61:D61"/>
    <mergeCell ref="C62:D62"/>
    <mergeCell ref="C63:D63"/>
    <mergeCell ref="E52:F52"/>
    <mergeCell ref="E10:F10"/>
    <mergeCell ref="E11:F11"/>
    <mergeCell ref="E12:F12"/>
    <mergeCell ref="C30:D30"/>
    <mergeCell ref="C27:D27"/>
    <mergeCell ref="E23:F23"/>
    <mergeCell ref="E24:F24"/>
    <mergeCell ref="E25:F25"/>
    <mergeCell ref="E26:F26"/>
    <mergeCell ref="E27:F27"/>
    <mergeCell ref="C5:D5"/>
    <mergeCell ref="C6:D6"/>
    <mergeCell ref="C7:D7"/>
    <mergeCell ref="E7:F7"/>
    <mergeCell ref="E6:F6"/>
    <mergeCell ref="E21:F21"/>
    <mergeCell ref="E20:F20"/>
    <mergeCell ref="E19:F19"/>
    <mergeCell ref="E5:F5"/>
    <mergeCell ref="E14:F14"/>
    <mergeCell ref="C8:D8"/>
    <mergeCell ref="D32:F32"/>
    <mergeCell ref="E33:F33"/>
    <mergeCell ref="E34:F34"/>
    <mergeCell ref="E9:F9"/>
    <mergeCell ref="E8:F8"/>
    <mergeCell ref="C22:D22"/>
    <mergeCell ref="E22:F22"/>
    <mergeCell ref="C21:D21"/>
    <mergeCell ref="C19:D19"/>
    <mergeCell ref="C71:F71"/>
    <mergeCell ref="C35:E35"/>
    <mergeCell ref="C36:F36"/>
    <mergeCell ref="D67:F67"/>
    <mergeCell ref="E68:F68"/>
    <mergeCell ref="E69:F69"/>
    <mergeCell ref="C70:E70"/>
    <mergeCell ref="E60:F60"/>
    <mergeCell ref="E61:F61"/>
    <mergeCell ref="E62:F62"/>
  </mergeCells>
  <conditionalFormatting sqref="G28">
    <cfRule type="cellIs" priority="1" dxfId="271" operator="greaterThan" stopIfTrue="1">
      <formula>$G$30*0.1</formula>
    </cfRule>
  </conditionalFormatting>
  <conditionalFormatting sqref="G32">
    <cfRule type="cellIs" priority="2" dxfId="271" operator="greaterThan" stopIfTrue="1">
      <formula>$G$30/0.95-$G$30</formula>
    </cfRule>
  </conditionalFormatting>
  <conditionalFormatting sqref="G63">
    <cfRule type="cellIs" priority="3" dxfId="271" operator="greaterThan" stopIfTrue="1">
      <formula>$G$65*0.1</formula>
    </cfRule>
  </conditionalFormatting>
  <conditionalFormatting sqref="G67">
    <cfRule type="cellIs" priority="4" dxfId="271" operator="greaterThan" stopIfTrue="1">
      <formula>$G$65/0.95-$G$65</formula>
    </cfRule>
  </conditionalFormatting>
  <conditionalFormatting sqref="C28:D28">
    <cfRule type="cellIs" priority="5" dxfId="0" operator="greaterThan" stopIfTrue="1">
      <formula>$C$30*0.1</formula>
    </cfRule>
  </conditionalFormatting>
  <conditionalFormatting sqref="E28:F28">
    <cfRule type="cellIs" priority="6" dxfId="0" operator="greaterThan" stopIfTrue="1">
      <formula>$E$30*0.1</formula>
    </cfRule>
  </conditionalFormatting>
  <conditionalFormatting sqref="E30:F30">
    <cfRule type="cellIs" priority="7" dxfId="0" operator="greaterThan" stopIfTrue="1">
      <formula>$C$32</formula>
    </cfRule>
  </conditionalFormatting>
  <conditionalFormatting sqref="C30:D30">
    <cfRule type="cellIs" priority="8" dxfId="0" operator="greaterThan" stopIfTrue="1">
      <formula>$B$32</formula>
    </cfRule>
  </conditionalFormatting>
  <conditionalFormatting sqref="C31:D31 C66:D66">
    <cfRule type="cellIs" priority="9" dxfId="0" operator="lessThan" stopIfTrue="1">
      <formula>0</formula>
    </cfRule>
  </conditionalFormatting>
  <conditionalFormatting sqref="C63:D63">
    <cfRule type="cellIs" priority="10" dxfId="0" operator="greaterThan" stopIfTrue="1">
      <formula>$C$65*0.1</formula>
    </cfRule>
  </conditionalFormatting>
  <conditionalFormatting sqref="E63:F63">
    <cfRule type="cellIs" priority="11" dxfId="0" operator="greaterThan" stopIfTrue="1">
      <formula>$E$65*0.1</formula>
    </cfRule>
  </conditionalFormatting>
  <conditionalFormatting sqref="E65:F65">
    <cfRule type="cellIs" priority="12" dxfId="0" operator="greaterThan" stopIfTrue="1">
      <formula>$C$67</formula>
    </cfRule>
  </conditionalFormatting>
  <conditionalFormatting sqref="C65:D65">
    <cfRule type="cellIs" priority="13" dxfId="0" operator="greaterThan" stopIfTrue="1">
      <formula>$B$67</formula>
    </cfRule>
  </conditionalFormatting>
  <conditionalFormatting sqref="E18:F18">
    <cfRule type="cellIs" priority="14" dxfId="0" operator="greaterThan" stopIfTrue="1">
      <formula>$E$20*0.1</formula>
    </cfRule>
  </conditionalFormatting>
  <conditionalFormatting sqref="C18:D18">
    <cfRule type="cellIs" priority="15" dxfId="0" operator="greaterThan" stopIfTrue="1">
      <formula>$C$20*0.1</formula>
    </cfRule>
  </conditionalFormatting>
  <conditionalFormatting sqref="E52:F52">
    <cfRule type="cellIs" priority="16" dxfId="0" operator="greaterThan" stopIfTrue="1">
      <formula>$E$54*0.1</formula>
    </cfRule>
  </conditionalFormatting>
  <conditionalFormatting sqref="C52:D52">
    <cfRule type="cellIs" priority="17" dxfId="0" operator="greaterThan" stopIfTrue="1">
      <formula>$C$54*0.1</formula>
    </cfRule>
  </conditionalFormatting>
  <conditionalFormatting sqref="G18">
    <cfRule type="cellIs" priority="18" dxfId="271" operator="greaterThan" stopIfTrue="1">
      <formula>$G$20*0.1+G36</formula>
    </cfRule>
  </conditionalFormatting>
  <conditionalFormatting sqref="G52">
    <cfRule type="cellIs" priority="19" dxfId="271" operator="greaterThan" stopIfTrue="1">
      <formula>$G$54*0.1=G71</formula>
    </cfRule>
  </conditionalFormatting>
  <printOptions/>
  <pageMargins left="0.5" right="0.5" top="1" bottom="0.5" header="0.5" footer="0.5"/>
  <pageSetup blackAndWhite="1" fitToHeight="1" fitToWidth="1" horizontalDpi="120" verticalDpi="120" orientation="portrait" scale="60" r:id="rId1"/>
  <headerFooter alignWithMargins="0">
    <oddHeader>&amp;RState of Kansas
City</oddHeader>
    <oddFooter>&amp;Lrevised 8/21/08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F36" sqref="F36"/>
    </sheetView>
  </sheetViews>
  <sheetFormatPr defaultColWidth="8.796875" defaultRowHeight="15"/>
  <cols>
    <col min="1" max="1" width="28.796875" style="7" customWidth="1"/>
    <col min="2" max="2" width="9.59765625" style="7" customWidth="1"/>
    <col min="3" max="3" width="10.3984375" style="7" customWidth="1"/>
    <col min="4" max="4" width="5.796875" style="7" customWidth="1"/>
    <col min="5" max="5" width="9.69921875" style="7" customWidth="1"/>
    <col min="6" max="6" width="6.69921875" style="7" customWidth="1"/>
    <col min="7" max="7" width="16.09765625" style="7" customWidth="1"/>
    <col min="8" max="16384" width="8.8984375" style="7" customWidth="1"/>
  </cols>
  <sheetData>
    <row r="1" spans="1:7" ht="15.75">
      <c r="A1" s="72" t="str">
        <f>(inputPrYr!D2)</f>
        <v>City of Ellsworth</v>
      </c>
      <c r="B1" s="72"/>
      <c r="C1" s="21"/>
      <c r="D1" s="21"/>
      <c r="E1" s="21"/>
      <c r="F1" s="21"/>
      <c r="G1" s="138">
        <f>inputPrYr!C5</f>
        <v>2010</v>
      </c>
    </row>
    <row r="2" spans="1:7" ht="15.75">
      <c r="A2" s="21"/>
      <c r="B2" s="21"/>
      <c r="C2" s="21"/>
      <c r="D2" s="21"/>
      <c r="E2" s="21"/>
      <c r="F2" s="21"/>
      <c r="G2" s="24"/>
    </row>
    <row r="3" spans="1:7" ht="15.75">
      <c r="A3" s="90" t="s">
        <v>231</v>
      </c>
      <c r="B3" s="90"/>
      <c r="C3" s="94"/>
      <c r="D3" s="94"/>
      <c r="E3" s="94"/>
      <c r="F3" s="94"/>
      <c r="G3" s="95"/>
    </row>
    <row r="4" spans="1:7" ht="15.75">
      <c r="A4" s="21"/>
      <c r="B4" s="21"/>
      <c r="C4" s="96"/>
      <c r="D4" s="96"/>
      <c r="E4" s="96"/>
      <c r="F4" s="96"/>
      <c r="G4" s="96"/>
    </row>
    <row r="5" spans="1:7" ht="15.75">
      <c r="A5" s="25" t="s">
        <v>156</v>
      </c>
      <c r="B5" s="25"/>
      <c r="C5" s="492" t="s">
        <v>178</v>
      </c>
      <c r="D5" s="493"/>
      <c r="E5" s="488" t="s">
        <v>314</v>
      </c>
      <c r="F5" s="489"/>
      <c r="G5" s="33" t="s">
        <v>315</v>
      </c>
    </row>
    <row r="6" spans="1:7" ht="15.75">
      <c r="A6" s="137">
        <f>inputPrYr!B25</f>
        <v>0</v>
      </c>
      <c r="B6" s="137"/>
      <c r="C6" s="490">
        <f>G1-2</f>
        <v>2008</v>
      </c>
      <c r="D6" s="491"/>
      <c r="E6" s="490">
        <f>G1-1</f>
        <v>2009</v>
      </c>
      <c r="F6" s="491"/>
      <c r="G6" s="144">
        <f>G1</f>
        <v>2010</v>
      </c>
    </row>
    <row r="7" spans="1:7" ht="15.75">
      <c r="A7" s="303" t="s">
        <v>287</v>
      </c>
      <c r="B7" s="309"/>
      <c r="C7" s="460"/>
      <c r="D7" s="461"/>
      <c r="E7" s="468">
        <f>C32</f>
        <v>0</v>
      </c>
      <c r="F7" s="469"/>
      <c r="G7" s="85">
        <f>E32</f>
        <v>0</v>
      </c>
    </row>
    <row r="8" spans="1:7" ht="15.75">
      <c r="A8" s="308" t="s">
        <v>289</v>
      </c>
      <c r="B8" s="309"/>
      <c r="C8" s="464"/>
      <c r="D8" s="465"/>
      <c r="E8" s="464"/>
      <c r="F8" s="465"/>
      <c r="G8" s="40"/>
    </row>
    <row r="9" spans="1:7" ht="15.75">
      <c r="A9" s="37" t="s">
        <v>157</v>
      </c>
      <c r="B9" s="309"/>
      <c r="C9" s="460"/>
      <c r="D9" s="461"/>
      <c r="E9" s="468">
        <f>inputPrYr!E25</f>
        <v>0</v>
      </c>
      <c r="F9" s="469"/>
      <c r="G9" s="97" t="s">
        <v>145</v>
      </c>
    </row>
    <row r="10" spans="1:7" ht="15.75">
      <c r="A10" s="37" t="s">
        <v>158</v>
      </c>
      <c r="B10" s="309"/>
      <c r="C10" s="460"/>
      <c r="D10" s="461"/>
      <c r="E10" s="460"/>
      <c r="F10" s="461"/>
      <c r="G10" s="9"/>
    </row>
    <row r="11" spans="1:7" ht="15.75">
      <c r="A11" s="37" t="s">
        <v>159</v>
      </c>
      <c r="B11" s="309"/>
      <c r="C11" s="460"/>
      <c r="D11" s="461"/>
      <c r="E11" s="460"/>
      <c r="F11" s="461"/>
      <c r="G11" s="85" t="str">
        <f>mvalloc!C15</f>
        <v>  </v>
      </c>
    </row>
    <row r="12" spans="1:7" ht="15.75">
      <c r="A12" s="37" t="s">
        <v>160</v>
      </c>
      <c r="B12" s="309"/>
      <c r="C12" s="460"/>
      <c r="D12" s="461"/>
      <c r="E12" s="460"/>
      <c r="F12" s="461"/>
      <c r="G12" s="85" t="str">
        <f>mvalloc!D15</f>
        <v> </v>
      </c>
    </row>
    <row r="13" spans="1:7" ht="15.75">
      <c r="A13" s="313" t="s">
        <v>264</v>
      </c>
      <c r="B13" s="309"/>
      <c r="C13" s="460"/>
      <c r="D13" s="461"/>
      <c r="E13" s="460"/>
      <c r="F13" s="461"/>
      <c r="G13" s="85" t="str">
        <f>mvalloc!E15</f>
        <v> </v>
      </c>
    </row>
    <row r="14" spans="1:7" ht="15.75">
      <c r="A14" s="314" t="s">
        <v>333</v>
      </c>
      <c r="B14" s="309"/>
      <c r="C14" s="460"/>
      <c r="D14" s="461"/>
      <c r="E14" s="460"/>
      <c r="F14" s="461"/>
      <c r="G14" s="85" t="str">
        <f>mvalloc!F15</f>
        <v> </v>
      </c>
    </row>
    <row r="15" spans="1:7" ht="15.75">
      <c r="A15" s="293"/>
      <c r="B15" s="310"/>
      <c r="C15" s="460"/>
      <c r="D15" s="461"/>
      <c r="E15" s="460"/>
      <c r="F15" s="461"/>
      <c r="G15" s="9"/>
    </row>
    <row r="16" spans="1:7" ht="15.75">
      <c r="A16" s="293"/>
      <c r="B16" s="310"/>
      <c r="C16" s="460"/>
      <c r="D16" s="461"/>
      <c r="E16" s="460"/>
      <c r="F16" s="461"/>
      <c r="G16" s="9"/>
    </row>
    <row r="17" spans="1:7" ht="15.75">
      <c r="A17" s="304" t="s">
        <v>162</v>
      </c>
      <c r="B17" s="310"/>
      <c r="C17" s="460"/>
      <c r="D17" s="461"/>
      <c r="E17" s="460"/>
      <c r="F17" s="461"/>
      <c r="G17" s="9"/>
    </row>
    <row r="18" spans="1:7" ht="15.75">
      <c r="A18" s="313" t="s">
        <v>26</v>
      </c>
      <c r="B18" s="309"/>
      <c r="C18" s="460"/>
      <c r="D18" s="461"/>
      <c r="E18" s="460"/>
      <c r="F18" s="461"/>
      <c r="G18" s="305"/>
    </row>
    <row r="19" spans="1:7" ht="15.75">
      <c r="A19" s="303" t="s">
        <v>28</v>
      </c>
      <c r="B19" s="309"/>
      <c r="C19" s="480">
        <f>IF(C20*0.1&lt;C18,"Exceed 10% Rule","")</f>
      </c>
      <c r="D19" s="481"/>
      <c r="E19" s="480">
        <f>IF(E20*0.1&lt;E18,"Exceed 10% Rule","")</f>
      </c>
      <c r="F19" s="481"/>
      <c r="G19" s="345">
        <f>IF(G20*0.1+G37&lt;G18,"Exceed 10% Rule","")</f>
      </c>
    </row>
    <row r="20" spans="1:7" ht="15.75">
      <c r="A20" s="150" t="s">
        <v>163</v>
      </c>
      <c r="B20" s="309"/>
      <c r="C20" s="486">
        <f>SUM(C9:C18)</f>
        <v>0</v>
      </c>
      <c r="D20" s="487"/>
      <c r="E20" s="486">
        <f>SUM(E9:E18)</f>
        <v>0</v>
      </c>
      <c r="F20" s="487"/>
      <c r="G20" s="260">
        <f>SUM(G9:G18)</f>
        <v>0</v>
      </c>
    </row>
    <row r="21" spans="1:7" ht="15.75">
      <c r="A21" s="150" t="s">
        <v>164</v>
      </c>
      <c r="B21" s="309"/>
      <c r="C21" s="486">
        <f>C7+C20</f>
        <v>0</v>
      </c>
      <c r="D21" s="487"/>
      <c r="E21" s="486">
        <f>E7+E20</f>
        <v>0</v>
      </c>
      <c r="F21" s="487"/>
      <c r="G21" s="260">
        <f>G7+G20</f>
        <v>0</v>
      </c>
    </row>
    <row r="22" spans="1:7" ht="15.75">
      <c r="A22" s="37" t="s">
        <v>166</v>
      </c>
      <c r="B22" s="309"/>
      <c r="C22" s="506"/>
      <c r="D22" s="507"/>
      <c r="E22" s="506"/>
      <c r="F22" s="507"/>
      <c r="G22" s="42"/>
    </row>
    <row r="23" spans="1:7" ht="15.75">
      <c r="A23" s="293"/>
      <c r="B23" s="310"/>
      <c r="C23" s="460"/>
      <c r="D23" s="461"/>
      <c r="E23" s="460"/>
      <c r="F23" s="461"/>
      <c r="G23" s="9"/>
    </row>
    <row r="24" spans="1:7" ht="15.75">
      <c r="A24" s="293"/>
      <c r="B24" s="310"/>
      <c r="C24" s="460"/>
      <c r="D24" s="461"/>
      <c r="E24" s="460"/>
      <c r="F24" s="461"/>
      <c r="G24" s="9"/>
    </row>
    <row r="25" spans="1:7" ht="15.75">
      <c r="A25" s="293"/>
      <c r="B25" s="310"/>
      <c r="C25" s="460"/>
      <c r="D25" s="461"/>
      <c r="E25" s="460"/>
      <c r="F25" s="461"/>
      <c r="G25" s="9"/>
    </row>
    <row r="26" spans="1:7" ht="15.75">
      <c r="A26" s="293"/>
      <c r="B26" s="310"/>
      <c r="C26" s="460"/>
      <c r="D26" s="461"/>
      <c r="E26" s="460"/>
      <c r="F26" s="461"/>
      <c r="G26" s="9"/>
    </row>
    <row r="27" spans="1:7" ht="15.75">
      <c r="A27" s="293"/>
      <c r="B27" s="310"/>
      <c r="C27" s="460"/>
      <c r="D27" s="461"/>
      <c r="E27" s="460"/>
      <c r="F27" s="461"/>
      <c r="G27" s="9"/>
    </row>
    <row r="28" spans="1:7" ht="15.75">
      <c r="A28" s="311" t="s">
        <v>25</v>
      </c>
      <c r="B28" s="309"/>
      <c r="C28" s="460"/>
      <c r="D28" s="461"/>
      <c r="E28" s="460"/>
      <c r="F28" s="461"/>
      <c r="G28" s="259">
        <f>nhood!E14</f>
      </c>
    </row>
    <row r="29" spans="1:7" ht="15.75">
      <c r="A29" s="311" t="s">
        <v>26</v>
      </c>
      <c r="B29" s="309"/>
      <c r="C29" s="460"/>
      <c r="D29" s="461"/>
      <c r="E29" s="460"/>
      <c r="F29" s="461"/>
      <c r="G29" s="305"/>
    </row>
    <row r="30" spans="1:7" ht="15.75">
      <c r="A30" s="311" t="s">
        <v>27</v>
      </c>
      <c r="B30" s="309"/>
      <c r="C30" s="480">
        <f>IF(C31*0.1&lt;C29,"Exceed 10% Rule","")</f>
      </c>
      <c r="D30" s="481"/>
      <c r="E30" s="480">
        <f>IF(E31*0.1&lt;E29,"Exceed 10% Rule","")</f>
      </c>
      <c r="F30" s="481"/>
      <c r="G30" s="345">
        <f>IF(G31*0.1&lt;G29,"Exceed 10% Rule","")</f>
      </c>
    </row>
    <row r="31" spans="1:7" ht="15.75">
      <c r="A31" s="150" t="s">
        <v>170</v>
      </c>
      <c r="B31" s="309"/>
      <c r="C31" s="486">
        <f>SUM(C23:C29)</f>
        <v>0</v>
      </c>
      <c r="D31" s="487"/>
      <c r="E31" s="486">
        <f>SUM(E23:E29)</f>
        <v>0</v>
      </c>
      <c r="F31" s="487"/>
      <c r="G31" s="260">
        <f>SUM(G23:G29)</f>
        <v>0</v>
      </c>
    </row>
    <row r="32" spans="1:7" ht="15.75">
      <c r="A32" s="37" t="s">
        <v>288</v>
      </c>
      <c r="B32" s="309"/>
      <c r="C32" s="484">
        <f>C21-C31</f>
        <v>0</v>
      </c>
      <c r="D32" s="485"/>
      <c r="E32" s="484">
        <f>E21-E31</f>
        <v>0</v>
      </c>
      <c r="F32" s="485"/>
      <c r="G32" s="97" t="s">
        <v>145</v>
      </c>
    </row>
    <row r="33" spans="1:8" ht="15.75">
      <c r="A33" s="23" t="str">
        <f>CONCATENATE("",G1-2,"/",G1-1," Budget Authority Amount:")</f>
        <v>2008/2009 Budget Authority Amount:</v>
      </c>
      <c r="B33" s="328">
        <f>inputOth!B67</f>
        <v>0</v>
      </c>
      <c r="C33" s="328">
        <f>inputPrYr!D25</f>
        <v>0</v>
      </c>
      <c r="D33" s="473" t="s">
        <v>77</v>
      </c>
      <c r="E33" s="474"/>
      <c r="F33" s="475"/>
      <c r="G33" s="9"/>
      <c r="H33" s="288">
        <f>IF(G31/0.95-G31&lt;G33,"Exceeds 5%","")</f>
      </c>
    </row>
    <row r="34" spans="1:7" ht="15.75">
      <c r="A34" s="23" t="str">
        <f>CONCATENATE("Violation of Budget Law for ",G1-2,"/",G1-1,":")</f>
        <v>Violation of Budget Law for 2008/2009:</v>
      </c>
      <c r="B34" s="329" t="str">
        <f>IF(C31&gt;B33,"Yes","No")</f>
        <v>No</v>
      </c>
      <c r="C34" s="329" t="str">
        <f>IF(E31&gt;C33,"Yes","No")</f>
        <v>No</v>
      </c>
      <c r="D34" s="21"/>
      <c r="E34" s="476" t="s">
        <v>78</v>
      </c>
      <c r="F34" s="477"/>
      <c r="G34" s="85">
        <f>G31+G33</f>
        <v>0</v>
      </c>
    </row>
    <row r="35" spans="1:7" ht="15.75">
      <c r="A35" s="23" t="str">
        <f>CONCATENATE("Possible Cash Violation for ",G1-2,":")</f>
        <v>Possible Cash Violation for 2008:</v>
      </c>
      <c r="B35" s="329" t="str">
        <f>IF(C32&lt;0,"Yes","No")</f>
        <v>No</v>
      </c>
      <c r="C35" s="329"/>
      <c r="D35" s="21"/>
      <c r="E35" s="476" t="s">
        <v>171</v>
      </c>
      <c r="F35" s="477"/>
      <c r="G35" s="259">
        <f>IF(G34-G21&gt;0,G34-G21,0)</f>
        <v>0</v>
      </c>
    </row>
    <row r="36" spans="1:7" ht="15.75">
      <c r="A36" s="24"/>
      <c r="B36" s="24"/>
      <c r="C36" s="478" t="s">
        <v>79</v>
      </c>
      <c r="D36" s="479"/>
      <c r="E36" s="479"/>
      <c r="F36" s="228">
        <f>(inputOth!$E$46)</f>
        <v>0</v>
      </c>
      <c r="G36" s="85">
        <f>ROUND(IF(F36&gt;0,(G35*F36),0),0)</f>
        <v>0</v>
      </c>
    </row>
    <row r="37" spans="1:7" ht="15.75">
      <c r="A37" s="21"/>
      <c r="B37" s="21"/>
      <c r="C37" s="470" t="str">
        <f>CONCATENATE("Amount of  ",$G$1-1," Ad Valorem Tax")</f>
        <v>Amount of  2009 Ad Valorem Tax</v>
      </c>
      <c r="D37" s="471"/>
      <c r="E37" s="471"/>
      <c r="F37" s="472"/>
      <c r="G37" s="384">
        <f>G35+G36</f>
        <v>0</v>
      </c>
    </row>
    <row r="38" spans="1:7" ht="15.75">
      <c r="A38" s="21"/>
      <c r="B38" s="21"/>
      <c r="C38" s="21"/>
      <c r="D38" s="21"/>
      <c r="E38" s="21"/>
      <c r="F38" s="21"/>
      <c r="G38" s="21"/>
    </row>
    <row r="39" spans="1:7" ht="15.75">
      <c r="A39" s="25" t="s">
        <v>156</v>
      </c>
      <c r="B39" s="25"/>
      <c r="C39" s="31"/>
      <c r="D39" s="31"/>
      <c r="E39" s="31"/>
      <c r="F39" s="31"/>
      <c r="G39" s="31"/>
    </row>
    <row r="40" spans="1:7" ht="15.75">
      <c r="A40" s="21"/>
      <c r="B40" s="21"/>
      <c r="C40" s="492" t="s">
        <v>178</v>
      </c>
      <c r="D40" s="493"/>
      <c r="E40" s="488" t="s">
        <v>314</v>
      </c>
      <c r="F40" s="489"/>
      <c r="G40" s="33" t="s">
        <v>315</v>
      </c>
    </row>
    <row r="41" spans="1:7" ht="15.75">
      <c r="A41" s="137">
        <f>inputPrYr!B26</f>
        <v>0</v>
      </c>
      <c r="B41" s="137"/>
      <c r="C41" s="490">
        <f>G1-2</f>
        <v>2008</v>
      </c>
      <c r="D41" s="491"/>
      <c r="E41" s="490">
        <f>G1-1</f>
        <v>2009</v>
      </c>
      <c r="F41" s="491"/>
      <c r="G41" s="144">
        <f>G1</f>
        <v>2010</v>
      </c>
    </row>
    <row r="42" spans="1:7" ht="15.75">
      <c r="A42" s="303" t="s">
        <v>287</v>
      </c>
      <c r="B42" s="309"/>
      <c r="C42" s="460"/>
      <c r="D42" s="461"/>
      <c r="E42" s="468">
        <f>C67</f>
        <v>0</v>
      </c>
      <c r="F42" s="469"/>
      <c r="G42" s="85">
        <f>E67</f>
        <v>0</v>
      </c>
    </row>
    <row r="43" spans="1:7" ht="15.75">
      <c r="A43" s="308" t="s">
        <v>289</v>
      </c>
      <c r="B43" s="309"/>
      <c r="C43" s="464"/>
      <c r="D43" s="465"/>
      <c r="E43" s="464"/>
      <c r="F43" s="465"/>
      <c r="G43" s="40"/>
    </row>
    <row r="44" spans="1:7" ht="15.75">
      <c r="A44" s="37" t="s">
        <v>157</v>
      </c>
      <c r="B44" s="309"/>
      <c r="C44" s="460"/>
      <c r="D44" s="461"/>
      <c r="E44" s="468">
        <f>inputPrYr!E26</f>
        <v>0</v>
      </c>
      <c r="F44" s="469"/>
      <c r="G44" s="97" t="s">
        <v>145</v>
      </c>
    </row>
    <row r="45" spans="1:7" ht="15.75">
      <c r="A45" s="37" t="s">
        <v>158</v>
      </c>
      <c r="B45" s="309"/>
      <c r="C45" s="460"/>
      <c r="D45" s="461"/>
      <c r="E45" s="460"/>
      <c r="F45" s="461"/>
      <c r="G45" s="9"/>
    </row>
    <row r="46" spans="1:7" ht="15.75">
      <c r="A46" s="37" t="s">
        <v>159</v>
      </c>
      <c r="B46" s="309"/>
      <c r="C46" s="460"/>
      <c r="D46" s="461"/>
      <c r="E46" s="460"/>
      <c r="F46" s="461"/>
      <c r="G46" s="85" t="str">
        <f>mvalloc!C16</f>
        <v>  </v>
      </c>
    </row>
    <row r="47" spans="1:7" ht="15.75">
      <c r="A47" s="37" t="s">
        <v>160</v>
      </c>
      <c r="B47" s="309"/>
      <c r="C47" s="460"/>
      <c r="D47" s="461"/>
      <c r="E47" s="460"/>
      <c r="F47" s="461"/>
      <c r="G47" s="85" t="str">
        <f>mvalloc!D16</f>
        <v> </v>
      </c>
    </row>
    <row r="48" spans="1:7" ht="15.75">
      <c r="A48" s="313" t="s">
        <v>264</v>
      </c>
      <c r="B48" s="309"/>
      <c r="C48" s="460"/>
      <c r="D48" s="461"/>
      <c r="E48" s="460"/>
      <c r="F48" s="461"/>
      <c r="G48" s="85" t="str">
        <f>mvalloc!E16</f>
        <v> </v>
      </c>
    </row>
    <row r="49" spans="1:7" ht="15.75">
      <c r="A49" s="314" t="s">
        <v>333</v>
      </c>
      <c r="B49" s="309"/>
      <c r="C49" s="460"/>
      <c r="D49" s="461"/>
      <c r="E49" s="460"/>
      <c r="F49" s="461"/>
      <c r="G49" s="85" t="str">
        <f>mvalloc!F16</f>
        <v> </v>
      </c>
    </row>
    <row r="50" spans="1:7" ht="15.75">
      <c r="A50" s="293"/>
      <c r="B50" s="310"/>
      <c r="C50" s="460"/>
      <c r="D50" s="461"/>
      <c r="E50" s="460"/>
      <c r="F50" s="461"/>
      <c r="G50" s="9"/>
    </row>
    <row r="51" spans="1:7" ht="15.75">
      <c r="A51" s="293"/>
      <c r="B51" s="310"/>
      <c r="C51" s="460"/>
      <c r="D51" s="461"/>
      <c r="E51" s="460"/>
      <c r="F51" s="461"/>
      <c r="G51" s="9"/>
    </row>
    <row r="52" spans="1:7" ht="15.75">
      <c r="A52" s="304" t="s">
        <v>162</v>
      </c>
      <c r="B52" s="310"/>
      <c r="C52" s="460"/>
      <c r="D52" s="461"/>
      <c r="E52" s="460"/>
      <c r="F52" s="461"/>
      <c r="G52" s="9"/>
    </row>
    <row r="53" spans="1:7" ht="15.75">
      <c r="A53" s="313" t="s">
        <v>26</v>
      </c>
      <c r="B53" s="309"/>
      <c r="C53" s="460"/>
      <c r="D53" s="461"/>
      <c r="E53" s="460"/>
      <c r="F53" s="461"/>
      <c r="G53" s="305"/>
    </row>
    <row r="54" spans="1:7" ht="15.75">
      <c r="A54" s="303" t="s">
        <v>28</v>
      </c>
      <c r="B54" s="309"/>
      <c r="C54" s="480">
        <f>IF(C55*0.1&lt;C53,"Exceed 10% Rule","")</f>
      </c>
      <c r="D54" s="481"/>
      <c r="E54" s="480">
        <f>IF(E55*0.1&lt;E53,"Exceed 10% Rule","")</f>
      </c>
      <c r="F54" s="481"/>
      <c r="G54" s="345">
        <f>IF(G55*0.1+G72&lt;G53,"Exceed 10% Rule","")</f>
      </c>
    </row>
    <row r="55" spans="1:7" ht="15.75">
      <c r="A55" s="150" t="s">
        <v>163</v>
      </c>
      <c r="B55" s="309"/>
      <c r="C55" s="486">
        <f>SUM(C44:C53)</f>
        <v>0</v>
      </c>
      <c r="D55" s="487"/>
      <c r="E55" s="486">
        <f>SUM(E44:E53)</f>
        <v>0</v>
      </c>
      <c r="F55" s="487"/>
      <c r="G55" s="260">
        <f>SUM(G44:G53)</f>
        <v>0</v>
      </c>
    </row>
    <row r="56" spans="1:7" ht="15.75">
      <c r="A56" s="150" t="s">
        <v>164</v>
      </c>
      <c r="B56" s="309"/>
      <c r="C56" s="486">
        <f>C42+C55</f>
        <v>0</v>
      </c>
      <c r="D56" s="487"/>
      <c r="E56" s="486">
        <f>E42+E55</f>
        <v>0</v>
      </c>
      <c r="F56" s="487"/>
      <c r="G56" s="260">
        <f>G42+G55</f>
        <v>0</v>
      </c>
    </row>
    <row r="57" spans="1:7" ht="15.75">
      <c r="A57" s="37" t="s">
        <v>166</v>
      </c>
      <c r="B57" s="309"/>
      <c r="C57" s="506"/>
      <c r="D57" s="507"/>
      <c r="E57" s="506"/>
      <c r="F57" s="507"/>
      <c r="G57" s="42"/>
    </row>
    <row r="58" spans="1:7" ht="15.75">
      <c r="A58" s="293"/>
      <c r="B58" s="310"/>
      <c r="C58" s="460"/>
      <c r="D58" s="461"/>
      <c r="E58" s="460"/>
      <c r="F58" s="461"/>
      <c r="G58" s="9"/>
    </row>
    <row r="59" spans="1:7" ht="15.75">
      <c r="A59" s="293"/>
      <c r="B59" s="310"/>
      <c r="C59" s="460"/>
      <c r="D59" s="461"/>
      <c r="E59" s="460"/>
      <c r="F59" s="461"/>
      <c r="G59" s="9"/>
    </row>
    <row r="60" spans="1:7" ht="15.75">
      <c r="A60" s="293"/>
      <c r="B60" s="310"/>
      <c r="C60" s="460"/>
      <c r="D60" s="461"/>
      <c r="E60" s="460"/>
      <c r="F60" s="461"/>
      <c r="G60" s="9"/>
    </row>
    <row r="61" spans="1:7" ht="15.75">
      <c r="A61" s="293"/>
      <c r="B61" s="310"/>
      <c r="C61" s="460"/>
      <c r="D61" s="461"/>
      <c r="E61" s="460"/>
      <c r="F61" s="461"/>
      <c r="G61" s="9"/>
    </row>
    <row r="62" spans="1:7" ht="15.75">
      <c r="A62" s="293"/>
      <c r="B62" s="310"/>
      <c r="C62" s="460"/>
      <c r="D62" s="461"/>
      <c r="E62" s="460"/>
      <c r="F62" s="461"/>
      <c r="G62" s="9"/>
    </row>
    <row r="63" spans="1:7" ht="15.75">
      <c r="A63" s="311" t="s">
        <v>25</v>
      </c>
      <c r="B63" s="309"/>
      <c r="C63" s="460"/>
      <c r="D63" s="461"/>
      <c r="E63" s="460"/>
      <c r="F63" s="461"/>
      <c r="G63" s="259">
        <f>nhood!E15</f>
      </c>
    </row>
    <row r="64" spans="1:7" ht="15.75">
      <c r="A64" s="311" t="s">
        <v>26</v>
      </c>
      <c r="B64" s="309"/>
      <c r="C64" s="460"/>
      <c r="D64" s="461"/>
      <c r="E64" s="460"/>
      <c r="F64" s="461"/>
      <c r="G64" s="305"/>
    </row>
    <row r="65" spans="1:7" ht="15.75">
      <c r="A65" s="311" t="s">
        <v>27</v>
      </c>
      <c r="B65" s="309"/>
      <c r="C65" s="480">
        <f>IF(C66*0.1&lt;C64,"Exceed 10% Rule","")</f>
      </c>
      <c r="D65" s="481"/>
      <c r="E65" s="480">
        <f>IF(E66*0.1&lt;E64,"Exceed 10% Rule","")</f>
      </c>
      <c r="F65" s="481"/>
      <c r="G65" s="345">
        <f>IF(G66*0.1&lt;G64,"Exceed 10% Rule","")</f>
      </c>
    </row>
    <row r="66" spans="1:7" ht="15.75">
      <c r="A66" s="150" t="s">
        <v>170</v>
      </c>
      <c r="B66" s="309"/>
      <c r="C66" s="486">
        <f>SUM(C58:C64)</f>
        <v>0</v>
      </c>
      <c r="D66" s="487"/>
      <c r="E66" s="486">
        <f>SUM(E58:E64)</f>
        <v>0</v>
      </c>
      <c r="F66" s="487"/>
      <c r="G66" s="260">
        <f>SUM(G58:G64)</f>
        <v>0</v>
      </c>
    </row>
    <row r="67" spans="1:7" ht="15.75">
      <c r="A67" s="37" t="s">
        <v>288</v>
      </c>
      <c r="B67" s="309"/>
      <c r="C67" s="484">
        <f>C56-C66</f>
        <v>0</v>
      </c>
      <c r="D67" s="485"/>
      <c r="E67" s="484">
        <f>E56-E66</f>
        <v>0</v>
      </c>
      <c r="F67" s="485"/>
      <c r="G67" s="97" t="s">
        <v>145</v>
      </c>
    </row>
    <row r="68" spans="1:8" ht="15.75">
      <c r="A68" s="23" t="str">
        <f>CONCATENATE("",G1-2,"/",G1-1," Budget Authority Amount:")</f>
        <v>2008/2009 Budget Authority Amount:</v>
      </c>
      <c r="B68" s="328">
        <f>inputOth!B68</f>
        <v>0</v>
      </c>
      <c r="C68" s="328">
        <f>inputPrYr!D26</f>
        <v>0</v>
      </c>
      <c r="D68" s="473" t="s">
        <v>77</v>
      </c>
      <c r="E68" s="474"/>
      <c r="F68" s="475"/>
      <c r="G68" s="17"/>
      <c r="H68" s="288">
        <f>IF(G66/0.95-G66&lt;G68,"Exceeds 5%","")</f>
      </c>
    </row>
    <row r="69" spans="1:7" ht="15.75">
      <c r="A69" s="23" t="str">
        <f>CONCATENATE("Violation of Budget Law for ",G1-2,"/",G1-1,":")</f>
        <v>Violation of Budget Law for 2008/2009:</v>
      </c>
      <c r="B69" s="329" t="str">
        <f>IF(C66&gt;B68,"Yes","No")</f>
        <v>No</v>
      </c>
      <c r="C69" s="329" t="str">
        <f>IF(E66&gt;C68,"Yes","No")</f>
        <v>No</v>
      </c>
      <c r="D69" s="21"/>
      <c r="E69" s="476" t="s">
        <v>78</v>
      </c>
      <c r="F69" s="477"/>
      <c r="G69" s="85">
        <f>G66+G68</f>
        <v>0</v>
      </c>
    </row>
    <row r="70" spans="1:7" ht="15.75">
      <c r="A70" s="23" t="str">
        <f>CONCATENATE("Possible Cash Violation for ",G1-2,":")</f>
        <v>Possible Cash Violation for 2008:</v>
      </c>
      <c r="B70" s="329" t="str">
        <f>IF(C67&lt;0,"Yes","No")</f>
        <v>No</v>
      </c>
      <c r="C70" s="329"/>
      <c r="D70" s="21"/>
      <c r="E70" s="476" t="s">
        <v>171</v>
      </c>
      <c r="F70" s="477"/>
      <c r="G70" s="259">
        <f>IF(G69-G56&gt;0,G69-G56,0)</f>
        <v>0</v>
      </c>
    </row>
    <row r="71" spans="1:7" ht="15.75">
      <c r="A71" s="24"/>
      <c r="B71" s="24"/>
      <c r="C71" s="478" t="s">
        <v>79</v>
      </c>
      <c r="D71" s="479"/>
      <c r="E71" s="479"/>
      <c r="F71" s="228">
        <f>(inputOth!$E$46)</f>
        <v>0</v>
      </c>
      <c r="G71" s="85">
        <f>ROUND(IF(F71&gt;0,(G70*F71),0),0)</f>
        <v>0</v>
      </c>
    </row>
    <row r="72" spans="1:7" ht="15.75">
      <c r="A72" s="21"/>
      <c r="B72" s="21"/>
      <c r="C72" s="470" t="str">
        <f>CONCATENATE("Amount of  ",$G$1-1," Ad Valorem Tax")</f>
        <v>Amount of  2009 Ad Valorem Tax</v>
      </c>
      <c r="D72" s="471"/>
      <c r="E72" s="471"/>
      <c r="F72" s="472"/>
      <c r="G72" s="384">
        <f>G70+G71</f>
        <v>0</v>
      </c>
    </row>
    <row r="73" spans="1:7" ht="15.75">
      <c r="A73" s="21"/>
      <c r="B73" s="21"/>
      <c r="C73" s="21"/>
      <c r="D73" s="21"/>
      <c r="E73" s="21"/>
      <c r="F73" s="21"/>
      <c r="G73" s="21"/>
    </row>
    <row r="74" spans="1:7" ht="15.75">
      <c r="A74" s="24"/>
      <c r="B74" s="24" t="s">
        <v>173</v>
      </c>
      <c r="C74" s="100"/>
      <c r="D74" s="136"/>
      <c r="E74" s="21"/>
      <c r="F74" s="21"/>
      <c r="G74" s="21"/>
    </row>
  </sheetData>
  <sheetProtection sheet="1" objects="1" scenarios="1"/>
  <mergeCells count="122">
    <mergeCell ref="C56:D56"/>
    <mergeCell ref="E56:F56"/>
    <mergeCell ref="E55:F55"/>
    <mergeCell ref="E54:F54"/>
    <mergeCell ref="C67:D67"/>
    <mergeCell ref="C66:D66"/>
    <mergeCell ref="C65:D65"/>
    <mergeCell ref="E67:F67"/>
    <mergeCell ref="E66:F66"/>
    <mergeCell ref="E65:F65"/>
    <mergeCell ref="C57:D57"/>
    <mergeCell ref="E44:F44"/>
    <mergeCell ref="E43:F43"/>
    <mergeCell ref="E42:F42"/>
    <mergeCell ref="C44:D44"/>
    <mergeCell ref="C45:D45"/>
    <mergeCell ref="C46:D46"/>
    <mergeCell ref="C47:D47"/>
    <mergeCell ref="C48:D48"/>
    <mergeCell ref="C49:D49"/>
    <mergeCell ref="E41:F41"/>
    <mergeCell ref="E40:F40"/>
    <mergeCell ref="C43:D43"/>
    <mergeCell ref="C42:D42"/>
    <mergeCell ref="C41:D41"/>
    <mergeCell ref="C40:D40"/>
    <mergeCell ref="C20:D20"/>
    <mergeCell ref="C19:D19"/>
    <mergeCell ref="C32:D32"/>
    <mergeCell ref="C31:D31"/>
    <mergeCell ref="C30:D30"/>
    <mergeCell ref="E32:F32"/>
    <mergeCell ref="E31:F31"/>
    <mergeCell ref="E30:F30"/>
    <mergeCell ref="E28:F28"/>
    <mergeCell ref="E29:F29"/>
    <mergeCell ref="E5:F5"/>
    <mergeCell ref="C5:D5"/>
    <mergeCell ref="C6:D6"/>
    <mergeCell ref="C7:D7"/>
    <mergeCell ref="E9:F9"/>
    <mergeCell ref="E8:F8"/>
    <mergeCell ref="E7:F7"/>
    <mergeCell ref="E6:F6"/>
    <mergeCell ref="C12:D12"/>
    <mergeCell ref="C13:D13"/>
    <mergeCell ref="C14:D14"/>
    <mergeCell ref="C15:D15"/>
    <mergeCell ref="C8:D8"/>
    <mergeCell ref="C9:D9"/>
    <mergeCell ref="C10:D10"/>
    <mergeCell ref="C11:D11"/>
    <mergeCell ref="C16:D16"/>
    <mergeCell ref="C17:D17"/>
    <mergeCell ref="C18:D18"/>
    <mergeCell ref="E10:F10"/>
    <mergeCell ref="E11:F11"/>
    <mergeCell ref="E12:F12"/>
    <mergeCell ref="E13:F13"/>
    <mergeCell ref="E14:F14"/>
    <mergeCell ref="E15:F15"/>
    <mergeCell ref="E16:F16"/>
    <mergeCell ref="E17:F17"/>
    <mergeCell ref="E18:F18"/>
    <mergeCell ref="C23:D23"/>
    <mergeCell ref="C24:D24"/>
    <mergeCell ref="E22:F22"/>
    <mergeCell ref="E21:F21"/>
    <mergeCell ref="E20:F20"/>
    <mergeCell ref="E19:F19"/>
    <mergeCell ref="C22:D22"/>
    <mergeCell ref="C21:D21"/>
    <mergeCell ref="C25:D25"/>
    <mergeCell ref="C26:D26"/>
    <mergeCell ref="C27:D27"/>
    <mergeCell ref="C28:D28"/>
    <mergeCell ref="C50:D50"/>
    <mergeCell ref="C51:D51"/>
    <mergeCell ref="C52:D52"/>
    <mergeCell ref="C53:D53"/>
    <mergeCell ref="C29:D29"/>
    <mergeCell ref="E23:F23"/>
    <mergeCell ref="E24:F24"/>
    <mergeCell ref="E25:F25"/>
    <mergeCell ref="E26:F26"/>
    <mergeCell ref="E27:F27"/>
    <mergeCell ref="E49:F49"/>
    <mergeCell ref="E50:F50"/>
    <mergeCell ref="E51:F51"/>
    <mergeCell ref="E52:F52"/>
    <mergeCell ref="E45:F45"/>
    <mergeCell ref="E46:F46"/>
    <mergeCell ref="E47:F47"/>
    <mergeCell ref="E48:F48"/>
    <mergeCell ref="E53:F53"/>
    <mergeCell ref="C58:D58"/>
    <mergeCell ref="C59:D59"/>
    <mergeCell ref="C60:D60"/>
    <mergeCell ref="E58:F58"/>
    <mergeCell ref="E59:F59"/>
    <mergeCell ref="E60:F60"/>
    <mergeCell ref="E57:F57"/>
    <mergeCell ref="C55:D55"/>
    <mergeCell ref="C54:D54"/>
    <mergeCell ref="E61:F61"/>
    <mergeCell ref="E62:F62"/>
    <mergeCell ref="E63:F63"/>
    <mergeCell ref="E64:F64"/>
    <mergeCell ref="C61:D61"/>
    <mergeCell ref="C62:D62"/>
    <mergeCell ref="C63:D63"/>
    <mergeCell ref="C64:D64"/>
    <mergeCell ref="E69:F69"/>
    <mergeCell ref="E70:F70"/>
    <mergeCell ref="C71:E71"/>
    <mergeCell ref="C72:F72"/>
    <mergeCell ref="D33:F33"/>
    <mergeCell ref="E34:F34"/>
    <mergeCell ref="E35:F35"/>
    <mergeCell ref="D68:F68"/>
    <mergeCell ref="C36:E36"/>
    <mergeCell ref="C37:F37"/>
  </mergeCells>
  <conditionalFormatting sqref="G29">
    <cfRule type="cellIs" priority="1" dxfId="271" operator="greaterThan" stopIfTrue="1">
      <formula>$G$31*0.1</formula>
    </cfRule>
  </conditionalFormatting>
  <conditionalFormatting sqref="G33">
    <cfRule type="cellIs" priority="2" dxfId="271" operator="greaterThan" stopIfTrue="1">
      <formula>$G$31/0.95-$G$31</formula>
    </cfRule>
  </conditionalFormatting>
  <conditionalFormatting sqref="G64">
    <cfRule type="cellIs" priority="3" dxfId="271" operator="greaterThan" stopIfTrue="1">
      <formula>$G$66*0.1</formula>
    </cfRule>
  </conditionalFormatting>
  <conditionalFormatting sqref="G68">
    <cfRule type="cellIs" priority="4" dxfId="271" operator="greaterThan" stopIfTrue="1">
      <formula>$G$66/0.95-$G$66</formula>
    </cfRule>
  </conditionalFormatting>
  <conditionalFormatting sqref="C29:D29">
    <cfRule type="cellIs" priority="5" dxfId="0" operator="greaterThan" stopIfTrue="1">
      <formula>$C$31*0.1</formula>
    </cfRule>
  </conditionalFormatting>
  <conditionalFormatting sqref="E29:F29">
    <cfRule type="cellIs" priority="6" dxfId="0" operator="greaterThan" stopIfTrue="1">
      <formula>$E$31*0.1</formula>
    </cfRule>
  </conditionalFormatting>
  <conditionalFormatting sqref="E31:F31">
    <cfRule type="cellIs" priority="7" dxfId="0" operator="greaterThan" stopIfTrue="1">
      <formula>$C$33</formula>
    </cfRule>
  </conditionalFormatting>
  <conditionalFormatting sqref="C31:D31">
    <cfRule type="cellIs" priority="8" dxfId="0" operator="greaterThan" stopIfTrue="1">
      <formula>$B$33</formula>
    </cfRule>
  </conditionalFormatting>
  <conditionalFormatting sqref="C32:D32 C67:D67">
    <cfRule type="cellIs" priority="9" dxfId="0" operator="lessThan" stopIfTrue="1">
      <formula>0</formula>
    </cfRule>
  </conditionalFormatting>
  <conditionalFormatting sqref="C64:D64">
    <cfRule type="cellIs" priority="10" dxfId="0" operator="greaterThan" stopIfTrue="1">
      <formula>$C$66*0.1</formula>
    </cfRule>
  </conditionalFormatting>
  <conditionalFormatting sqref="E66:F66">
    <cfRule type="cellIs" priority="11" dxfId="0" operator="greaterThan" stopIfTrue="1">
      <formula>$C$68</formula>
    </cfRule>
  </conditionalFormatting>
  <conditionalFormatting sqref="C66:D66">
    <cfRule type="cellIs" priority="12" dxfId="0" operator="greaterThan" stopIfTrue="1">
      <formula>$B$68</formula>
    </cfRule>
  </conditionalFormatting>
  <conditionalFormatting sqref="E64:F64">
    <cfRule type="cellIs" priority="13" dxfId="0" operator="greaterThan" stopIfTrue="1">
      <formula>$E$66*0.1</formula>
    </cfRule>
  </conditionalFormatting>
  <conditionalFormatting sqref="E18:F18">
    <cfRule type="cellIs" priority="14" dxfId="0" operator="greaterThan" stopIfTrue="1">
      <formula>$E$20*0.1</formula>
    </cfRule>
  </conditionalFormatting>
  <conditionalFormatting sqref="C18:D18">
    <cfRule type="cellIs" priority="15" dxfId="0" operator="greaterThan" stopIfTrue="1">
      <formula>$C$20*0.1</formula>
    </cfRule>
  </conditionalFormatting>
  <conditionalFormatting sqref="E53:F53">
    <cfRule type="cellIs" priority="16" dxfId="0" operator="greaterThan" stopIfTrue="1">
      <formula>$E$55*0.1</formula>
    </cfRule>
  </conditionalFormatting>
  <conditionalFormatting sqref="C53:D53">
    <cfRule type="cellIs" priority="17" dxfId="0" operator="greaterThan" stopIfTrue="1">
      <formula>$C$55*0.1</formula>
    </cfRule>
  </conditionalFormatting>
  <conditionalFormatting sqref="G53">
    <cfRule type="cellIs" priority="18" dxfId="271" operator="greaterThan" stopIfTrue="1">
      <formula>$G$55*0.1+G72</formula>
    </cfRule>
  </conditionalFormatting>
  <conditionalFormatting sqref="G18">
    <cfRule type="cellIs" priority="19" dxfId="271" operator="greaterThan" stopIfTrue="1">
      <formula>$G$20*0.1+G37</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oddHeader>
    <oddFooter>&amp;Lrevised 8/21/08</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B1">
      <selection activeCell="C74" sqref="C74"/>
    </sheetView>
  </sheetViews>
  <sheetFormatPr defaultColWidth="8.796875" defaultRowHeight="15"/>
  <cols>
    <col min="1" max="1" width="28.796875" style="7" customWidth="1"/>
    <col min="2" max="2" width="9.59765625" style="7" customWidth="1"/>
    <col min="3" max="3" width="10.3984375" style="7" customWidth="1"/>
    <col min="4" max="4" width="5.796875" style="7" customWidth="1"/>
    <col min="5" max="5" width="9.69921875" style="7" customWidth="1"/>
    <col min="6" max="6" width="6.69921875" style="7" customWidth="1"/>
    <col min="7" max="7" width="16.19921875" style="7" customWidth="1"/>
    <col min="8" max="16384" width="8.8984375" style="7" customWidth="1"/>
  </cols>
  <sheetData>
    <row r="1" spans="1:7" ht="15.75">
      <c r="A1" s="72" t="str">
        <f>(inputPrYr!D2)</f>
        <v>City of Ellsworth</v>
      </c>
      <c r="B1" s="72"/>
      <c r="C1" s="21"/>
      <c r="D1" s="21"/>
      <c r="E1" s="21"/>
      <c r="F1" s="21"/>
      <c r="G1" s="138">
        <f>inputPrYr!C5</f>
        <v>2010</v>
      </c>
    </row>
    <row r="2" spans="1:7" ht="15.75">
      <c r="A2" s="21"/>
      <c r="B2" s="21"/>
      <c r="C2" s="21"/>
      <c r="D2" s="21"/>
      <c r="E2" s="21"/>
      <c r="F2" s="21"/>
      <c r="G2" s="24"/>
    </row>
    <row r="3" spans="1:7" ht="15.75">
      <c r="A3" s="90" t="s">
        <v>231</v>
      </c>
      <c r="B3" s="90"/>
      <c r="C3" s="94"/>
      <c r="D3" s="94"/>
      <c r="E3" s="94"/>
      <c r="F3" s="94"/>
      <c r="G3" s="95"/>
    </row>
    <row r="4" spans="1:7" ht="15.75">
      <c r="A4" s="21"/>
      <c r="B4" s="21"/>
      <c r="C4" s="96"/>
      <c r="D4" s="96"/>
      <c r="E4" s="96"/>
      <c r="F4" s="96"/>
      <c r="G4" s="96"/>
    </row>
    <row r="5" spans="1:7" ht="15.75">
      <c r="A5" s="25" t="s">
        <v>156</v>
      </c>
      <c r="B5" s="25"/>
      <c r="C5" s="492" t="s">
        <v>178</v>
      </c>
      <c r="D5" s="493"/>
      <c r="E5" s="488" t="s">
        <v>314</v>
      </c>
      <c r="F5" s="489"/>
      <c r="G5" s="33" t="s">
        <v>315</v>
      </c>
    </row>
    <row r="6" spans="1:7" ht="15.75">
      <c r="A6" s="137">
        <f>inputPrYr!B27</f>
        <v>0</v>
      </c>
      <c r="B6" s="137"/>
      <c r="C6" s="490">
        <f>G1-2</f>
        <v>2008</v>
      </c>
      <c r="D6" s="491"/>
      <c r="E6" s="490">
        <f>G1-1</f>
        <v>2009</v>
      </c>
      <c r="F6" s="491"/>
      <c r="G6" s="144">
        <f>G1</f>
        <v>2010</v>
      </c>
    </row>
    <row r="7" spans="1:7" ht="15.75">
      <c r="A7" s="303" t="s">
        <v>287</v>
      </c>
      <c r="B7" s="309"/>
      <c r="C7" s="460"/>
      <c r="D7" s="461"/>
      <c r="E7" s="468">
        <f>C32</f>
        <v>0</v>
      </c>
      <c r="F7" s="469"/>
      <c r="G7" s="85">
        <f>E32</f>
        <v>0</v>
      </c>
    </row>
    <row r="8" spans="1:7" ht="15.75">
      <c r="A8" s="308" t="s">
        <v>289</v>
      </c>
      <c r="B8" s="309"/>
      <c r="C8" s="464"/>
      <c r="D8" s="465"/>
      <c r="E8" s="464"/>
      <c r="F8" s="465"/>
      <c r="G8" s="40"/>
    </row>
    <row r="9" spans="1:7" ht="15.75">
      <c r="A9" s="37" t="s">
        <v>157</v>
      </c>
      <c r="B9" s="309"/>
      <c r="C9" s="460"/>
      <c r="D9" s="461"/>
      <c r="E9" s="468">
        <f>inputPrYr!E27</f>
        <v>0</v>
      </c>
      <c r="F9" s="469"/>
      <c r="G9" s="97" t="s">
        <v>145</v>
      </c>
    </row>
    <row r="10" spans="1:7" ht="15.75">
      <c r="A10" s="37" t="s">
        <v>158</v>
      </c>
      <c r="B10" s="309"/>
      <c r="C10" s="460"/>
      <c r="D10" s="461"/>
      <c r="E10" s="460"/>
      <c r="F10" s="461"/>
      <c r="G10" s="9"/>
    </row>
    <row r="11" spans="1:7" ht="15.75">
      <c r="A11" s="37" t="s">
        <v>159</v>
      </c>
      <c r="B11" s="309"/>
      <c r="C11" s="460"/>
      <c r="D11" s="461"/>
      <c r="E11" s="460"/>
      <c r="F11" s="461"/>
      <c r="G11" s="85" t="str">
        <f>mvalloc!C17</f>
        <v>  </v>
      </c>
    </row>
    <row r="12" spans="1:7" ht="15.75">
      <c r="A12" s="37" t="s">
        <v>160</v>
      </c>
      <c r="B12" s="309"/>
      <c r="C12" s="460"/>
      <c r="D12" s="461"/>
      <c r="E12" s="460"/>
      <c r="F12" s="461"/>
      <c r="G12" s="85" t="str">
        <f>mvalloc!D17</f>
        <v> </v>
      </c>
    </row>
    <row r="13" spans="1:7" ht="15.75">
      <c r="A13" s="313" t="s">
        <v>264</v>
      </c>
      <c r="B13" s="309"/>
      <c r="C13" s="460"/>
      <c r="D13" s="461"/>
      <c r="E13" s="460"/>
      <c r="F13" s="461"/>
      <c r="G13" s="85" t="str">
        <f>mvalloc!E17</f>
        <v> </v>
      </c>
    </row>
    <row r="14" spans="1:7" ht="15.75">
      <c r="A14" s="314" t="s">
        <v>333</v>
      </c>
      <c r="B14" s="309"/>
      <c r="C14" s="460"/>
      <c r="D14" s="461"/>
      <c r="E14" s="460"/>
      <c r="F14" s="461"/>
      <c r="G14" s="85" t="str">
        <f>mvalloc!F17</f>
        <v> </v>
      </c>
    </row>
    <row r="15" spans="1:7" ht="15.75">
      <c r="A15" s="293"/>
      <c r="B15" s="310"/>
      <c r="C15" s="460"/>
      <c r="D15" s="461"/>
      <c r="E15" s="460"/>
      <c r="F15" s="461"/>
      <c r="G15" s="9"/>
    </row>
    <row r="16" spans="1:7" ht="15.75">
      <c r="A16" s="293"/>
      <c r="B16" s="310"/>
      <c r="C16" s="460"/>
      <c r="D16" s="461"/>
      <c r="E16" s="460"/>
      <c r="F16" s="461"/>
      <c r="G16" s="9"/>
    </row>
    <row r="17" spans="1:7" ht="15.75">
      <c r="A17" s="304" t="s">
        <v>162</v>
      </c>
      <c r="B17" s="310"/>
      <c r="C17" s="460"/>
      <c r="D17" s="461"/>
      <c r="E17" s="460"/>
      <c r="F17" s="461"/>
      <c r="G17" s="9"/>
    </row>
    <row r="18" spans="1:7" ht="15.75">
      <c r="A18" s="313" t="s">
        <v>26</v>
      </c>
      <c r="B18" s="309"/>
      <c r="C18" s="460"/>
      <c r="D18" s="461"/>
      <c r="E18" s="460"/>
      <c r="F18" s="461"/>
      <c r="G18" s="305"/>
    </row>
    <row r="19" spans="1:7" ht="15.75">
      <c r="A19" s="303" t="s">
        <v>28</v>
      </c>
      <c r="B19" s="309"/>
      <c r="C19" s="480">
        <f>IF(C20*0.1&lt;C18,"Exceed 10% Rule","")</f>
      </c>
      <c r="D19" s="481"/>
      <c r="E19" s="480">
        <f>IF(E20*0.1&lt;E18,"Exceed 10% Rule","")</f>
      </c>
      <c r="F19" s="481"/>
      <c r="G19" s="345">
        <f>IF(G20*0.1+G37&lt;G18,"Exceed 10% Rule","")</f>
      </c>
    </row>
    <row r="20" spans="1:7" ht="15.75">
      <c r="A20" s="150" t="s">
        <v>163</v>
      </c>
      <c r="B20" s="309"/>
      <c r="C20" s="486">
        <f>SUM(C9:C18)</f>
        <v>0</v>
      </c>
      <c r="D20" s="487"/>
      <c r="E20" s="486">
        <f>SUM(E9:E18)</f>
        <v>0</v>
      </c>
      <c r="F20" s="487"/>
      <c r="G20" s="260">
        <f>SUM(G9:G18)</f>
        <v>0</v>
      </c>
    </row>
    <row r="21" spans="1:7" ht="15.75">
      <c r="A21" s="150" t="s">
        <v>164</v>
      </c>
      <c r="B21" s="309"/>
      <c r="C21" s="486">
        <f>C7+C20</f>
        <v>0</v>
      </c>
      <c r="D21" s="487"/>
      <c r="E21" s="486">
        <f>E7+E20</f>
        <v>0</v>
      </c>
      <c r="F21" s="487"/>
      <c r="G21" s="260">
        <f>G7+G20</f>
        <v>0</v>
      </c>
    </row>
    <row r="22" spans="1:7" ht="15.75">
      <c r="A22" s="37" t="s">
        <v>166</v>
      </c>
      <c r="B22" s="309"/>
      <c r="C22" s="506"/>
      <c r="D22" s="507"/>
      <c r="E22" s="506"/>
      <c r="F22" s="507"/>
      <c r="G22" s="42"/>
    </row>
    <row r="23" spans="1:7" ht="15.75">
      <c r="A23" s="293"/>
      <c r="B23" s="310"/>
      <c r="C23" s="460"/>
      <c r="D23" s="461"/>
      <c r="E23" s="460"/>
      <c r="F23" s="461"/>
      <c r="G23" s="9"/>
    </row>
    <row r="24" spans="1:7" ht="15.75">
      <c r="A24" s="293"/>
      <c r="B24" s="310"/>
      <c r="C24" s="460"/>
      <c r="D24" s="461"/>
      <c r="E24" s="460"/>
      <c r="F24" s="461"/>
      <c r="G24" s="9"/>
    </row>
    <row r="25" spans="1:7" ht="15.75">
      <c r="A25" s="293"/>
      <c r="B25" s="310"/>
      <c r="C25" s="460"/>
      <c r="D25" s="461"/>
      <c r="E25" s="460"/>
      <c r="F25" s="461"/>
      <c r="G25" s="9"/>
    </row>
    <row r="26" spans="1:7" ht="15.75">
      <c r="A26" s="293"/>
      <c r="B26" s="310"/>
      <c r="C26" s="460"/>
      <c r="D26" s="461"/>
      <c r="E26" s="460"/>
      <c r="F26" s="461"/>
      <c r="G26" s="9"/>
    </row>
    <row r="27" spans="1:7" ht="15.75">
      <c r="A27" s="293"/>
      <c r="B27" s="310"/>
      <c r="C27" s="460"/>
      <c r="D27" s="461"/>
      <c r="E27" s="460"/>
      <c r="F27" s="461"/>
      <c r="G27" s="9"/>
    </row>
    <row r="28" spans="1:7" ht="15.75">
      <c r="A28" s="311" t="s">
        <v>25</v>
      </c>
      <c r="B28" s="309"/>
      <c r="C28" s="460"/>
      <c r="D28" s="461"/>
      <c r="E28" s="460"/>
      <c r="F28" s="461"/>
      <c r="G28" s="259">
        <f>nhood!E16</f>
      </c>
    </row>
    <row r="29" spans="1:7" ht="15.75">
      <c r="A29" s="311" t="s">
        <v>26</v>
      </c>
      <c r="B29" s="309"/>
      <c r="C29" s="460"/>
      <c r="D29" s="461"/>
      <c r="E29" s="460"/>
      <c r="F29" s="461"/>
      <c r="G29" s="305"/>
    </row>
    <row r="30" spans="1:7" ht="15.75">
      <c r="A30" s="311" t="s">
        <v>27</v>
      </c>
      <c r="B30" s="309"/>
      <c r="C30" s="480">
        <f>IF(C31*0.1&lt;C29,"Exceed 10% Rule","")</f>
      </c>
      <c r="D30" s="481"/>
      <c r="E30" s="480">
        <f>IF(E31*0.1&lt;E29,"Exceed 10% Rule","")</f>
      </c>
      <c r="F30" s="481"/>
      <c r="G30" s="345">
        <f>IF(G31*0.1&lt;G29,"Exceed 10% Rule","")</f>
      </c>
    </row>
    <row r="31" spans="1:7" ht="15.75">
      <c r="A31" s="150" t="s">
        <v>170</v>
      </c>
      <c r="B31" s="309"/>
      <c r="C31" s="486">
        <f>SUM(C23:C29)</f>
        <v>0</v>
      </c>
      <c r="D31" s="487"/>
      <c r="E31" s="486">
        <f>SUM(E23:E29)</f>
        <v>0</v>
      </c>
      <c r="F31" s="487"/>
      <c r="G31" s="260">
        <f>SUM(G23:G29)</f>
        <v>0</v>
      </c>
    </row>
    <row r="32" spans="1:7" ht="15.75">
      <c r="A32" s="37" t="s">
        <v>288</v>
      </c>
      <c r="B32" s="309"/>
      <c r="C32" s="484">
        <f>C21-C31</f>
        <v>0</v>
      </c>
      <c r="D32" s="485"/>
      <c r="E32" s="484">
        <f>E21-E31</f>
        <v>0</v>
      </c>
      <c r="F32" s="485"/>
      <c r="G32" s="97" t="s">
        <v>145</v>
      </c>
    </row>
    <row r="33" spans="1:8" ht="15.75">
      <c r="A33" s="23" t="str">
        <f>CONCATENATE("",G1-2,"/",G1-1," Budget Authority Amount:")</f>
        <v>2008/2009 Budget Authority Amount:</v>
      </c>
      <c r="B33" s="328">
        <f>inputOth!B69</f>
        <v>0</v>
      </c>
      <c r="C33" s="328">
        <f>inputPrYr!D27</f>
        <v>0</v>
      </c>
      <c r="D33" s="473" t="s">
        <v>77</v>
      </c>
      <c r="E33" s="474"/>
      <c r="F33" s="475"/>
      <c r="G33" s="9"/>
      <c r="H33" s="288">
        <f>IF(G31/0.95-G31&lt;G33,"Exceeds 5%","")</f>
      </c>
    </row>
    <row r="34" spans="1:7" ht="15.75">
      <c r="A34" s="23" t="str">
        <f>CONCATENATE("Violation of Budget Law for ",G1-2,"/",G1-1,":")</f>
        <v>Violation of Budget Law for 2008/2009:</v>
      </c>
      <c r="B34" s="329" t="str">
        <f>IF(C31&gt;B33,"Yes","No")</f>
        <v>No</v>
      </c>
      <c r="C34" s="329" t="str">
        <f>IF(E31&gt;C33,"Yes","No")</f>
        <v>No</v>
      </c>
      <c r="D34" s="21"/>
      <c r="E34" s="476" t="s">
        <v>78</v>
      </c>
      <c r="F34" s="477"/>
      <c r="G34" s="85">
        <f>G31+G33</f>
        <v>0</v>
      </c>
    </row>
    <row r="35" spans="1:7" ht="15.75">
      <c r="A35" s="23" t="str">
        <f>CONCATENATE("Possible Cash Violation for ",G1-2,":")</f>
        <v>Possible Cash Violation for 2008:</v>
      </c>
      <c r="B35" s="329" t="str">
        <f>IF(C32&lt;0,"Yes","No")</f>
        <v>No</v>
      </c>
      <c r="C35" s="329"/>
      <c r="D35" s="21"/>
      <c r="E35" s="476" t="s">
        <v>171</v>
      </c>
      <c r="F35" s="477"/>
      <c r="G35" s="259">
        <f>IF(G34-G21&gt;0,G34-G21,0)</f>
        <v>0</v>
      </c>
    </row>
    <row r="36" spans="1:7" ht="15.75">
      <c r="A36" s="24"/>
      <c r="B36" s="24"/>
      <c r="C36" s="478" t="s">
        <v>79</v>
      </c>
      <c r="D36" s="479"/>
      <c r="E36" s="479"/>
      <c r="F36" s="228">
        <f>(inputOth!$E$46)</f>
        <v>0</v>
      </c>
      <c r="G36" s="85">
        <f>ROUND(IF(F36&gt;0,(G35*F36),0),0)</f>
        <v>0</v>
      </c>
    </row>
    <row r="37" spans="1:7" ht="15.75">
      <c r="A37" s="21"/>
      <c r="B37" s="21"/>
      <c r="C37" s="470" t="str">
        <f>CONCATENATE("Amount of  ",$G$1-1," Ad Valorem Tax")</f>
        <v>Amount of  2009 Ad Valorem Tax</v>
      </c>
      <c r="D37" s="471"/>
      <c r="E37" s="471"/>
      <c r="F37" s="472"/>
      <c r="G37" s="384">
        <f>G35+G36</f>
        <v>0</v>
      </c>
    </row>
    <row r="38" spans="1:7" ht="15.75">
      <c r="A38" s="21"/>
      <c r="B38" s="21"/>
      <c r="C38" s="21"/>
      <c r="D38" s="21"/>
      <c r="E38" s="21"/>
      <c r="F38" s="21"/>
      <c r="G38" s="21"/>
    </row>
    <row r="39" spans="1:7" ht="15.75">
      <c r="A39" s="25" t="s">
        <v>156</v>
      </c>
      <c r="B39" s="25"/>
      <c r="C39" s="31"/>
      <c r="D39" s="31"/>
      <c r="E39" s="31"/>
      <c r="F39" s="31"/>
      <c r="G39" s="31"/>
    </row>
    <row r="40" spans="1:7" ht="15.75">
      <c r="A40" s="21"/>
      <c r="B40" s="21"/>
      <c r="C40" s="492" t="s">
        <v>178</v>
      </c>
      <c r="D40" s="493"/>
      <c r="E40" s="488" t="s">
        <v>314</v>
      </c>
      <c r="F40" s="489"/>
      <c r="G40" s="33" t="s">
        <v>315</v>
      </c>
    </row>
    <row r="41" spans="1:7" ht="15.75">
      <c r="A41" s="137">
        <f>inputPrYr!B28</f>
        <v>0</v>
      </c>
      <c r="B41" s="137"/>
      <c r="C41" s="490">
        <f>G1-2</f>
        <v>2008</v>
      </c>
      <c r="D41" s="491"/>
      <c r="E41" s="490">
        <f>G1-1</f>
        <v>2009</v>
      </c>
      <c r="F41" s="491"/>
      <c r="G41" s="144">
        <f>G1</f>
        <v>2010</v>
      </c>
    </row>
    <row r="42" spans="1:7" ht="15.75">
      <c r="A42" s="303" t="s">
        <v>287</v>
      </c>
      <c r="B42" s="309"/>
      <c r="C42" s="460"/>
      <c r="D42" s="461"/>
      <c r="E42" s="468">
        <f>C67</f>
        <v>0</v>
      </c>
      <c r="F42" s="469"/>
      <c r="G42" s="85">
        <f>E67</f>
        <v>0</v>
      </c>
    </row>
    <row r="43" spans="1:7" ht="15.75">
      <c r="A43" s="308" t="s">
        <v>289</v>
      </c>
      <c r="B43" s="309"/>
      <c r="C43" s="464"/>
      <c r="D43" s="465"/>
      <c r="E43" s="464"/>
      <c r="F43" s="465"/>
      <c r="G43" s="40"/>
    </row>
    <row r="44" spans="1:7" ht="15.75">
      <c r="A44" s="37" t="s">
        <v>157</v>
      </c>
      <c r="B44" s="309"/>
      <c r="C44" s="460"/>
      <c r="D44" s="461"/>
      <c r="E44" s="468">
        <f>inputPrYr!E28</f>
        <v>0</v>
      </c>
      <c r="F44" s="469"/>
      <c r="G44" s="97" t="s">
        <v>145</v>
      </c>
    </row>
    <row r="45" spans="1:7" ht="15.75">
      <c r="A45" s="37" t="s">
        <v>158</v>
      </c>
      <c r="B45" s="309"/>
      <c r="C45" s="460"/>
      <c r="D45" s="461"/>
      <c r="E45" s="460"/>
      <c r="F45" s="461"/>
      <c r="G45" s="9"/>
    </row>
    <row r="46" spans="1:7" ht="15.75">
      <c r="A46" s="37" t="s">
        <v>159</v>
      </c>
      <c r="B46" s="309"/>
      <c r="C46" s="460"/>
      <c r="D46" s="461"/>
      <c r="E46" s="460"/>
      <c r="F46" s="461"/>
      <c r="G46" s="85" t="str">
        <f>mvalloc!C18</f>
        <v>  </v>
      </c>
    </row>
    <row r="47" spans="1:7" ht="15.75">
      <c r="A47" s="37" t="s">
        <v>160</v>
      </c>
      <c r="B47" s="309"/>
      <c r="C47" s="460"/>
      <c r="D47" s="461"/>
      <c r="E47" s="460"/>
      <c r="F47" s="461"/>
      <c r="G47" s="85" t="str">
        <f>mvalloc!D18</f>
        <v> </v>
      </c>
    </row>
    <row r="48" spans="1:7" ht="15.75">
      <c r="A48" s="313" t="s">
        <v>264</v>
      </c>
      <c r="B48" s="309"/>
      <c r="C48" s="460"/>
      <c r="D48" s="461"/>
      <c r="E48" s="460"/>
      <c r="F48" s="461"/>
      <c r="G48" s="85" t="str">
        <f>mvalloc!E18</f>
        <v> </v>
      </c>
    </row>
    <row r="49" spans="1:7" ht="15.75">
      <c r="A49" s="314" t="s">
        <v>333</v>
      </c>
      <c r="B49" s="309"/>
      <c r="C49" s="460"/>
      <c r="D49" s="461"/>
      <c r="E49" s="460"/>
      <c r="F49" s="461"/>
      <c r="G49" s="85" t="str">
        <f>mvalloc!F18</f>
        <v> </v>
      </c>
    </row>
    <row r="50" spans="1:7" ht="15.75">
      <c r="A50" s="293"/>
      <c r="B50" s="310"/>
      <c r="C50" s="460"/>
      <c r="D50" s="461"/>
      <c r="E50" s="460"/>
      <c r="F50" s="461"/>
      <c r="G50" s="9"/>
    </row>
    <row r="51" spans="1:7" ht="15.75">
      <c r="A51" s="293"/>
      <c r="B51" s="310"/>
      <c r="C51" s="460"/>
      <c r="D51" s="461"/>
      <c r="E51" s="460"/>
      <c r="F51" s="461"/>
      <c r="G51" s="9"/>
    </row>
    <row r="52" spans="1:7" ht="15.75">
      <c r="A52" s="304" t="s">
        <v>162</v>
      </c>
      <c r="B52" s="310"/>
      <c r="C52" s="460"/>
      <c r="D52" s="461"/>
      <c r="E52" s="460"/>
      <c r="F52" s="461"/>
      <c r="G52" s="9"/>
    </row>
    <row r="53" spans="1:7" ht="15.75">
      <c r="A53" s="313" t="s">
        <v>26</v>
      </c>
      <c r="B53" s="309"/>
      <c r="C53" s="460"/>
      <c r="D53" s="461"/>
      <c r="E53" s="460"/>
      <c r="F53" s="461"/>
      <c r="G53" s="305"/>
    </row>
    <row r="54" spans="1:7" ht="15.75">
      <c r="A54" s="303" t="s">
        <v>28</v>
      </c>
      <c r="B54" s="309"/>
      <c r="C54" s="480">
        <f>IF(C55*0.1&lt;C53,"Exceed 10% Rule","")</f>
      </c>
      <c r="D54" s="481"/>
      <c r="E54" s="480">
        <f>IF(E55*0.1&lt;E53,"Exceed 10% Rule","")</f>
      </c>
      <c r="F54" s="481"/>
      <c r="G54" s="345">
        <f>IF(G55*0.1+G72&lt;G53,"Exceed 10% Rule","")</f>
      </c>
    </row>
    <row r="55" spans="1:7" ht="15.75">
      <c r="A55" s="150" t="s">
        <v>163</v>
      </c>
      <c r="B55" s="309"/>
      <c r="C55" s="486">
        <f>SUM(C44:C53)</f>
        <v>0</v>
      </c>
      <c r="D55" s="487"/>
      <c r="E55" s="486">
        <f>SUM(E44:E53)</f>
        <v>0</v>
      </c>
      <c r="F55" s="487"/>
      <c r="G55" s="260">
        <f>SUM(G44:G53)</f>
        <v>0</v>
      </c>
    </row>
    <row r="56" spans="1:7" ht="15.75">
      <c r="A56" s="150" t="s">
        <v>164</v>
      </c>
      <c r="B56" s="309"/>
      <c r="C56" s="486">
        <f>C42+C55</f>
        <v>0</v>
      </c>
      <c r="D56" s="487"/>
      <c r="E56" s="486">
        <f>E42+E55</f>
        <v>0</v>
      </c>
      <c r="F56" s="487"/>
      <c r="G56" s="260">
        <f>G42+G55</f>
        <v>0</v>
      </c>
    </row>
    <row r="57" spans="1:7" ht="15.75">
      <c r="A57" s="37" t="s">
        <v>166</v>
      </c>
      <c r="B57" s="309"/>
      <c r="C57" s="506"/>
      <c r="D57" s="507"/>
      <c r="E57" s="506"/>
      <c r="F57" s="507"/>
      <c r="G57" s="42"/>
    </row>
    <row r="58" spans="1:7" ht="15.75">
      <c r="A58" s="293"/>
      <c r="B58" s="310"/>
      <c r="C58" s="460"/>
      <c r="D58" s="461"/>
      <c r="E58" s="460"/>
      <c r="F58" s="461"/>
      <c r="G58" s="9"/>
    </row>
    <row r="59" spans="1:7" ht="15.75">
      <c r="A59" s="293"/>
      <c r="B59" s="310"/>
      <c r="C59" s="460"/>
      <c r="D59" s="461"/>
      <c r="E59" s="460"/>
      <c r="F59" s="461"/>
      <c r="G59" s="9"/>
    </row>
    <row r="60" spans="1:7" ht="15.75">
      <c r="A60" s="293"/>
      <c r="B60" s="310"/>
      <c r="C60" s="460"/>
      <c r="D60" s="461"/>
      <c r="E60" s="460"/>
      <c r="F60" s="461"/>
      <c r="G60" s="9"/>
    </row>
    <row r="61" spans="1:7" ht="15.75">
      <c r="A61" s="293"/>
      <c r="B61" s="310"/>
      <c r="C61" s="460"/>
      <c r="D61" s="461"/>
      <c r="E61" s="460"/>
      <c r="F61" s="461"/>
      <c r="G61" s="9"/>
    </row>
    <row r="62" spans="1:7" ht="15.75">
      <c r="A62" s="293"/>
      <c r="B62" s="310"/>
      <c r="C62" s="460"/>
      <c r="D62" s="461"/>
      <c r="E62" s="460"/>
      <c r="F62" s="461"/>
      <c r="G62" s="9"/>
    </row>
    <row r="63" spans="1:7" ht="15.75">
      <c r="A63" s="311" t="s">
        <v>25</v>
      </c>
      <c r="B63" s="309"/>
      <c r="C63" s="460"/>
      <c r="D63" s="461"/>
      <c r="E63" s="460"/>
      <c r="F63" s="461"/>
      <c r="G63" s="259">
        <f>nhood!E17</f>
      </c>
    </row>
    <row r="64" spans="1:7" ht="15.75">
      <c r="A64" s="311" t="s">
        <v>26</v>
      </c>
      <c r="B64" s="309"/>
      <c r="C64" s="460"/>
      <c r="D64" s="461"/>
      <c r="E64" s="460"/>
      <c r="F64" s="461"/>
      <c r="G64" s="305"/>
    </row>
    <row r="65" spans="1:7" ht="15.75">
      <c r="A65" s="311" t="s">
        <v>27</v>
      </c>
      <c r="B65" s="309"/>
      <c r="C65" s="480">
        <f>IF(C66*0.1&lt;C64,"Exceed 10% Rule","")</f>
      </c>
      <c r="D65" s="481"/>
      <c r="E65" s="480">
        <f>IF(E66*0.1&lt;E64,"Exceed 10% Rule","")</f>
      </c>
      <c r="F65" s="481"/>
      <c r="G65" s="345">
        <f>IF(G66*0.1&lt;G64,"Exceed 10% Rule","")</f>
      </c>
    </row>
    <row r="66" spans="1:7" ht="15.75">
      <c r="A66" s="150" t="s">
        <v>170</v>
      </c>
      <c r="B66" s="309"/>
      <c r="C66" s="486">
        <f>SUM(C58:C64)</f>
        <v>0</v>
      </c>
      <c r="D66" s="487"/>
      <c r="E66" s="486">
        <f>SUM(E58:E64)</f>
        <v>0</v>
      </c>
      <c r="F66" s="487"/>
      <c r="G66" s="260">
        <f>SUM(G58:G64)</f>
        <v>0</v>
      </c>
    </row>
    <row r="67" spans="1:7" ht="15.75">
      <c r="A67" s="37" t="s">
        <v>288</v>
      </c>
      <c r="B67" s="309"/>
      <c r="C67" s="484">
        <f>C56-C66</f>
        <v>0</v>
      </c>
      <c r="D67" s="485"/>
      <c r="E67" s="484">
        <f>E56-E66</f>
        <v>0</v>
      </c>
      <c r="F67" s="485"/>
      <c r="G67" s="97" t="s">
        <v>145</v>
      </c>
    </row>
    <row r="68" spans="1:8" ht="15.75">
      <c r="A68" s="23" t="str">
        <f>CONCATENATE("",G1-2,"/",G1-1," Budget Authority Amount:")</f>
        <v>2008/2009 Budget Authority Amount:</v>
      </c>
      <c r="B68" s="328">
        <f>inputOth!B70</f>
        <v>0</v>
      </c>
      <c r="C68" s="328">
        <f>inputPrYr!D28</f>
        <v>0</v>
      </c>
      <c r="D68" s="473" t="s">
        <v>77</v>
      </c>
      <c r="E68" s="474"/>
      <c r="F68" s="475"/>
      <c r="G68" s="9"/>
      <c r="H68" s="288">
        <f>IF(G66/0.95-G66&lt;G68,"Exceeds 5%","")</f>
      </c>
    </row>
    <row r="69" spans="1:7" ht="15.75">
      <c r="A69" s="23" t="str">
        <f>CONCATENATE("Violation of Budget Law for ",G1-2,"/",G1-1,":")</f>
        <v>Violation of Budget Law for 2008/2009:</v>
      </c>
      <c r="B69" s="329" t="str">
        <f>IF(C66&gt;B68,"Yes","No")</f>
        <v>No</v>
      </c>
      <c r="C69" s="329" t="str">
        <f>IF(E66&gt;C68,"Yes","No")</f>
        <v>No</v>
      </c>
      <c r="D69" s="21"/>
      <c r="E69" s="476" t="s">
        <v>78</v>
      </c>
      <c r="F69" s="477"/>
      <c r="G69" s="85">
        <f>G66+G68</f>
        <v>0</v>
      </c>
    </row>
    <row r="70" spans="1:7" ht="15.75">
      <c r="A70" s="23" t="str">
        <f>CONCATENATE("Possible Cash Violation for ",G1-2,":")</f>
        <v>Possible Cash Violation for 2008:</v>
      </c>
      <c r="B70" s="329" t="str">
        <f>IF(C67&lt;0,"Yes","No")</f>
        <v>No</v>
      </c>
      <c r="C70" s="329"/>
      <c r="D70" s="21"/>
      <c r="E70" s="476" t="s">
        <v>171</v>
      </c>
      <c r="F70" s="477"/>
      <c r="G70" s="259">
        <f>IF(G69-G56&gt;0,G69-G56,0)</f>
        <v>0</v>
      </c>
    </row>
    <row r="71" spans="1:7" ht="15.75">
      <c r="A71" s="24"/>
      <c r="B71" s="24"/>
      <c r="C71" s="478" t="s">
        <v>79</v>
      </c>
      <c r="D71" s="479"/>
      <c r="E71" s="479"/>
      <c r="F71" s="228">
        <f>(inputOth!$E$46)</f>
        <v>0</v>
      </c>
      <c r="G71" s="85">
        <f>ROUND(IF(F71&gt;0,(G70*F71),0),0)</f>
        <v>0</v>
      </c>
    </row>
    <row r="72" spans="1:7" ht="15.75">
      <c r="A72" s="21"/>
      <c r="B72" s="21"/>
      <c r="C72" s="470" t="str">
        <f>CONCATENATE("Amount of  ",$G$1-1," Ad Valorem Tax")</f>
        <v>Amount of  2009 Ad Valorem Tax</v>
      </c>
      <c r="D72" s="471"/>
      <c r="E72" s="471"/>
      <c r="F72" s="472"/>
      <c r="G72" s="384">
        <f>G70+G71</f>
        <v>0</v>
      </c>
    </row>
    <row r="73" spans="1:7" ht="15.75">
      <c r="A73" s="21"/>
      <c r="B73" s="21"/>
      <c r="C73" s="21"/>
      <c r="D73" s="21"/>
      <c r="E73" s="21"/>
      <c r="F73" s="21"/>
      <c r="G73" s="21"/>
    </row>
    <row r="74" spans="1:7" ht="15.75">
      <c r="A74" s="136"/>
      <c r="B74" s="24" t="s">
        <v>173</v>
      </c>
      <c r="C74" s="100"/>
      <c r="D74" s="136"/>
      <c r="E74" s="21"/>
      <c r="F74" s="21"/>
      <c r="G74" s="21"/>
    </row>
  </sheetData>
  <sheetProtection sheet="1" objects="1" scenarios="1"/>
  <mergeCells count="122">
    <mergeCell ref="C47:D47"/>
    <mergeCell ref="C48:D48"/>
    <mergeCell ref="E52:F52"/>
    <mergeCell ref="E53:F53"/>
    <mergeCell ref="C49:D49"/>
    <mergeCell ref="C50:D50"/>
    <mergeCell ref="E47:F47"/>
    <mergeCell ref="E48:F48"/>
    <mergeCell ref="E49:F49"/>
    <mergeCell ref="C67:D67"/>
    <mergeCell ref="C66:D66"/>
    <mergeCell ref="C65:D65"/>
    <mergeCell ref="E67:F67"/>
    <mergeCell ref="E66:F66"/>
    <mergeCell ref="E65:F65"/>
    <mergeCell ref="C41:D41"/>
    <mergeCell ref="C57:D57"/>
    <mergeCell ref="E44:F44"/>
    <mergeCell ref="E43:F43"/>
    <mergeCell ref="E42:F42"/>
    <mergeCell ref="C42:D42"/>
    <mergeCell ref="C44:D44"/>
    <mergeCell ref="E55:F55"/>
    <mergeCell ref="E54:F54"/>
    <mergeCell ref="C55:D55"/>
    <mergeCell ref="C45:D45"/>
    <mergeCell ref="C46:D46"/>
    <mergeCell ref="E25:F25"/>
    <mergeCell ref="C43:D43"/>
    <mergeCell ref="C32:D32"/>
    <mergeCell ref="C31:D31"/>
    <mergeCell ref="C30:D30"/>
    <mergeCell ref="D33:F33"/>
    <mergeCell ref="E34:F34"/>
    <mergeCell ref="E35:F35"/>
    <mergeCell ref="E40:F40"/>
    <mergeCell ref="C22:D22"/>
    <mergeCell ref="C25:D25"/>
    <mergeCell ref="C26:D26"/>
    <mergeCell ref="C27:D27"/>
    <mergeCell ref="C28:D28"/>
    <mergeCell ref="C29:D29"/>
    <mergeCell ref="C40:D40"/>
    <mergeCell ref="C23:D23"/>
    <mergeCell ref="C24:D24"/>
    <mergeCell ref="E19:F19"/>
    <mergeCell ref="E32:F32"/>
    <mergeCell ref="E31:F31"/>
    <mergeCell ref="E30:F30"/>
    <mergeCell ref="E26:F26"/>
    <mergeCell ref="E27:F27"/>
    <mergeCell ref="E5:F5"/>
    <mergeCell ref="C5:D5"/>
    <mergeCell ref="C6:D6"/>
    <mergeCell ref="C7:D7"/>
    <mergeCell ref="E9:F9"/>
    <mergeCell ref="E8:F8"/>
    <mergeCell ref="E7:F7"/>
    <mergeCell ref="E6:F6"/>
    <mergeCell ref="C12:D12"/>
    <mergeCell ref="C13:D13"/>
    <mergeCell ref="C14:D14"/>
    <mergeCell ref="C15:D15"/>
    <mergeCell ref="C8:D8"/>
    <mergeCell ref="C9:D9"/>
    <mergeCell ref="C10:D10"/>
    <mergeCell ref="C11:D11"/>
    <mergeCell ref="E10:F10"/>
    <mergeCell ref="E11:F11"/>
    <mergeCell ref="E12:F12"/>
    <mergeCell ref="E13:F13"/>
    <mergeCell ref="E14:F14"/>
    <mergeCell ref="E15:F15"/>
    <mergeCell ref="E45:F45"/>
    <mergeCell ref="E46:F46"/>
    <mergeCell ref="C20:D20"/>
    <mergeCell ref="C19:D19"/>
    <mergeCell ref="C16:D16"/>
    <mergeCell ref="C17:D17"/>
    <mergeCell ref="C18:D18"/>
    <mergeCell ref="E16:F16"/>
    <mergeCell ref="E21:F21"/>
    <mergeCell ref="E20:F20"/>
    <mergeCell ref="E17:F17"/>
    <mergeCell ref="E18:F18"/>
    <mergeCell ref="E28:F28"/>
    <mergeCell ref="E29:F29"/>
    <mergeCell ref="E41:F41"/>
    <mergeCell ref="C58:D58"/>
    <mergeCell ref="E23:F23"/>
    <mergeCell ref="E24:F24"/>
    <mergeCell ref="E22:F22"/>
    <mergeCell ref="C21:D21"/>
    <mergeCell ref="C59:D59"/>
    <mergeCell ref="C51:D51"/>
    <mergeCell ref="C52:D52"/>
    <mergeCell ref="E59:F59"/>
    <mergeCell ref="E60:F60"/>
    <mergeCell ref="C53:D53"/>
    <mergeCell ref="C56:D56"/>
    <mergeCell ref="E56:F56"/>
    <mergeCell ref="C54:D54"/>
    <mergeCell ref="C71:E71"/>
    <mergeCell ref="E61:F61"/>
    <mergeCell ref="E50:F50"/>
    <mergeCell ref="E51:F51"/>
    <mergeCell ref="E57:F57"/>
    <mergeCell ref="E64:F64"/>
    <mergeCell ref="C61:D61"/>
    <mergeCell ref="C62:D62"/>
    <mergeCell ref="C63:D63"/>
    <mergeCell ref="C64:D64"/>
    <mergeCell ref="E62:F62"/>
    <mergeCell ref="E63:F63"/>
    <mergeCell ref="C60:D60"/>
    <mergeCell ref="E58:F58"/>
    <mergeCell ref="C72:F72"/>
    <mergeCell ref="C36:E36"/>
    <mergeCell ref="C37:F37"/>
    <mergeCell ref="D68:F68"/>
    <mergeCell ref="E69:F69"/>
    <mergeCell ref="E70:F70"/>
  </mergeCells>
  <conditionalFormatting sqref="G29">
    <cfRule type="cellIs" priority="1" dxfId="271" operator="greaterThan" stopIfTrue="1">
      <formula>$G$31*0.1</formula>
    </cfRule>
  </conditionalFormatting>
  <conditionalFormatting sqref="G33">
    <cfRule type="cellIs" priority="2" dxfId="271" operator="greaterThan" stopIfTrue="1">
      <formula>$G$31/0.95-$G$31</formula>
    </cfRule>
  </conditionalFormatting>
  <conditionalFormatting sqref="G64">
    <cfRule type="cellIs" priority="3" dxfId="271" operator="greaterThan" stopIfTrue="1">
      <formula>$G$66*0.1</formula>
    </cfRule>
  </conditionalFormatting>
  <conditionalFormatting sqref="G68">
    <cfRule type="cellIs" priority="4" dxfId="271" operator="greaterThan" stopIfTrue="1">
      <formula>$G$66/0.95-$G$66</formula>
    </cfRule>
  </conditionalFormatting>
  <conditionalFormatting sqref="C29:D29">
    <cfRule type="cellIs" priority="5" dxfId="0" operator="greaterThan" stopIfTrue="1">
      <formula>$C$31*0.1</formula>
    </cfRule>
  </conditionalFormatting>
  <conditionalFormatting sqref="E29:F29">
    <cfRule type="cellIs" priority="6" dxfId="0" operator="greaterThan" stopIfTrue="1">
      <formula>$E$31*0.1</formula>
    </cfRule>
  </conditionalFormatting>
  <conditionalFormatting sqref="E31:F31">
    <cfRule type="cellIs" priority="7" dxfId="0" operator="greaterThan" stopIfTrue="1">
      <formula>$C$33</formula>
    </cfRule>
  </conditionalFormatting>
  <conditionalFormatting sqref="C31:D31">
    <cfRule type="cellIs" priority="8" dxfId="0" operator="greaterThan" stopIfTrue="1">
      <formula>$B$33</formula>
    </cfRule>
  </conditionalFormatting>
  <conditionalFormatting sqref="C32:D32 C67:D67">
    <cfRule type="cellIs" priority="9" dxfId="0" operator="lessThan" stopIfTrue="1">
      <formula>0</formula>
    </cfRule>
  </conditionalFormatting>
  <conditionalFormatting sqref="C64:D64">
    <cfRule type="cellIs" priority="10" dxfId="0" operator="greaterThan" stopIfTrue="1">
      <formula>$C$66*0.1</formula>
    </cfRule>
  </conditionalFormatting>
  <conditionalFormatting sqref="E64:F64">
    <cfRule type="cellIs" priority="11" dxfId="0" operator="greaterThan" stopIfTrue="1">
      <formula>$E$66*0.1</formula>
    </cfRule>
  </conditionalFormatting>
  <conditionalFormatting sqref="E66:F66">
    <cfRule type="cellIs" priority="12" dxfId="0" operator="greaterThan" stopIfTrue="1">
      <formula>$C$68</formula>
    </cfRule>
  </conditionalFormatting>
  <conditionalFormatting sqref="C66:D66">
    <cfRule type="cellIs" priority="13" dxfId="0" operator="greaterThan" stopIfTrue="1">
      <formula>$B$68</formula>
    </cfRule>
  </conditionalFormatting>
  <conditionalFormatting sqref="E18:F18">
    <cfRule type="cellIs" priority="14" dxfId="0" operator="greaterThan" stopIfTrue="1">
      <formula>$E$20*0.1</formula>
    </cfRule>
  </conditionalFormatting>
  <conditionalFormatting sqref="C18:D18">
    <cfRule type="cellIs" priority="15" dxfId="0" operator="greaterThan" stopIfTrue="1">
      <formula>$C$20*0.1</formula>
    </cfRule>
  </conditionalFormatting>
  <conditionalFormatting sqref="E53:F53">
    <cfRule type="cellIs" priority="16" dxfId="0" operator="greaterThan" stopIfTrue="1">
      <formula>$E$55*0.1</formula>
    </cfRule>
  </conditionalFormatting>
  <conditionalFormatting sqref="C53:D53">
    <cfRule type="cellIs" priority="17" dxfId="0" operator="greaterThan" stopIfTrue="1">
      <formula>$C$55*0.1</formula>
    </cfRule>
  </conditionalFormatting>
  <conditionalFormatting sqref="G53">
    <cfRule type="cellIs" priority="18" dxfId="271" operator="greaterThan" stopIfTrue="1">
      <formula>$G$55*0.1+G72</formula>
    </cfRule>
  </conditionalFormatting>
  <conditionalFormatting sqref="G18">
    <cfRule type="cellIs" priority="19" dxfId="271" operator="greaterThan" stopIfTrue="1">
      <formula>$G$20*0.1+G37</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oddHeader>
    <oddFooter>&amp;Lrevised 8/21/08</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43">
      <selection activeCell="E68" sqref="E68"/>
    </sheetView>
  </sheetViews>
  <sheetFormatPr defaultColWidth="8.796875" defaultRowHeight="15"/>
  <cols>
    <col min="1" max="1" width="28.796875" style="7" customWidth="1"/>
    <col min="2" max="2" width="9.59765625" style="7" customWidth="1"/>
    <col min="3" max="4" width="15.796875" style="7" customWidth="1"/>
    <col min="5" max="5" width="16.19921875" style="7" customWidth="1"/>
    <col min="6" max="16384" width="8.8984375" style="7" customWidth="1"/>
  </cols>
  <sheetData>
    <row r="1" spans="1:5" ht="15.75">
      <c r="A1" s="72" t="str">
        <f>(inputPrYr!D2)</f>
        <v>City of Ellsworth</v>
      </c>
      <c r="B1" s="72"/>
      <c r="C1" s="21"/>
      <c r="D1" s="21"/>
      <c r="E1" s="138">
        <f>inputPrYr!C5</f>
        <v>2010</v>
      </c>
    </row>
    <row r="2" spans="1:5" ht="15.75">
      <c r="A2" s="21"/>
      <c r="B2" s="21"/>
      <c r="C2" s="21"/>
      <c r="D2" s="21"/>
      <c r="E2" s="24"/>
    </row>
    <row r="3" spans="1:5" ht="15.75">
      <c r="A3" s="90" t="s">
        <v>232</v>
      </c>
      <c r="B3" s="90"/>
      <c r="C3" s="96"/>
      <c r="D3" s="96"/>
      <c r="E3" s="96"/>
    </row>
    <row r="4" spans="1:5" ht="15.75">
      <c r="A4" s="25" t="s">
        <v>156</v>
      </c>
      <c r="B4" s="25"/>
      <c r="C4" s="93" t="s">
        <v>178</v>
      </c>
      <c r="D4" s="33" t="s">
        <v>314</v>
      </c>
      <c r="E4" s="33" t="s">
        <v>315</v>
      </c>
    </row>
    <row r="5" spans="1:5" ht="15.75">
      <c r="A5" s="137" t="str">
        <f>(inputPrYr!B32)</f>
        <v>Special Highway</v>
      </c>
      <c r="B5" s="137"/>
      <c r="C5" s="144">
        <f>E1-2</f>
        <v>2008</v>
      </c>
      <c r="D5" s="144">
        <f>E1-1</f>
        <v>2009</v>
      </c>
      <c r="E5" s="144">
        <f>E1</f>
        <v>2010</v>
      </c>
    </row>
    <row r="6" spans="1:5" ht="15.75">
      <c r="A6" s="303" t="s">
        <v>287</v>
      </c>
      <c r="B6" s="309"/>
      <c r="C6" s="305">
        <v>10066</v>
      </c>
      <c r="D6" s="85">
        <f>C31</f>
        <v>4282</v>
      </c>
      <c r="E6" s="85">
        <f>D31</f>
        <v>56515</v>
      </c>
    </row>
    <row r="7" spans="1:5" ht="15.75">
      <c r="A7" s="308" t="s">
        <v>289</v>
      </c>
      <c r="B7" s="309"/>
      <c r="C7" s="297"/>
      <c r="D7" s="40"/>
      <c r="E7" s="40"/>
    </row>
    <row r="8" spans="1:5" ht="15.75">
      <c r="A8" s="311" t="s">
        <v>267</v>
      </c>
      <c r="B8" s="309"/>
      <c r="C8" s="305">
        <v>82922</v>
      </c>
      <c r="D8" s="140">
        <f>inputOth!E51</f>
        <v>67000</v>
      </c>
      <c r="E8" s="85">
        <f>inputOth!E49</f>
        <v>60000</v>
      </c>
    </row>
    <row r="9" spans="1:5" ht="15.75">
      <c r="A9" s="312" t="s">
        <v>346</v>
      </c>
      <c r="B9" s="309"/>
      <c r="C9" s="305">
        <v>0</v>
      </c>
      <c r="D9" s="140">
        <f>inputOth!E52</f>
        <v>0</v>
      </c>
      <c r="E9" s="140">
        <f>inputOth!E50</f>
        <v>0</v>
      </c>
    </row>
    <row r="10" spans="1:5" ht="15.75">
      <c r="A10" s="293"/>
      <c r="B10" s="310"/>
      <c r="C10" s="305"/>
      <c r="D10" s="9"/>
      <c r="E10" s="9"/>
    </row>
    <row r="11" spans="1:5" ht="15.75">
      <c r="A11" s="293"/>
      <c r="B11" s="310"/>
      <c r="C11" s="305"/>
      <c r="D11" s="9"/>
      <c r="E11" s="9"/>
    </row>
    <row r="12" spans="1:5" ht="15.75">
      <c r="A12" s="293"/>
      <c r="B12" s="310"/>
      <c r="C12" s="305"/>
      <c r="D12" s="9"/>
      <c r="E12" s="9"/>
    </row>
    <row r="13" spans="1:5" ht="15.75">
      <c r="A13" s="293"/>
      <c r="B13" s="310"/>
      <c r="C13" s="305"/>
      <c r="D13" s="9"/>
      <c r="E13" s="9"/>
    </row>
    <row r="14" spans="1:5" ht="15.75">
      <c r="A14" s="304" t="s">
        <v>162</v>
      </c>
      <c r="B14" s="310"/>
      <c r="C14" s="305">
        <v>522</v>
      </c>
      <c r="D14" s="9">
        <v>130</v>
      </c>
      <c r="E14" s="9">
        <v>150</v>
      </c>
    </row>
    <row r="15" spans="1:5" ht="15.75">
      <c r="A15" s="313" t="s">
        <v>26</v>
      </c>
      <c r="B15" s="309"/>
      <c r="C15" s="305">
        <v>0</v>
      </c>
      <c r="D15" s="305">
        <v>0</v>
      </c>
      <c r="E15" s="305"/>
    </row>
    <row r="16" spans="1:5" ht="15.75">
      <c r="A16" s="303" t="s">
        <v>28</v>
      </c>
      <c r="B16" s="309"/>
      <c r="C16" s="345">
        <f>IF(C17*0.1&lt;C15,"Exceed 10% Rule","")</f>
      </c>
      <c r="D16" s="345">
        <f>IF(D17*0.1&lt;D15,"Exceed 10% Rule","")</f>
      </c>
      <c r="E16" s="345">
        <f>IF(E17*0.1&lt;E15,"Exceed 10% Rule","")</f>
      </c>
    </row>
    <row r="17" spans="1:5" ht="15.75">
      <c r="A17" s="150" t="s">
        <v>163</v>
      </c>
      <c r="B17" s="309"/>
      <c r="C17" s="306">
        <f>SUM(C8:C15)</f>
        <v>83444</v>
      </c>
      <c r="D17" s="260">
        <f>SUM(D8:D15)</f>
        <v>67130</v>
      </c>
      <c r="E17" s="260">
        <f>SUM(E8:E15)</f>
        <v>60150</v>
      </c>
    </row>
    <row r="18" spans="1:5" ht="15.75">
      <c r="A18" s="150" t="s">
        <v>164</v>
      </c>
      <c r="B18" s="309"/>
      <c r="C18" s="306">
        <f>C6+C17</f>
        <v>93510</v>
      </c>
      <c r="D18" s="260">
        <f>D6+D17</f>
        <v>71412</v>
      </c>
      <c r="E18" s="260">
        <f>E6+E17</f>
        <v>116665</v>
      </c>
    </row>
    <row r="19" spans="1:5" ht="15.75">
      <c r="A19" s="37" t="s">
        <v>166</v>
      </c>
      <c r="B19" s="309"/>
      <c r="C19" s="118"/>
      <c r="D19" s="85"/>
      <c r="E19" s="85"/>
    </row>
    <row r="20" spans="1:5" ht="15.75">
      <c r="A20" s="293" t="s">
        <v>520</v>
      </c>
      <c r="B20" s="310"/>
      <c r="C20" s="305">
        <v>51476</v>
      </c>
      <c r="D20" s="9">
        <v>0</v>
      </c>
      <c r="E20" s="9">
        <v>71465</v>
      </c>
    </row>
    <row r="21" spans="1:5" ht="15.75">
      <c r="A21" s="293" t="s">
        <v>521</v>
      </c>
      <c r="B21" s="310"/>
      <c r="C21" s="305">
        <v>4183</v>
      </c>
      <c r="D21" s="9">
        <v>0</v>
      </c>
      <c r="E21" s="9">
        <v>4000</v>
      </c>
    </row>
    <row r="22" spans="1:5" ht="15.75">
      <c r="A22" s="293" t="s">
        <v>168</v>
      </c>
      <c r="B22" s="310"/>
      <c r="C22" s="305">
        <v>12569</v>
      </c>
      <c r="D22" s="9">
        <v>3047</v>
      </c>
      <c r="E22" s="9">
        <v>13000</v>
      </c>
    </row>
    <row r="23" spans="1:5" ht="15.75">
      <c r="A23" s="293" t="s">
        <v>522</v>
      </c>
      <c r="B23" s="310"/>
      <c r="C23" s="305">
        <v>10000</v>
      </c>
      <c r="D23" s="9">
        <v>0</v>
      </c>
      <c r="E23" s="9">
        <v>8000</v>
      </c>
    </row>
    <row r="24" spans="1:5" ht="15.75">
      <c r="A24" s="293" t="s">
        <v>523</v>
      </c>
      <c r="B24" s="310"/>
      <c r="C24" s="305">
        <v>11000</v>
      </c>
      <c r="D24" s="9">
        <v>11850</v>
      </c>
      <c r="E24" s="9">
        <v>10000</v>
      </c>
    </row>
    <row r="25" spans="1:5" ht="15.75">
      <c r="A25" s="293"/>
      <c r="B25" s="310"/>
      <c r="C25" s="305"/>
      <c r="D25" s="9"/>
      <c r="E25" s="9"/>
    </row>
    <row r="26" spans="1:5" ht="15.75">
      <c r="A26" s="293"/>
      <c r="B26" s="310"/>
      <c r="C26" s="305"/>
      <c r="D26" s="9"/>
      <c r="E26" s="9"/>
    </row>
    <row r="27" spans="1:5" ht="15.75">
      <c r="A27" s="293"/>
      <c r="B27" s="310"/>
      <c r="C27" s="305"/>
      <c r="D27" s="9"/>
      <c r="E27" s="9"/>
    </row>
    <row r="28" spans="1:5" ht="15.75">
      <c r="A28" s="311" t="s">
        <v>26</v>
      </c>
      <c r="B28" s="309"/>
      <c r="C28" s="305"/>
      <c r="D28" s="305"/>
      <c r="E28" s="305">
        <v>10200</v>
      </c>
    </row>
    <row r="29" spans="1:5" ht="15.75">
      <c r="A29" s="311" t="s">
        <v>27</v>
      </c>
      <c r="B29" s="309"/>
      <c r="C29" s="345">
        <f>IF(C30*0.1&lt;C28,"Exceed 10% Rule","")</f>
      </c>
      <c r="D29" s="345">
        <f>IF(D30*0.1&lt;D28,"Exceed 10% Rule","")</f>
      </c>
      <c r="E29" s="345">
        <f>IF(E30*0.1&lt;E28,"Exceed 10% Rule","")</f>
      </c>
    </row>
    <row r="30" spans="1:5" ht="15.75">
      <c r="A30" s="150" t="s">
        <v>170</v>
      </c>
      <c r="B30" s="309"/>
      <c r="C30" s="306">
        <f>SUM(C20:C28)</f>
        <v>89228</v>
      </c>
      <c r="D30" s="260">
        <f>SUM(D20:D28)</f>
        <v>14897</v>
      </c>
      <c r="E30" s="260">
        <f>SUM(E20:E28)</f>
        <v>116665</v>
      </c>
    </row>
    <row r="31" spans="1:5" ht="15.75">
      <c r="A31" s="37" t="s">
        <v>288</v>
      </c>
      <c r="B31" s="309"/>
      <c r="C31" s="307">
        <f>C18-C30</f>
        <v>4282</v>
      </c>
      <c r="D31" s="259">
        <f>D18-D30</f>
        <v>56515</v>
      </c>
      <c r="E31" s="259">
        <f>E18-E30</f>
        <v>0</v>
      </c>
    </row>
    <row r="32" spans="1:5" ht="15.75">
      <c r="A32" s="23" t="str">
        <f>CONCATENATE("",E1-2,"/",E1-1," Budget Authority Amount:")</f>
        <v>2008/2009 Budget Authority Amount:</v>
      </c>
      <c r="B32" s="328"/>
      <c r="C32" s="328">
        <f>inputOth!B71</f>
        <v>100596</v>
      </c>
      <c r="D32" s="328">
        <f>inputPrYr!D32</f>
        <v>90956</v>
      </c>
      <c r="E32" s="393">
        <f>IF(E31&lt;0,"Budget Violation","")</f>
      </c>
    </row>
    <row r="33" spans="1:5" ht="15.75">
      <c r="A33" s="23" t="str">
        <f>CONCATENATE("Violation of Budget Law for ",E1-2,"/",E1-1,":")</f>
        <v>Violation of Budget Law for 2008/2009:</v>
      </c>
      <c r="B33" s="329"/>
      <c r="C33" s="329" t="str">
        <f>IF(C30&gt;C32,"Yes","No")</f>
        <v>No</v>
      </c>
      <c r="D33" s="329" t="str">
        <f>IF(D30&gt;D32,"Yes","No")</f>
        <v>No</v>
      </c>
      <c r="E33" s="65"/>
    </row>
    <row r="34" spans="1:5" ht="15.75">
      <c r="A34" s="23" t="str">
        <f>CONCATENATE("Possible Cash Violation for ",E1-2,":")</f>
        <v>Possible Cash Violation for 2008:</v>
      </c>
      <c r="B34" s="329"/>
      <c r="C34" s="329" t="str">
        <f>IF(C31&lt;0,"Yes","No")</f>
        <v>No</v>
      </c>
      <c r="D34" s="329"/>
      <c r="E34" s="65"/>
    </row>
    <row r="35" spans="1:5" ht="15.75">
      <c r="A35" s="21"/>
      <c r="B35" s="21"/>
      <c r="C35" s="65"/>
      <c r="D35" s="65"/>
      <c r="E35" s="65"/>
    </row>
    <row r="36" spans="1:5" ht="15.75">
      <c r="A36" s="25" t="s">
        <v>156</v>
      </c>
      <c r="B36" s="25"/>
      <c r="C36" s="101"/>
      <c r="D36" s="101"/>
      <c r="E36" s="101"/>
    </row>
    <row r="37" spans="1:5" ht="15.75">
      <c r="A37" s="21"/>
      <c r="B37" s="21"/>
      <c r="C37" s="93" t="s">
        <v>178</v>
      </c>
      <c r="D37" s="33" t="s">
        <v>314</v>
      </c>
      <c r="E37" s="33" t="s">
        <v>315</v>
      </c>
    </row>
    <row r="38" spans="1:5" ht="15.75">
      <c r="A38" s="137" t="str">
        <f>(inputPrYr!B33)</f>
        <v>Special Parks &amp; Recreation</v>
      </c>
      <c r="B38" s="137"/>
      <c r="C38" s="144">
        <f>C5</f>
        <v>2008</v>
      </c>
      <c r="D38" s="144">
        <f>D5</f>
        <v>2009</v>
      </c>
      <c r="E38" s="144">
        <f>E5</f>
        <v>2010</v>
      </c>
    </row>
    <row r="39" spans="1:5" ht="15.75">
      <c r="A39" s="303" t="s">
        <v>287</v>
      </c>
      <c r="B39" s="309"/>
      <c r="C39" s="305">
        <v>3480</v>
      </c>
      <c r="D39" s="85">
        <f>C62</f>
        <v>3782</v>
      </c>
      <c r="E39" s="85">
        <f>D62</f>
        <v>1827</v>
      </c>
    </row>
    <row r="40" spans="1:5" ht="15.75">
      <c r="A40" s="308" t="s">
        <v>289</v>
      </c>
      <c r="B40" s="309"/>
      <c r="C40" s="297"/>
      <c r="D40" s="40"/>
      <c r="E40" s="40"/>
    </row>
    <row r="41" spans="1:5" ht="15.75">
      <c r="A41" s="293" t="s">
        <v>524</v>
      </c>
      <c r="B41" s="310"/>
      <c r="C41" s="305">
        <v>3645</v>
      </c>
      <c r="D41" s="9">
        <v>1600</v>
      </c>
      <c r="E41" s="9">
        <v>3500</v>
      </c>
    </row>
    <row r="42" spans="1:5" ht="15.75">
      <c r="A42" s="293"/>
      <c r="B42" s="310"/>
      <c r="C42" s="305"/>
      <c r="D42" s="9"/>
      <c r="E42" s="9"/>
    </row>
    <row r="43" spans="1:5" ht="15.75">
      <c r="A43" s="293"/>
      <c r="B43" s="310"/>
      <c r="C43" s="305"/>
      <c r="D43" s="9"/>
      <c r="E43" s="9"/>
    </row>
    <row r="44" spans="1:5" ht="15.75">
      <c r="A44" s="293"/>
      <c r="B44" s="310"/>
      <c r="C44" s="305"/>
      <c r="D44" s="9"/>
      <c r="E44" s="9"/>
    </row>
    <row r="45" spans="1:5" ht="15.75">
      <c r="A45" s="304" t="s">
        <v>162</v>
      </c>
      <c r="B45" s="310"/>
      <c r="C45" s="305">
        <v>78</v>
      </c>
      <c r="D45" s="9">
        <v>45</v>
      </c>
      <c r="E45" s="9">
        <v>50</v>
      </c>
    </row>
    <row r="46" spans="1:5" ht="15.75">
      <c r="A46" s="313" t="s">
        <v>26</v>
      </c>
      <c r="B46" s="309"/>
      <c r="C46" s="305">
        <v>0</v>
      </c>
      <c r="D46" s="305"/>
      <c r="E46" s="305"/>
    </row>
    <row r="47" spans="1:5" ht="15.75">
      <c r="A47" s="303" t="s">
        <v>28</v>
      </c>
      <c r="B47" s="309"/>
      <c r="C47" s="345">
        <f>IF(C48*0.1&lt;C46,"Exceed 10% Rule","")</f>
      </c>
      <c r="D47" s="345">
        <f>IF(D48*0.1&lt;D46,"Exceed 10% Rule","")</f>
      </c>
      <c r="E47" s="345">
        <f>IF(E48*0.1&lt;E46,"Exceed 10% Rule","")</f>
      </c>
    </row>
    <row r="48" spans="1:5" ht="15.75">
      <c r="A48" s="150" t="s">
        <v>163</v>
      </c>
      <c r="B48" s="309"/>
      <c r="C48" s="306">
        <f>SUM(C41:C46)</f>
        <v>3723</v>
      </c>
      <c r="D48" s="260">
        <f>SUM(D41:D46)</f>
        <v>1645</v>
      </c>
      <c r="E48" s="260">
        <f>SUM(E41:E46)</f>
        <v>3550</v>
      </c>
    </row>
    <row r="49" spans="1:5" ht="15.75">
      <c r="A49" s="150" t="s">
        <v>164</v>
      </c>
      <c r="B49" s="309"/>
      <c r="C49" s="306">
        <f>C39+C48</f>
        <v>7203</v>
      </c>
      <c r="D49" s="260">
        <f>D39+D48</f>
        <v>5427</v>
      </c>
      <c r="E49" s="260">
        <f>E39+E48</f>
        <v>5377</v>
      </c>
    </row>
    <row r="50" spans="1:5" ht="15.75">
      <c r="A50" s="37" t="s">
        <v>166</v>
      </c>
      <c r="B50" s="309"/>
      <c r="C50" s="118"/>
      <c r="D50" s="85"/>
      <c r="E50" s="85"/>
    </row>
    <row r="51" spans="1:5" ht="15.75">
      <c r="A51" s="293" t="s">
        <v>525</v>
      </c>
      <c r="B51" s="310"/>
      <c r="C51" s="305">
        <v>1432</v>
      </c>
      <c r="D51" s="9">
        <v>1950</v>
      </c>
      <c r="E51" s="9">
        <v>1950</v>
      </c>
    </row>
    <row r="52" spans="1:5" ht="15.75">
      <c r="A52" s="293" t="s">
        <v>526</v>
      </c>
      <c r="B52" s="310"/>
      <c r="C52" s="305">
        <v>1564</v>
      </c>
      <c r="D52" s="9">
        <v>1100</v>
      </c>
      <c r="E52" s="9">
        <v>1250</v>
      </c>
    </row>
    <row r="53" spans="1:5" ht="15.75">
      <c r="A53" s="293" t="s">
        <v>527</v>
      </c>
      <c r="B53" s="310"/>
      <c r="C53" s="305">
        <v>425</v>
      </c>
      <c r="D53" s="9">
        <v>300</v>
      </c>
      <c r="E53" s="9">
        <v>625</v>
      </c>
    </row>
    <row r="54" spans="1:5" ht="15.75">
      <c r="A54" s="293" t="s">
        <v>528</v>
      </c>
      <c r="B54" s="310"/>
      <c r="C54" s="305">
        <v>0</v>
      </c>
      <c r="D54" s="9">
        <v>250</v>
      </c>
      <c r="E54" s="9">
        <v>575</v>
      </c>
    </row>
    <row r="55" spans="1:5" ht="15.75">
      <c r="A55" s="293" t="s">
        <v>520</v>
      </c>
      <c r="B55" s="310"/>
      <c r="C55" s="305">
        <v>0</v>
      </c>
      <c r="D55" s="9">
        <v>0</v>
      </c>
      <c r="E55" s="9">
        <v>523</v>
      </c>
    </row>
    <row r="56" spans="1:5" ht="15.75">
      <c r="A56" s="293"/>
      <c r="B56" s="310"/>
      <c r="C56" s="305"/>
      <c r="D56" s="9"/>
      <c r="E56" s="9"/>
    </row>
    <row r="57" spans="1:5" ht="15.75">
      <c r="A57" s="293"/>
      <c r="B57" s="310"/>
      <c r="C57" s="305"/>
      <c r="D57" s="9"/>
      <c r="E57" s="9"/>
    </row>
    <row r="58" spans="1:5" ht="15.75">
      <c r="A58" s="293"/>
      <c r="B58" s="310"/>
      <c r="C58" s="305"/>
      <c r="D58" s="9"/>
      <c r="E58" s="9"/>
    </row>
    <row r="59" spans="1:5" ht="15.75">
      <c r="A59" s="311" t="s">
        <v>26</v>
      </c>
      <c r="B59" s="309"/>
      <c r="C59" s="305"/>
      <c r="D59" s="305"/>
      <c r="E59" s="305">
        <v>454</v>
      </c>
    </row>
    <row r="60" spans="1:5" ht="15.75">
      <c r="A60" s="311" t="s">
        <v>27</v>
      </c>
      <c r="B60" s="309"/>
      <c r="C60" s="345">
        <f>IF(C61*0.1&lt;C59,"Exceed 10% Rule","")</f>
      </c>
      <c r="D60" s="345">
        <f>IF(D61*0.1&lt;D59,"Exceed 10% Rule","")</f>
      </c>
      <c r="E60" s="345">
        <f>IF(E61*0.1&lt;E59,"Exceed 10% Rule","")</f>
      </c>
    </row>
    <row r="61" spans="1:5" ht="15.75">
      <c r="A61" s="150" t="s">
        <v>170</v>
      </c>
      <c r="B61" s="309"/>
      <c r="C61" s="306">
        <f>SUM(C51:C59)</f>
        <v>3421</v>
      </c>
      <c r="D61" s="260">
        <f>SUM(D51:D59)</f>
        <v>3600</v>
      </c>
      <c r="E61" s="260">
        <f>SUM(E51:E59)</f>
        <v>5377</v>
      </c>
    </row>
    <row r="62" spans="1:5" ht="15.75">
      <c r="A62" s="37" t="s">
        <v>288</v>
      </c>
      <c r="B62" s="309"/>
      <c r="C62" s="307">
        <f>C49-C61</f>
        <v>3782</v>
      </c>
      <c r="D62" s="259">
        <f>D49-D61</f>
        <v>1827</v>
      </c>
      <c r="E62" s="259">
        <f>E49-E61</f>
        <v>0</v>
      </c>
    </row>
    <row r="63" spans="1:5" ht="15.75">
      <c r="A63" s="23" t="str">
        <f>CONCATENATE("",E1-2,"/",E1-1," Budget Authority Amount:")</f>
        <v>2008/2009 Budget Authority Amount:</v>
      </c>
      <c r="B63" s="328"/>
      <c r="C63" s="328">
        <f>inputOth!B72</f>
        <v>6020</v>
      </c>
      <c r="D63" s="328">
        <f>inputPrYr!D33</f>
        <v>4530</v>
      </c>
      <c r="E63" s="392">
        <f>IF(E62&lt;0,"Budget Violation","")</f>
      </c>
    </row>
    <row r="64" spans="1:5" ht="15.75">
      <c r="A64" s="23" t="str">
        <f>CONCATENATE("Violation of Budget Law for ",E1-2,"/",E1-1,":")</f>
        <v>Violation of Budget Law for 2008/2009:</v>
      </c>
      <c r="B64" s="329"/>
      <c r="C64" s="329" t="str">
        <f>IF(C61&gt;C63,"Yes","No")</f>
        <v>No</v>
      </c>
      <c r="D64" s="329" t="str">
        <f>IF(D61&gt;D63,"Yes","No")</f>
        <v>No</v>
      </c>
      <c r="E64" s="21"/>
    </row>
    <row r="65" spans="1:5" ht="15.75">
      <c r="A65" s="23" t="str">
        <f>CONCATENATE("Possible Cash Violation for ",E1-2,":")</f>
        <v>Possible Cash Violation for 2008:</v>
      </c>
      <c r="B65" s="329"/>
      <c r="C65" s="329" t="str">
        <f>IF(C62&lt;0,"Yes","No")</f>
        <v>No</v>
      </c>
      <c r="D65" s="329"/>
      <c r="E65" s="21"/>
    </row>
    <row r="66" spans="1:5" ht="15.75">
      <c r="A66" s="21"/>
      <c r="B66" s="21"/>
      <c r="C66" s="21"/>
      <c r="D66" s="21"/>
      <c r="E66" s="21"/>
    </row>
    <row r="67" spans="1:5" ht="15.75">
      <c r="A67" s="24"/>
      <c r="B67" s="24" t="s">
        <v>173</v>
      </c>
      <c r="C67" s="100">
        <v>10</v>
      </c>
      <c r="D67" s="21"/>
      <c r="E67" s="21"/>
    </row>
  </sheetData>
  <sheetProtection sheet="1" objects="1" scenarios="1"/>
  <conditionalFormatting sqref="C15">
    <cfRule type="cellIs" priority="1" dxfId="271" operator="greaterThan" stopIfTrue="1">
      <formula>$C$17*0.1</formula>
    </cfRule>
  </conditionalFormatting>
  <conditionalFormatting sqref="D15">
    <cfRule type="cellIs" priority="2" dxfId="271" operator="greaterThan" stopIfTrue="1">
      <formula>$D$17*0.1</formula>
    </cfRule>
  </conditionalFormatting>
  <conditionalFormatting sqref="E15">
    <cfRule type="cellIs" priority="3" dxfId="271" operator="greaterThan" stopIfTrue="1">
      <formula>$E$17*0.1</formula>
    </cfRule>
  </conditionalFormatting>
  <conditionalFormatting sqref="C28">
    <cfRule type="cellIs" priority="4" dxfId="271" operator="greaterThan" stopIfTrue="1">
      <formula>$C$30*0.1</formula>
    </cfRule>
  </conditionalFormatting>
  <conditionalFormatting sqref="D28">
    <cfRule type="cellIs" priority="5" dxfId="271" operator="greaterThan" stopIfTrue="1">
      <formula>$D$30*0.1</formula>
    </cfRule>
  </conditionalFormatting>
  <conditionalFormatting sqref="E28">
    <cfRule type="cellIs" priority="6" dxfId="271" operator="greaterThan" stopIfTrue="1">
      <formula>$E$30*0.1</formula>
    </cfRule>
  </conditionalFormatting>
  <conditionalFormatting sqref="C46">
    <cfRule type="cellIs" priority="7" dxfId="271" operator="greaterThan" stopIfTrue="1">
      <formula>$C$48*0.1</formula>
    </cfRule>
  </conditionalFormatting>
  <conditionalFormatting sqref="D46">
    <cfRule type="cellIs" priority="8" dxfId="271" operator="greaterThan" stopIfTrue="1">
      <formula>$D$48*0.1</formula>
    </cfRule>
  </conditionalFormatting>
  <conditionalFormatting sqref="E46">
    <cfRule type="cellIs" priority="9" dxfId="271" operator="greaterThan" stopIfTrue="1">
      <formula>$E$48*0.1</formula>
    </cfRule>
  </conditionalFormatting>
  <conditionalFormatting sqref="C59">
    <cfRule type="cellIs" priority="10" dxfId="271" operator="greaterThan" stopIfTrue="1">
      <formula>$C$61*0.1</formula>
    </cfRule>
  </conditionalFormatting>
  <conditionalFormatting sqref="D59">
    <cfRule type="cellIs" priority="11" dxfId="271" operator="greaterThan" stopIfTrue="1">
      <formula>$D$61*0.1</formula>
    </cfRule>
  </conditionalFormatting>
  <conditionalFormatting sqref="E59">
    <cfRule type="cellIs" priority="12" dxfId="271" operator="greaterThan" stopIfTrue="1">
      <formula>$E$61*0.1</formula>
    </cfRule>
  </conditionalFormatting>
  <conditionalFormatting sqref="D61">
    <cfRule type="cellIs" priority="13" dxfId="0" operator="greaterThan" stopIfTrue="1">
      <formula>$D$63</formula>
    </cfRule>
  </conditionalFormatting>
  <conditionalFormatting sqref="C61">
    <cfRule type="cellIs" priority="14" dxfId="0" operator="greaterThan" stopIfTrue="1">
      <formula>$C$63</formula>
    </cfRule>
  </conditionalFormatting>
  <conditionalFormatting sqref="C62 E62 C31 E31">
    <cfRule type="cellIs" priority="15" dxfId="0" operator="lessThan" stopIfTrue="1">
      <formula>0</formula>
    </cfRule>
  </conditionalFormatting>
  <conditionalFormatting sqref="D30">
    <cfRule type="cellIs" priority="16" dxfId="0" operator="greaterThan" stopIfTrue="1">
      <formula>$D$32</formula>
    </cfRule>
  </conditionalFormatting>
  <conditionalFormatting sqref="C30">
    <cfRule type="cellIs" priority="17" dxfId="0" operator="greaterThan" stopIfTrue="1">
      <formula>$C$32</formula>
    </cfRule>
  </conditionalFormatting>
  <printOptions/>
  <pageMargins left="0.5" right="0.5" top="1" bottom="0.5" header="0.5" footer="0.5"/>
  <pageSetup blackAndWhite="1" fitToHeight="1" fitToWidth="1" horizontalDpi="120" verticalDpi="120" orientation="portrait" scale="66" r:id="rId1"/>
  <headerFooter alignWithMargins="0">
    <oddHeader>&amp;RState of Kansas
City</oddHeader>
    <oddFooter>&amp;Lrevised 8/21/08</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67"/>
  <sheetViews>
    <sheetView zoomScalePageLayoutView="0" workbookViewId="0" topLeftCell="A43">
      <selection activeCell="C67" sqref="C67"/>
    </sheetView>
  </sheetViews>
  <sheetFormatPr defaultColWidth="8.796875" defaultRowHeight="15"/>
  <cols>
    <col min="1" max="1" width="28.796875" style="7" customWidth="1"/>
    <col min="2" max="2" width="9.59765625" style="7" customWidth="1"/>
    <col min="3" max="4" width="15.796875" style="7" customWidth="1"/>
    <col min="5" max="5" width="16.296875" style="7" customWidth="1"/>
    <col min="6" max="16384" width="8.8984375" style="7" customWidth="1"/>
  </cols>
  <sheetData>
    <row r="1" spans="1:5" ht="15.75">
      <c r="A1" s="72" t="str">
        <f>(inputPrYr!D2)</f>
        <v>City of Ellsworth</v>
      </c>
      <c r="B1" s="72"/>
      <c r="C1" s="21"/>
      <c r="D1" s="21"/>
      <c r="E1" s="138">
        <f>inputPrYr!C5</f>
        <v>2010</v>
      </c>
    </row>
    <row r="2" spans="1:5" ht="15.75">
      <c r="A2" s="21"/>
      <c r="B2" s="21"/>
      <c r="C2" s="21"/>
      <c r="D2" s="21"/>
      <c r="E2" s="24"/>
    </row>
    <row r="3" spans="1:5" ht="15.75">
      <c r="A3" s="90" t="s">
        <v>232</v>
      </c>
      <c r="B3" s="90"/>
      <c r="C3" s="96"/>
      <c r="D3" s="96"/>
      <c r="E3" s="96"/>
    </row>
    <row r="4" spans="1:5" ht="15.75">
      <c r="A4" s="25" t="s">
        <v>156</v>
      </c>
      <c r="B4" s="25"/>
      <c r="C4" s="93" t="s">
        <v>345</v>
      </c>
      <c r="D4" s="33" t="s">
        <v>314</v>
      </c>
      <c r="E4" s="33" t="s">
        <v>315</v>
      </c>
    </row>
    <row r="5" spans="1:5" ht="15.75">
      <c r="A5" s="137" t="str">
        <f>(inputPrYr!B34)</f>
        <v>Solid Waste</v>
      </c>
      <c r="B5" s="137"/>
      <c r="C5" s="144">
        <f>E1-2</f>
        <v>2008</v>
      </c>
      <c r="D5" s="144">
        <f>E1-1</f>
        <v>2009</v>
      </c>
      <c r="E5" s="144">
        <f>E1</f>
        <v>2010</v>
      </c>
    </row>
    <row r="6" spans="1:5" ht="15.75">
      <c r="A6" s="303" t="s">
        <v>287</v>
      </c>
      <c r="B6" s="309"/>
      <c r="C6" s="305">
        <v>7044</v>
      </c>
      <c r="D6" s="85">
        <f>C22</f>
        <v>7568</v>
      </c>
      <c r="E6" s="85">
        <f>D22</f>
        <v>10043</v>
      </c>
    </row>
    <row r="7" spans="1:5" ht="15.75">
      <c r="A7" s="308" t="s">
        <v>289</v>
      </c>
      <c r="B7" s="309"/>
      <c r="C7" s="297"/>
      <c r="D7" s="40"/>
      <c r="E7" s="40"/>
    </row>
    <row r="8" spans="1:5" ht="15.75">
      <c r="A8" s="293" t="s">
        <v>529</v>
      </c>
      <c r="B8" s="310"/>
      <c r="C8" s="305">
        <v>147108</v>
      </c>
      <c r="D8" s="9">
        <v>136000</v>
      </c>
      <c r="E8" s="9">
        <v>143820</v>
      </c>
    </row>
    <row r="9" spans="1:5" ht="15.75">
      <c r="A9" s="304" t="s">
        <v>162</v>
      </c>
      <c r="B9" s="310"/>
      <c r="C9" s="305">
        <v>327</v>
      </c>
      <c r="D9" s="9">
        <v>125</v>
      </c>
      <c r="E9" s="9">
        <v>137</v>
      </c>
    </row>
    <row r="10" spans="1:5" ht="15.75">
      <c r="A10" s="313" t="s">
        <v>26</v>
      </c>
      <c r="B10" s="309"/>
      <c r="C10" s="305">
        <v>0</v>
      </c>
      <c r="D10" s="305">
        <v>0</v>
      </c>
      <c r="E10" s="305">
        <v>0</v>
      </c>
    </row>
    <row r="11" spans="1:5" ht="15.75">
      <c r="A11" s="303" t="s">
        <v>28</v>
      </c>
      <c r="B11" s="309"/>
      <c r="C11" s="345">
        <f>IF(C12*0.1&lt;C10,"Exceed 10% Rule","")</f>
      </c>
      <c r="D11" s="345">
        <f>IF(D12*0.1&lt;D10,"Exceed 10% Rule","")</f>
      </c>
      <c r="E11" s="345">
        <f>IF(E12*0.1&lt;E10,"Exceed 10% Rule","")</f>
      </c>
    </row>
    <row r="12" spans="1:5" ht="15.75">
      <c r="A12" s="150" t="s">
        <v>163</v>
      </c>
      <c r="B12" s="309"/>
      <c r="C12" s="306">
        <f>SUM(C8:C10)</f>
        <v>147435</v>
      </c>
      <c r="D12" s="260">
        <f>SUM(D8:D10)</f>
        <v>136125</v>
      </c>
      <c r="E12" s="260">
        <f>SUM(E8:E10)</f>
        <v>143957</v>
      </c>
    </row>
    <row r="13" spans="1:5" ht="15.75">
      <c r="A13" s="150" t="s">
        <v>164</v>
      </c>
      <c r="B13" s="309"/>
      <c r="C13" s="306">
        <f>C6+C12</f>
        <v>154479</v>
      </c>
      <c r="D13" s="260">
        <f>D6+D12</f>
        <v>143693</v>
      </c>
      <c r="E13" s="260">
        <f>E6+E12</f>
        <v>154000</v>
      </c>
    </row>
    <row r="14" spans="1:5" ht="15.75">
      <c r="A14" s="37" t="s">
        <v>166</v>
      </c>
      <c r="B14" s="309"/>
      <c r="C14" s="118"/>
      <c r="D14" s="85"/>
      <c r="E14" s="85"/>
    </row>
    <row r="15" spans="1:5" ht="15.75">
      <c r="A15" s="293" t="s">
        <v>530</v>
      </c>
      <c r="B15" s="310"/>
      <c r="C15" s="305">
        <v>141374</v>
      </c>
      <c r="D15" s="9">
        <v>128000</v>
      </c>
      <c r="E15" s="9">
        <v>146000</v>
      </c>
    </row>
    <row r="16" spans="1:5" ht="15.75">
      <c r="A16" s="293" t="s">
        <v>531</v>
      </c>
      <c r="B16" s="310"/>
      <c r="C16" s="305">
        <v>133</v>
      </c>
      <c r="D16" s="9">
        <v>200</v>
      </c>
      <c r="E16" s="9">
        <v>300</v>
      </c>
    </row>
    <row r="17" spans="1:5" ht="15.75">
      <c r="A17" s="293" t="s">
        <v>532</v>
      </c>
      <c r="B17" s="310"/>
      <c r="C17" s="305">
        <v>0</v>
      </c>
      <c r="D17" s="9">
        <v>0</v>
      </c>
      <c r="E17" s="9">
        <v>0</v>
      </c>
    </row>
    <row r="18" spans="1:5" ht="15.75">
      <c r="A18" s="293" t="s">
        <v>533</v>
      </c>
      <c r="B18" s="310"/>
      <c r="C18" s="305">
        <v>5404</v>
      </c>
      <c r="D18" s="9">
        <v>5450</v>
      </c>
      <c r="E18" s="9">
        <v>6200</v>
      </c>
    </row>
    <row r="19" spans="1:5" ht="15.75">
      <c r="A19" s="311" t="s">
        <v>26</v>
      </c>
      <c r="B19" s="309"/>
      <c r="C19" s="305">
        <v>0</v>
      </c>
      <c r="D19" s="305">
        <v>0</v>
      </c>
      <c r="E19" s="305">
        <v>1500</v>
      </c>
    </row>
    <row r="20" spans="1:5" ht="15.75">
      <c r="A20" s="311" t="s">
        <v>27</v>
      </c>
      <c r="B20" s="309"/>
      <c r="C20" s="345">
        <f>IF(C21*0.1&lt;C19,"Exceed 10% Rule","")</f>
      </c>
      <c r="D20" s="345">
        <f>IF(D21*0.1&lt;D19,"Exceed 10% Rule","")</f>
      </c>
      <c r="E20" s="345">
        <f>IF(E21*0.1&lt;E19,"Exceed 10% Rule","")</f>
      </c>
    </row>
    <row r="21" spans="1:5" ht="15.75">
      <c r="A21" s="150" t="s">
        <v>170</v>
      </c>
      <c r="B21" s="309"/>
      <c r="C21" s="306">
        <f>SUM(C15:C19)</f>
        <v>146911</v>
      </c>
      <c r="D21" s="260">
        <f>SUM(D15:D19)</f>
        <v>133650</v>
      </c>
      <c r="E21" s="260">
        <f>SUM(E15:E19)</f>
        <v>154000</v>
      </c>
    </row>
    <row r="22" spans="1:5" ht="15.75">
      <c r="A22" s="37" t="s">
        <v>288</v>
      </c>
      <c r="B22" s="309"/>
      <c r="C22" s="307">
        <f>C13-C21</f>
        <v>7568</v>
      </c>
      <c r="D22" s="259">
        <f>D13-D21</f>
        <v>10043</v>
      </c>
      <c r="E22" s="259">
        <f>E13-E21</f>
        <v>0</v>
      </c>
    </row>
    <row r="23" spans="1:5" ht="15.75">
      <c r="A23" s="23" t="str">
        <f>CONCATENATE("",E1-2,"/",E1-1," Budget Authority Amount:")</f>
        <v>2008/2009 Budget Authority Amount:</v>
      </c>
      <c r="B23" s="328"/>
      <c r="C23" s="328">
        <f>inputOth!B73</f>
        <v>152001</v>
      </c>
      <c r="D23" s="328">
        <f>inputPrYr!D34</f>
        <v>163344</v>
      </c>
      <c r="E23" s="393">
        <f>IF(E22&lt;0,"Budget Violation","")</f>
      </c>
    </row>
    <row r="24" spans="1:5" ht="15.75">
      <c r="A24" s="23" t="str">
        <f>CONCATENATE("Violation of Budget Law for ",E1-2,"/",E1-1,":")</f>
        <v>Violation of Budget Law for 2008/2009:</v>
      </c>
      <c r="B24" s="329"/>
      <c r="C24" s="329" t="str">
        <f>IF(C21&gt;C23,"Yes","No")</f>
        <v>No</v>
      </c>
      <c r="D24" s="329" t="str">
        <f>IF(D21&gt;D23,"Yes","No")</f>
        <v>No</v>
      </c>
      <c r="E24" s="65"/>
    </row>
    <row r="25" spans="1:5" ht="15.75">
      <c r="A25" s="23" t="str">
        <f>CONCATENATE("Possible Cash Violation for ",E1-2,":")</f>
        <v>Possible Cash Violation for 2008:</v>
      </c>
      <c r="B25" s="329"/>
      <c r="C25" s="329" t="str">
        <f>IF(C22&lt;0,"Yes","No")</f>
        <v>No</v>
      </c>
      <c r="D25" s="329"/>
      <c r="E25" s="65"/>
    </row>
    <row r="26" spans="1:5" ht="15.75">
      <c r="A26" s="21"/>
      <c r="B26" s="21"/>
      <c r="C26" s="65"/>
      <c r="D26" s="65"/>
      <c r="E26" s="65"/>
    </row>
    <row r="27" spans="1:5" ht="15.75">
      <c r="A27" s="25" t="s">
        <v>156</v>
      </c>
      <c r="B27" s="25"/>
      <c r="C27" s="101"/>
      <c r="D27" s="101"/>
      <c r="E27" s="101"/>
    </row>
    <row r="28" spans="1:5" ht="15.75">
      <c r="A28" s="21"/>
      <c r="B28" s="21"/>
      <c r="C28" s="93" t="s">
        <v>178</v>
      </c>
      <c r="D28" s="33" t="s">
        <v>314</v>
      </c>
      <c r="E28" s="33" t="s">
        <v>315</v>
      </c>
    </row>
    <row r="29" spans="1:5" ht="15.75">
      <c r="A29" s="137" t="str">
        <f>(inputPrYr!B35)</f>
        <v>Capital Improvements</v>
      </c>
      <c r="B29" s="137"/>
      <c r="C29" s="144">
        <f>C5</f>
        <v>2008</v>
      </c>
      <c r="D29" s="144">
        <f>D5</f>
        <v>2009</v>
      </c>
      <c r="E29" s="144">
        <f>E5</f>
        <v>2010</v>
      </c>
    </row>
    <row r="30" spans="1:5" ht="15.75">
      <c r="A30" s="303" t="s">
        <v>287</v>
      </c>
      <c r="B30" s="309"/>
      <c r="C30" s="305">
        <v>191458</v>
      </c>
      <c r="D30" s="85">
        <f>C62</f>
        <v>208367</v>
      </c>
      <c r="E30" s="85">
        <f>D62</f>
        <v>217935</v>
      </c>
    </row>
    <row r="31" spans="1:5" ht="15.75">
      <c r="A31" s="308" t="s">
        <v>289</v>
      </c>
      <c r="B31" s="309"/>
      <c r="C31" s="297"/>
      <c r="D31" s="40"/>
      <c r="E31" s="40"/>
    </row>
    <row r="32" spans="1:5" ht="15.75">
      <c r="A32" s="293" t="s">
        <v>470</v>
      </c>
      <c r="B32" s="310"/>
      <c r="C32" s="305">
        <v>1365</v>
      </c>
      <c r="D32" s="9">
        <v>1500</v>
      </c>
      <c r="E32" s="9">
        <v>1500</v>
      </c>
    </row>
    <row r="33" spans="1:5" ht="15.75">
      <c r="A33" s="293" t="s">
        <v>476</v>
      </c>
      <c r="B33" s="310"/>
      <c r="C33" s="305">
        <v>1000</v>
      </c>
      <c r="D33" s="9">
        <v>16248</v>
      </c>
      <c r="E33" s="9">
        <v>1600</v>
      </c>
    </row>
    <row r="34" spans="1:5" ht="15.75">
      <c r="A34" s="293" t="s">
        <v>479</v>
      </c>
      <c r="B34" s="310"/>
      <c r="C34" s="305">
        <v>314925</v>
      </c>
      <c r="D34" s="9">
        <v>222000</v>
      </c>
      <c r="E34" s="9">
        <v>200000</v>
      </c>
    </row>
    <row r="35" spans="1:5" ht="15.75">
      <c r="A35" s="293" t="s">
        <v>534</v>
      </c>
      <c r="B35" s="310"/>
      <c r="C35" s="305">
        <v>30000</v>
      </c>
      <c r="D35" s="9">
        <v>19500</v>
      </c>
      <c r="E35" s="9">
        <v>25000</v>
      </c>
    </row>
    <row r="36" spans="1:5" ht="15.75">
      <c r="A36" s="293" t="s">
        <v>535</v>
      </c>
      <c r="B36" s="310"/>
      <c r="C36" s="305">
        <v>0</v>
      </c>
      <c r="D36" s="9">
        <v>1000</v>
      </c>
      <c r="E36" s="9">
        <v>1000</v>
      </c>
    </row>
    <row r="37" spans="1:5" ht="15.75">
      <c r="A37" s="293" t="s">
        <v>536</v>
      </c>
      <c r="B37" s="310"/>
      <c r="C37" s="305">
        <v>1000</v>
      </c>
      <c r="D37" s="9">
        <v>1000</v>
      </c>
      <c r="E37" s="9">
        <v>1500</v>
      </c>
    </row>
    <row r="38" spans="1:5" ht="15.75">
      <c r="A38" s="293" t="s">
        <v>537</v>
      </c>
      <c r="B38" s="310"/>
      <c r="C38" s="305">
        <v>60500</v>
      </c>
      <c r="D38" s="9">
        <v>50000</v>
      </c>
      <c r="E38" s="9">
        <v>50000</v>
      </c>
    </row>
    <row r="39" spans="1:5" ht="15.75">
      <c r="A39" s="293" t="s">
        <v>538</v>
      </c>
      <c r="B39" s="310"/>
      <c r="C39" s="305">
        <v>2500</v>
      </c>
      <c r="D39" s="9">
        <v>3500</v>
      </c>
      <c r="E39" s="9">
        <v>3500</v>
      </c>
    </row>
    <row r="40" spans="1:5" ht="15.75">
      <c r="A40" s="293" t="s">
        <v>539</v>
      </c>
      <c r="B40" s="310"/>
      <c r="C40" s="305">
        <v>0</v>
      </c>
      <c r="D40" s="9">
        <v>0</v>
      </c>
      <c r="E40" s="9">
        <v>300</v>
      </c>
    </row>
    <row r="41" spans="1:5" ht="15.75">
      <c r="A41" s="293" t="s">
        <v>540</v>
      </c>
      <c r="B41" s="310"/>
      <c r="C41" s="305">
        <v>16000</v>
      </c>
      <c r="D41" s="9">
        <v>0</v>
      </c>
      <c r="E41" s="9">
        <v>0</v>
      </c>
    </row>
    <row r="42" spans="1:5" ht="15.75">
      <c r="A42" s="293" t="s">
        <v>541</v>
      </c>
      <c r="B42" s="310"/>
      <c r="C42" s="305">
        <v>10000</v>
      </c>
      <c r="D42" s="9">
        <v>15000</v>
      </c>
      <c r="E42" s="9">
        <v>20976</v>
      </c>
    </row>
    <row r="43" spans="1:5" ht="15.75">
      <c r="A43" s="293" t="s">
        <v>542</v>
      </c>
      <c r="B43" s="310"/>
      <c r="C43" s="305">
        <v>9500</v>
      </c>
      <c r="D43" s="9">
        <v>4500</v>
      </c>
      <c r="E43" s="9">
        <v>4500</v>
      </c>
    </row>
    <row r="44" spans="1:5" ht="15.75">
      <c r="A44" s="293" t="s">
        <v>543</v>
      </c>
      <c r="B44" s="310"/>
      <c r="C44" s="305">
        <v>10000</v>
      </c>
      <c r="D44" s="9">
        <v>0</v>
      </c>
      <c r="E44" s="9">
        <v>8000</v>
      </c>
    </row>
    <row r="45" spans="1:5" ht="15.75">
      <c r="A45" s="293" t="s">
        <v>544</v>
      </c>
      <c r="B45" s="310"/>
      <c r="C45" s="305">
        <v>15000</v>
      </c>
      <c r="D45" s="9">
        <v>25000</v>
      </c>
      <c r="E45" s="9">
        <v>25000</v>
      </c>
    </row>
    <row r="46" spans="1:5" ht="15.75">
      <c r="A46" s="293" t="s">
        <v>545</v>
      </c>
      <c r="B46" s="310"/>
      <c r="C46" s="305">
        <v>0</v>
      </c>
      <c r="D46" s="9">
        <v>7500</v>
      </c>
      <c r="E46" s="9">
        <v>7000</v>
      </c>
    </row>
    <row r="47" spans="1:5" ht="15.75">
      <c r="A47" s="293" t="s">
        <v>546</v>
      </c>
      <c r="B47" s="310"/>
      <c r="C47" s="305">
        <v>2000</v>
      </c>
      <c r="D47" s="9">
        <v>2500</v>
      </c>
      <c r="E47" s="9">
        <v>12700</v>
      </c>
    </row>
    <row r="48" spans="1:5" ht="15.75">
      <c r="A48" s="293" t="s">
        <v>547</v>
      </c>
      <c r="B48" s="310"/>
      <c r="C48" s="305">
        <v>0</v>
      </c>
      <c r="D48" s="9">
        <v>0</v>
      </c>
      <c r="E48" s="9">
        <v>2000</v>
      </c>
    </row>
    <row r="49" spans="1:5" ht="15.75">
      <c r="A49" s="304" t="s">
        <v>162</v>
      </c>
      <c r="B49" s="310"/>
      <c r="C49" s="305">
        <v>7924</v>
      </c>
      <c r="D49" s="9">
        <v>1750</v>
      </c>
      <c r="E49" s="9">
        <v>1500</v>
      </c>
    </row>
    <row r="50" spans="1:5" ht="15.75">
      <c r="A50" s="313" t="s">
        <v>26</v>
      </c>
      <c r="B50" s="309"/>
      <c r="C50" s="305">
        <v>0</v>
      </c>
      <c r="D50" s="305">
        <v>25150</v>
      </c>
      <c r="E50" s="305">
        <v>5000</v>
      </c>
    </row>
    <row r="51" spans="1:5" ht="15.75">
      <c r="A51" s="303" t="s">
        <v>28</v>
      </c>
      <c r="B51" s="309"/>
      <c r="C51" s="345">
        <f>IF(C52*0.1&lt;C50,"Exceed 10% Rule","")</f>
      </c>
      <c r="D51" s="345">
        <f>IF(D52*0.1&lt;D50,"Exceed 10% Rule","")</f>
      </c>
      <c r="E51" s="345">
        <f>IF(E52*0.1&lt;E50,"Exceed 10% Rule","")</f>
      </c>
    </row>
    <row r="52" spans="1:5" ht="15.75">
      <c r="A52" s="150" t="s">
        <v>163</v>
      </c>
      <c r="B52" s="309"/>
      <c r="C52" s="306">
        <f>SUM(C32:C50)</f>
        <v>481714</v>
      </c>
      <c r="D52" s="260">
        <f>SUM(D32:D50)</f>
        <v>396148</v>
      </c>
      <c r="E52" s="260">
        <f>SUM(E32:E50)</f>
        <v>371076</v>
      </c>
    </row>
    <row r="53" spans="1:5" ht="15.75">
      <c r="A53" s="150" t="s">
        <v>164</v>
      </c>
      <c r="B53" s="309"/>
      <c r="C53" s="306">
        <f>C30+C52</f>
        <v>673172</v>
      </c>
      <c r="D53" s="260">
        <f>D30+D52</f>
        <v>604515</v>
      </c>
      <c r="E53" s="260">
        <f>E30+E52</f>
        <v>589011</v>
      </c>
    </row>
    <row r="54" spans="1:5" ht="15.75">
      <c r="A54" s="37" t="s">
        <v>166</v>
      </c>
      <c r="B54" s="309"/>
      <c r="C54" s="118"/>
      <c r="D54" s="85"/>
      <c r="E54" s="85"/>
    </row>
    <row r="55" spans="1:5" ht="15.75">
      <c r="A55" s="293" t="s">
        <v>548</v>
      </c>
      <c r="B55" s="310"/>
      <c r="C55" s="305">
        <v>84</v>
      </c>
      <c r="D55" s="9">
        <v>1000</v>
      </c>
      <c r="E55" s="9">
        <v>0</v>
      </c>
    </row>
    <row r="56" spans="1:5" ht="15.75">
      <c r="A56" s="293" t="s">
        <v>549</v>
      </c>
      <c r="B56" s="310"/>
      <c r="C56" s="305">
        <v>29373</v>
      </c>
      <c r="D56" s="9">
        <v>32757</v>
      </c>
      <c r="E56" s="9">
        <v>29900</v>
      </c>
    </row>
    <row r="57" spans="1:5" ht="15.75">
      <c r="A57" s="293" t="s">
        <v>550</v>
      </c>
      <c r="B57" s="310"/>
      <c r="C57" s="305">
        <v>1905</v>
      </c>
      <c r="D57" s="9">
        <v>32808</v>
      </c>
      <c r="E57" s="9">
        <v>135000</v>
      </c>
    </row>
    <row r="58" spans="1:5" ht="15.75">
      <c r="A58" s="293" t="s">
        <v>213</v>
      </c>
      <c r="B58" s="310"/>
      <c r="C58" s="305">
        <v>433443</v>
      </c>
      <c r="D58" s="9">
        <v>320000</v>
      </c>
      <c r="E58" s="9">
        <v>416700</v>
      </c>
    </row>
    <row r="59" spans="1:5" ht="15.75">
      <c r="A59" s="311" t="s">
        <v>26</v>
      </c>
      <c r="B59" s="309"/>
      <c r="C59" s="305">
        <v>0</v>
      </c>
      <c r="D59" s="305">
        <v>15</v>
      </c>
      <c r="E59" s="305">
        <v>7411</v>
      </c>
    </row>
    <row r="60" spans="1:5" ht="15.75">
      <c r="A60" s="311" t="s">
        <v>27</v>
      </c>
      <c r="B60" s="309"/>
      <c r="C60" s="345">
        <f>IF(C61*0.1&lt;C59,"Exceed 10% Rule","")</f>
      </c>
      <c r="D60" s="345">
        <f>IF(D61*0.1&lt;D59,"Exceed 10% Rule","")</f>
      </c>
      <c r="E60" s="345">
        <f>IF(E61*0.1&lt;E59,"Exceed 10% Rule","")</f>
      </c>
    </row>
    <row r="61" spans="1:5" ht="15.75">
      <c r="A61" s="150" t="s">
        <v>170</v>
      </c>
      <c r="B61" s="309"/>
      <c r="C61" s="306">
        <f>SUM(C55:C59)</f>
        <v>464805</v>
      </c>
      <c r="D61" s="260">
        <f>SUM(D55:D59)</f>
        <v>386580</v>
      </c>
      <c r="E61" s="260">
        <f>SUM(E55:E59)</f>
        <v>589011</v>
      </c>
    </row>
    <row r="62" spans="1:5" ht="15.75">
      <c r="A62" s="37" t="s">
        <v>288</v>
      </c>
      <c r="B62" s="309"/>
      <c r="C62" s="307">
        <f>C53-C61</f>
        <v>208367</v>
      </c>
      <c r="D62" s="259">
        <f>D53-D61</f>
        <v>217935</v>
      </c>
      <c r="E62" s="259">
        <f>E53-E61</f>
        <v>0</v>
      </c>
    </row>
    <row r="63" spans="1:5" ht="15.75">
      <c r="A63" s="23" t="str">
        <f>CONCATENATE("",E1-2,"/",E1-1," Budget Authority Amount:")</f>
        <v>2008/2009 Budget Authority Amount:</v>
      </c>
      <c r="B63" s="328"/>
      <c r="C63" s="328">
        <f>inputOth!B74</f>
        <v>514357</v>
      </c>
      <c r="D63" s="328">
        <f>inputPrYr!D35</f>
        <v>609310</v>
      </c>
      <c r="E63" s="392">
        <f>IF(E62&lt;0,"Budget Violation","")</f>
      </c>
    </row>
    <row r="64" spans="1:5" ht="15.75">
      <c r="A64" s="23" t="str">
        <f>CONCATENATE("Violation of Budget Law for ",E1-2,"/",E1-1,":")</f>
        <v>Violation of Budget Law for 2008/2009:</v>
      </c>
      <c r="B64" s="329"/>
      <c r="C64" s="329" t="str">
        <f>IF(C61&gt;C63,"Yes","No")</f>
        <v>No</v>
      </c>
      <c r="D64" s="329" t="str">
        <f>IF(D61&gt;D63,"Yes","No")</f>
        <v>No</v>
      </c>
      <c r="E64" s="21"/>
    </row>
    <row r="65" spans="1:5" ht="15.75">
      <c r="A65" s="23" t="str">
        <f>CONCATENATE("Possible Cash Violation for ",E1-2,":")</f>
        <v>Possible Cash Violation for 2008:</v>
      </c>
      <c r="B65" s="329"/>
      <c r="C65" s="329" t="str">
        <f>IF(C62&lt;0,"Yes","No")</f>
        <v>No</v>
      </c>
      <c r="D65" s="329"/>
      <c r="E65" s="21"/>
    </row>
    <row r="66" spans="1:5" ht="15.75">
      <c r="A66" s="21"/>
      <c r="B66" s="21"/>
      <c r="C66" s="21"/>
      <c r="D66" s="21"/>
      <c r="E66" s="21"/>
    </row>
    <row r="67" spans="1:5" ht="15.75">
      <c r="A67" s="24"/>
      <c r="B67" s="24" t="s">
        <v>173</v>
      </c>
      <c r="C67" s="100">
        <v>11</v>
      </c>
      <c r="D67" s="21"/>
      <c r="E67" s="21"/>
    </row>
  </sheetData>
  <sheetProtection/>
  <conditionalFormatting sqref="C10">
    <cfRule type="cellIs" priority="1" dxfId="271" operator="greaterThan" stopIfTrue="1">
      <formula>$C$12*0.1</formula>
    </cfRule>
  </conditionalFormatting>
  <conditionalFormatting sqref="D10">
    <cfRule type="cellIs" priority="2" dxfId="271" operator="greaterThan" stopIfTrue="1">
      <formula>$D$12*0.1</formula>
    </cfRule>
  </conditionalFormatting>
  <conditionalFormatting sqref="E10">
    <cfRule type="cellIs" priority="3" dxfId="271" operator="greaterThan" stopIfTrue="1">
      <formula>$E$12*0.1</formula>
    </cfRule>
  </conditionalFormatting>
  <conditionalFormatting sqref="C19">
    <cfRule type="cellIs" priority="4" dxfId="271" operator="greaterThan" stopIfTrue="1">
      <formula>$C$21*0.1</formula>
    </cfRule>
  </conditionalFormatting>
  <conditionalFormatting sqref="D19">
    <cfRule type="cellIs" priority="5" dxfId="271" operator="greaterThan" stopIfTrue="1">
      <formula>$D$21*0.1</formula>
    </cfRule>
  </conditionalFormatting>
  <conditionalFormatting sqref="E19">
    <cfRule type="cellIs" priority="6" dxfId="271" operator="greaterThan" stopIfTrue="1">
      <formula>$E$21*0.1</formula>
    </cfRule>
  </conditionalFormatting>
  <conditionalFormatting sqref="C50">
    <cfRule type="cellIs" priority="7" dxfId="271" operator="greaterThan" stopIfTrue="1">
      <formula>$C$52*0.1</formula>
    </cfRule>
  </conditionalFormatting>
  <conditionalFormatting sqref="D50">
    <cfRule type="cellIs" priority="8" dxfId="271" operator="greaterThan" stopIfTrue="1">
      <formula>$D$52*0.1</formula>
    </cfRule>
  </conditionalFormatting>
  <conditionalFormatting sqref="E50">
    <cfRule type="cellIs" priority="9" dxfId="271" operator="greaterThan" stopIfTrue="1">
      <formula>$E$52*0.1</formula>
    </cfRule>
  </conditionalFormatting>
  <conditionalFormatting sqref="C59">
    <cfRule type="cellIs" priority="10" dxfId="271" operator="greaterThan" stopIfTrue="1">
      <formula>$C$61*0.1</formula>
    </cfRule>
  </conditionalFormatting>
  <conditionalFormatting sqref="D59">
    <cfRule type="cellIs" priority="11" dxfId="271" operator="greaterThan" stopIfTrue="1">
      <formula>$D$61*0.1</formula>
    </cfRule>
  </conditionalFormatting>
  <conditionalFormatting sqref="E59">
    <cfRule type="cellIs" priority="12" dxfId="271" operator="greaterThan" stopIfTrue="1">
      <formula>$E$61*0.1</formula>
    </cfRule>
  </conditionalFormatting>
  <conditionalFormatting sqref="D61">
    <cfRule type="cellIs" priority="13" dxfId="0" operator="greaterThan" stopIfTrue="1">
      <formula>$D$63</formula>
    </cfRule>
  </conditionalFormatting>
  <conditionalFormatting sqref="C61">
    <cfRule type="cellIs" priority="14" dxfId="0" operator="greaterThan" stopIfTrue="1">
      <formula>$C$63</formula>
    </cfRule>
  </conditionalFormatting>
  <conditionalFormatting sqref="C62 E62 C22 E22">
    <cfRule type="cellIs" priority="15" dxfId="0" operator="lessThan" stopIfTrue="1">
      <formula>0</formula>
    </cfRule>
  </conditionalFormatting>
  <conditionalFormatting sqref="D21">
    <cfRule type="cellIs" priority="16" dxfId="0" operator="greaterThan" stopIfTrue="1">
      <formula>$D$23</formula>
    </cfRule>
  </conditionalFormatting>
  <conditionalFormatting sqref="C21">
    <cfRule type="cellIs" priority="17" dxfId="0" operator="greaterThan" stopIfTrue="1">
      <formula>$C$23</formula>
    </cfRule>
  </conditionalFormatting>
  <printOptions/>
  <pageMargins left="0.5" right="0.5" top="1" bottom="0.5" header="0.5" footer="0.5"/>
  <pageSetup blackAndWhite="1" fitToHeight="1" fitToWidth="1" horizontalDpi="120" verticalDpi="120" orientation="portrait" scale="66" r:id="rId1"/>
  <headerFooter alignWithMargins="0">
    <oddHeader>&amp;RState of Kansas
City</oddHeader>
    <oddFooter>&amp;Lrevised 8/21/08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118"/>
  <sheetViews>
    <sheetView zoomScalePageLayoutView="0" workbookViewId="0" topLeftCell="A67">
      <selection activeCell="C68" sqref="C68"/>
    </sheetView>
  </sheetViews>
  <sheetFormatPr defaultColWidth="8.796875" defaultRowHeight="15"/>
  <cols>
    <col min="1" max="1" width="15.796875" style="7" customWidth="1"/>
    <col min="2" max="2" width="20.796875" style="7" customWidth="1"/>
    <col min="3" max="3" width="9.796875" style="7" customWidth="1"/>
    <col min="4" max="4" width="15.09765625" style="7" customWidth="1"/>
    <col min="5" max="5" width="15.796875" style="7" customWidth="1"/>
    <col min="6" max="16384" width="8.8984375" style="7" customWidth="1"/>
  </cols>
  <sheetData>
    <row r="1" spans="1:5" ht="15.75">
      <c r="A1" s="430" t="s">
        <v>123</v>
      </c>
      <c r="B1" s="431"/>
      <c r="C1" s="431"/>
      <c r="D1" s="431"/>
      <c r="E1" s="431"/>
    </row>
    <row r="2" spans="1:5" ht="15.75">
      <c r="A2" s="22" t="s">
        <v>39</v>
      </c>
      <c r="B2" s="21"/>
      <c r="C2" s="21"/>
      <c r="D2" s="251" t="s">
        <v>433</v>
      </c>
      <c r="E2" s="252"/>
    </row>
    <row r="3" spans="1:5" ht="15.75">
      <c r="A3" s="22" t="s">
        <v>40</v>
      </c>
      <c r="B3" s="21"/>
      <c r="C3" s="21"/>
      <c r="D3" s="253" t="s">
        <v>434</v>
      </c>
      <c r="E3" s="254"/>
    </row>
    <row r="4" spans="1:5" ht="15.75">
      <c r="A4" s="25"/>
      <c r="B4" s="21"/>
      <c r="C4" s="21"/>
      <c r="D4" s="181"/>
      <c r="E4" s="21"/>
    </row>
    <row r="5" spans="1:5" ht="15.75">
      <c r="A5" s="22" t="s">
        <v>336</v>
      </c>
      <c r="B5" s="21"/>
      <c r="C5" s="250">
        <v>2010</v>
      </c>
      <c r="D5" s="181"/>
      <c r="E5" s="21"/>
    </row>
    <row r="6" spans="1:5" ht="15.75">
      <c r="A6" s="21"/>
      <c r="B6" s="21"/>
      <c r="C6" s="21"/>
      <c r="D6" s="21"/>
      <c r="E6" s="21"/>
    </row>
    <row r="7" spans="1:5" ht="31.5">
      <c r="A7" s="109" t="s">
        <v>6</v>
      </c>
      <c r="B7" s="115"/>
      <c r="C7" s="115"/>
      <c r="D7" s="115"/>
      <c r="E7" s="115"/>
    </row>
    <row r="8" spans="1:5" ht="15.75">
      <c r="A8" s="109" t="s">
        <v>5</v>
      </c>
      <c r="B8" s="115"/>
      <c r="C8" s="115"/>
      <c r="D8" s="115"/>
      <c r="E8" s="115"/>
    </row>
    <row r="9" spans="1:5" ht="15.75">
      <c r="A9" s="109"/>
      <c r="B9" s="115"/>
      <c r="C9" s="115"/>
      <c r="D9" s="115"/>
      <c r="E9" s="115"/>
    </row>
    <row r="10" spans="1:5" ht="15.75">
      <c r="A10" s="428" t="s">
        <v>406</v>
      </c>
      <c r="B10" s="429"/>
      <c r="C10" s="429"/>
      <c r="D10" s="429"/>
      <c r="E10" s="429"/>
    </row>
    <row r="11" spans="1:5" ht="15.75">
      <c r="A11" s="21"/>
      <c r="B11" s="21"/>
      <c r="C11" s="21"/>
      <c r="D11" s="21"/>
      <c r="E11" s="21"/>
    </row>
    <row r="12" spans="1:5" ht="15.75">
      <c r="A12" s="182" t="s">
        <v>407</v>
      </c>
      <c r="B12" s="125"/>
      <c r="C12" s="21"/>
      <c r="D12" s="21"/>
      <c r="E12" s="21"/>
    </row>
    <row r="13" spans="1:5" ht="15.75">
      <c r="A13" s="122" t="str">
        <f>CONCATENATE("the ",C5-1," Budget, Certificate Page:")</f>
        <v>the 2009 Budget, Certificate Page:</v>
      </c>
      <c r="B13" s="123"/>
      <c r="C13" s="21"/>
      <c r="D13" s="21"/>
      <c r="E13" s="21"/>
    </row>
    <row r="14" spans="1:5" ht="15.75">
      <c r="A14" s="21"/>
      <c r="B14" s="21"/>
      <c r="C14" s="21"/>
      <c r="D14" s="363">
        <f>C5-1</f>
        <v>2009</v>
      </c>
      <c r="E14" s="363">
        <f>C5-2</f>
        <v>2008</v>
      </c>
    </row>
    <row r="15" spans="1:5" ht="15.75">
      <c r="A15" s="25" t="s">
        <v>124</v>
      </c>
      <c r="B15" s="21"/>
      <c r="C15" s="365" t="s">
        <v>125</v>
      </c>
      <c r="D15" s="238" t="s">
        <v>183</v>
      </c>
      <c r="E15" s="238" t="s">
        <v>106</v>
      </c>
    </row>
    <row r="16" spans="1:5" ht="15.75">
      <c r="A16" s="21"/>
      <c r="B16" s="44" t="s">
        <v>126</v>
      </c>
      <c r="C16" s="42" t="s">
        <v>291</v>
      </c>
      <c r="D16" s="364">
        <v>1897276</v>
      </c>
      <c r="E16" s="364">
        <v>585672</v>
      </c>
    </row>
    <row r="17" spans="1:5" ht="15.75">
      <c r="A17" s="21"/>
      <c r="B17" s="44" t="s">
        <v>76</v>
      </c>
      <c r="C17" s="42" t="s">
        <v>337</v>
      </c>
      <c r="D17" s="9">
        <v>479815</v>
      </c>
      <c r="E17" s="9">
        <v>167676</v>
      </c>
    </row>
    <row r="18" spans="1:5" ht="15.75">
      <c r="A18" s="25" t="s">
        <v>127</v>
      </c>
      <c r="B18" s="21"/>
      <c r="C18" s="21"/>
      <c r="D18" s="21"/>
      <c r="E18" s="167"/>
    </row>
    <row r="19" spans="1:5" ht="15.75">
      <c r="A19" s="21"/>
      <c r="B19" s="8" t="s">
        <v>435</v>
      </c>
      <c r="C19" s="8" t="s">
        <v>436</v>
      </c>
      <c r="D19" s="9">
        <v>102290</v>
      </c>
      <c r="E19" s="9">
        <v>85082</v>
      </c>
    </row>
    <row r="20" spans="1:5" ht="15.75">
      <c r="A20" s="21"/>
      <c r="B20" s="8" t="s">
        <v>437</v>
      </c>
      <c r="C20" s="8" t="s">
        <v>438</v>
      </c>
      <c r="D20" s="9">
        <v>17350</v>
      </c>
      <c r="E20" s="9">
        <v>11493</v>
      </c>
    </row>
    <row r="21" spans="1:5" ht="15.75">
      <c r="A21" s="21"/>
      <c r="B21" s="8"/>
      <c r="C21" s="8"/>
      <c r="D21" s="9"/>
      <c r="E21" s="9"/>
    </row>
    <row r="22" spans="1:5" ht="15.75">
      <c r="A22" s="21"/>
      <c r="B22" s="8"/>
      <c r="C22" s="8"/>
      <c r="D22" s="9"/>
      <c r="E22" s="9"/>
    </row>
    <row r="23" spans="1:5" ht="15.75">
      <c r="A23" s="21"/>
      <c r="B23" s="8"/>
      <c r="C23" s="8"/>
      <c r="D23" s="9"/>
      <c r="E23" s="9"/>
    </row>
    <row r="24" spans="1:5" ht="15.75">
      <c r="A24" s="21"/>
      <c r="B24" s="8"/>
      <c r="C24" s="8"/>
      <c r="D24" s="9"/>
      <c r="E24" s="9"/>
    </row>
    <row r="25" spans="1:5" ht="15.75">
      <c r="A25" s="21"/>
      <c r="B25" s="8"/>
      <c r="C25" s="8"/>
      <c r="D25" s="9"/>
      <c r="E25" s="9"/>
    </row>
    <row r="26" spans="1:5" ht="15.75">
      <c r="A26" s="21"/>
      <c r="B26" s="8"/>
      <c r="C26" s="8"/>
      <c r="D26" s="9"/>
      <c r="E26" s="9"/>
    </row>
    <row r="27" spans="1:5" ht="15.75">
      <c r="A27" s="21"/>
      <c r="B27" s="8"/>
      <c r="C27" s="8"/>
      <c r="D27" s="9"/>
      <c r="E27" s="9"/>
    </row>
    <row r="28" spans="1:5" ht="15.75">
      <c r="A28" s="21"/>
      <c r="B28" s="8"/>
      <c r="C28" s="8"/>
      <c r="D28" s="9"/>
      <c r="E28" s="9"/>
    </row>
    <row r="29" spans="1:5" ht="15.75">
      <c r="A29" s="110" t="str">
        <f>CONCATENATE("Total Tax Levy Funds for ",C5-1," Budgeted Year")</f>
        <v>Total Tax Levy Funds for 2009 Budgeted Year</v>
      </c>
      <c r="B29" s="20"/>
      <c r="C29" s="114"/>
      <c r="D29" s="297"/>
      <c r="E29" s="361">
        <f>SUM(E16:E28)</f>
        <v>849923</v>
      </c>
    </row>
    <row r="30" spans="1:5" ht="15.75">
      <c r="A30" s="129"/>
      <c r="B30" s="105"/>
      <c r="C30" s="105"/>
      <c r="D30" s="137"/>
      <c r="E30" s="167"/>
    </row>
    <row r="31" spans="1:5" ht="15.75">
      <c r="A31" s="25" t="s">
        <v>342</v>
      </c>
      <c r="B31" s="21"/>
      <c r="C31" s="21"/>
      <c r="D31" s="21"/>
      <c r="E31" s="21"/>
    </row>
    <row r="32" spans="1:5" ht="15.75">
      <c r="A32" s="21"/>
      <c r="B32" s="42" t="s">
        <v>266</v>
      </c>
      <c r="C32" s="21"/>
      <c r="D32" s="9">
        <v>90956</v>
      </c>
      <c r="E32" s="21"/>
    </row>
    <row r="33" spans="1:5" ht="15.75">
      <c r="A33" s="21"/>
      <c r="B33" s="8" t="s">
        <v>439</v>
      </c>
      <c r="C33" s="21"/>
      <c r="D33" s="9">
        <v>4530</v>
      </c>
      <c r="E33" s="21"/>
    </row>
    <row r="34" spans="1:5" ht="15.75">
      <c r="A34" s="21"/>
      <c r="B34" s="8" t="s">
        <v>440</v>
      </c>
      <c r="C34" s="21"/>
      <c r="D34" s="9">
        <v>163344</v>
      </c>
      <c r="E34" s="21"/>
    </row>
    <row r="35" spans="1:5" ht="15.75">
      <c r="A35" s="21"/>
      <c r="B35" s="8" t="s">
        <v>441</v>
      </c>
      <c r="C35" s="21"/>
      <c r="D35" s="9">
        <v>609310</v>
      </c>
      <c r="E35" s="21"/>
    </row>
    <row r="36" spans="1:5" ht="15.75">
      <c r="A36" s="21"/>
      <c r="B36" s="8" t="s">
        <v>442</v>
      </c>
      <c r="C36" s="21"/>
      <c r="D36" s="9">
        <v>461512</v>
      </c>
      <c r="E36" s="21"/>
    </row>
    <row r="37" spans="1:5" ht="15.75">
      <c r="A37" s="21"/>
      <c r="B37" s="8" t="s">
        <v>443</v>
      </c>
      <c r="C37" s="21"/>
      <c r="D37" s="9">
        <v>27736</v>
      </c>
      <c r="E37" s="21"/>
    </row>
    <row r="38" spans="1:5" ht="15.75">
      <c r="A38" s="21"/>
      <c r="B38" s="8" t="s">
        <v>444</v>
      </c>
      <c r="C38" s="21"/>
      <c r="D38" s="9">
        <v>129530</v>
      </c>
      <c r="E38" s="21"/>
    </row>
    <row r="39" spans="1:5" ht="15.75">
      <c r="A39" s="21"/>
      <c r="B39" s="8" t="s">
        <v>449</v>
      </c>
      <c r="C39" s="21"/>
      <c r="D39" s="9">
        <v>120312</v>
      </c>
      <c r="E39" s="21"/>
    </row>
    <row r="40" spans="1:5" ht="15.75">
      <c r="A40" s="21"/>
      <c r="B40" s="8" t="s">
        <v>445</v>
      </c>
      <c r="C40" s="21"/>
      <c r="D40" s="9">
        <v>495794</v>
      </c>
      <c r="E40" s="21"/>
    </row>
    <row r="41" spans="1:5" ht="15.75">
      <c r="A41" s="21"/>
      <c r="B41" s="8" t="s">
        <v>446</v>
      </c>
      <c r="C41" s="21"/>
      <c r="D41" s="9">
        <v>1345000</v>
      </c>
      <c r="E41" s="21"/>
    </row>
    <row r="42" spans="1:5" ht="15.75">
      <c r="A42" s="21"/>
      <c r="B42" s="10"/>
      <c r="C42" s="21"/>
      <c r="D42" s="9"/>
      <c r="E42" s="21"/>
    </row>
    <row r="43" spans="1:5" ht="15.75">
      <c r="A43" s="21"/>
      <c r="B43" s="10"/>
      <c r="C43" s="21"/>
      <c r="D43" s="9"/>
      <c r="E43" s="21"/>
    </row>
    <row r="44" spans="1:5" ht="15.75">
      <c r="A44" s="21" t="s">
        <v>376</v>
      </c>
      <c r="B44" s="188"/>
      <c r="C44" s="21"/>
      <c r="D44" s="21"/>
      <c r="E44" s="21"/>
    </row>
    <row r="45" spans="1:5" ht="15.75">
      <c r="A45" s="21">
        <v>1</v>
      </c>
      <c r="B45" s="10" t="s">
        <v>447</v>
      </c>
      <c r="C45" s="21"/>
      <c r="D45" s="9">
        <v>1273565</v>
      </c>
      <c r="E45" s="21"/>
    </row>
    <row r="46" spans="1:5" ht="15.75">
      <c r="A46" s="21">
        <v>2</v>
      </c>
      <c r="B46" s="10" t="s">
        <v>448</v>
      </c>
      <c r="C46" s="21"/>
      <c r="D46" s="9">
        <v>196515</v>
      </c>
      <c r="E46" s="21"/>
    </row>
    <row r="47" spans="1:5" ht="15.75">
      <c r="A47" s="21">
        <v>3</v>
      </c>
      <c r="B47" s="10"/>
      <c r="C47" s="21"/>
      <c r="D47" s="9"/>
      <c r="E47" s="21"/>
    </row>
    <row r="48" spans="1:5" ht="15.75">
      <c r="A48" s="21">
        <v>4</v>
      </c>
      <c r="B48" s="10"/>
      <c r="C48" s="21"/>
      <c r="D48" s="9"/>
      <c r="E48" s="21"/>
    </row>
    <row r="49" spans="1:5" ht="15.75">
      <c r="A49" s="110" t="str">
        <f>CONCATENATE("Total Expenditures for ",C5-1," Budgeted Year")</f>
        <v>Total Expenditures for 2009 Budgeted Year</v>
      </c>
      <c r="B49" s="366"/>
      <c r="C49" s="116"/>
      <c r="D49" s="259">
        <f>SUM(D16:D17,D19:D28,D32:D43,D45:D48)</f>
        <v>7414835</v>
      </c>
      <c r="E49" s="21"/>
    </row>
    <row r="50" spans="1:5" ht="15.75">
      <c r="A50" s="21" t="s">
        <v>377</v>
      </c>
      <c r="B50" s="362"/>
      <c r="C50" s="21"/>
      <c r="D50" s="21"/>
      <c r="E50" s="21"/>
    </row>
    <row r="51" spans="1:5" ht="15.75">
      <c r="A51" s="21">
        <v>1</v>
      </c>
      <c r="B51" s="10"/>
      <c r="C51" s="21"/>
      <c r="D51" s="21"/>
      <c r="E51" s="21"/>
    </row>
    <row r="52" spans="1:5" ht="15.75">
      <c r="A52" s="21">
        <v>2</v>
      </c>
      <c r="B52" s="10"/>
      <c r="C52" s="21"/>
      <c r="D52" s="21"/>
      <c r="E52" s="21"/>
    </row>
    <row r="53" spans="1:5" ht="15.75">
      <c r="A53" s="21">
        <v>3</v>
      </c>
      <c r="B53" s="10"/>
      <c r="C53" s="21"/>
      <c r="D53" s="21"/>
      <c r="E53" s="21"/>
    </row>
    <row r="54" spans="1:5" ht="15.75">
      <c r="A54" s="21">
        <v>4</v>
      </c>
      <c r="B54" s="10"/>
      <c r="C54" s="21"/>
      <c r="D54" s="21"/>
      <c r="E54" s="21"/>
    </row>
    <row r="55" spans="1:5" ht="15.75">
      <c r="A55" s="21">
        <v>5</v>
      </c>
      <c r="B55" s="10"/>
      <c r="C55" s="21"/>
      <c r="D55" s="21"/>
      <c r="E55" s="21"/>
    </row>
    <row r="56" spans="1:5" ht="15.75">
      <c r="A56" s="21" t="s">
        <v>378</v>
      </c>
      <c r="B56" s="188"/>
      <c r="C56" s="21"/>
      <c r="D56" s="21"/>
      <c r="E56" s="21"/>
    </row>
    <row r="57" spans="1:5" ht="15.75">
      <c r="A57" s="21">
        <v>1</v>
      </c>
      <c r="B57" s="10"/>
      <c r="C57" s="21"/>
      <c r="D57" s="21"/>
      <c r="E57" s="21"/>
    </row>
    <row r="58" spans="1:5" ht="15.75">
      <c r="A58" s="21">
        <v>2</v>
      </c>
      <c r="B58" s="10"/>
      <c r="C58" s="21"/>
      <c r="D58" s="21"/>
      <c r="E58" s="21"/>
    </row>
    <row r="59" spans="1:5" ht="15.75">
      <c r="A59" s="21">
        <v>3</v>
      </c>
      <c r="B59" s="10"/>
      <c r="C59" s="21"/>
      <c r="D59" s="21"/>
      <c r="E59" s="21"/>
    </row>
    <row r="60" spans="1:5" ht="15.75">
      <c r="A60" s="21">
        <v>4</v>
      </c>
      <c r="B60" s="10"/>
      <c r="C60" s="21"/>
      <c r="D60" s="21"/>
      <c r="E60" s="21"/>
    </row>
    <row r="61" spans="1:5" ht="15.75">
      <c r="A61" s="21">
        <v>5</v>
      </c>
      <c r="B61" s="10"/>
      <c r="C61" s="21"/>
      <c r="D61" s="21"/>
      <c r="E61" s="21"/>
    </row>
    <row r="62" spans="1:5" ht="15.75">
      <c r="A62" s="21" t="s">
        <v>379</v>
      </c>
      <c r="B62" s="188"/>
      <c r="C62" s="21"/>
      <c r="D62" s="21"/>
      <c r="E62" s="21"/>
    </row>
    <row r="63" spans="1:5" ht="15.75">
      <c r="A63" s="21">
        <v>1</v>
      </c>
      <c r="B63" s="10"/>
      <c r="C63" s="21"/>
      <c r="D63" s="21"/>
      <c r="E63" s="21"/>
    </row>
    <row r="64" spans="1:5" ht="15.75">
      <c r="A64" s="21">
        <v>2</v>
      </c>
      <c r="B64" s="10"/>
      <c r="C64" s="21"/>
      <c r="D64" s="21"/>
      <c r="E64" s="21"/>
    </row>
    <row r="65" spans="1:5" ht="15.75">
      <c r="A65" s="21">
        <v>3</v>
      </c>
      <c r="B65" s="10"/>
      <c r="C65" s="21"/>
      <c r="D65" s="21"/>
      <c r="E65" s="21"/>
    </row>
    <row r="66" spans="1:5" ht="15.75">
      <c r="A66" s="21">
        <v>4</v>
      </c>
      <c r="B66" s="10"/>
      <c r="C66" s="21"/>
      <c r="D66" s="21"/>
      <c r="E66" s="21"/>
    </row>
    <row r="67" spans="1:5" ht="15.75">
      <c r="A67" s="21">
        <v>5</v>
      </c>
      <c r="B67" s="10"/>
      <c r="C67" s="21"/>
      <c r="D67" s="21"/>
      <c r="E67" s="21"/>
    </row>
    <row r="68" spans="1:5" ht="15.75">
      <c r="A68" s="21" t="s">
        <v>380</v>
      </c>
      <c r="B68" s="188"/>
      <c r="C68" s="21"/>
      <c r="D68" s="21"/>
      <c r="E68" s="21"/>
    </row>
    <row r="69" spans="1:5" ht="15.75">
      <c r="A69" s="21">
        <v>1</v>
      </c>
      <c r="B69" s="10"/>
      <c r="C69" s="21"/>
      <c r="D69" s="21"/>
      <c r="E69" s="21"/>
    </row>
    <row r="70" spans="1:5" ht="15.75">
      <c r="A70" s="21">
        <v>2</v>
      </c>
      <c r="B70" s="10"/>
      <c r="C70" s="21"/>
      <c r="D70" s="21"/>
      <c r="E70" s="21"/>
    </row>
    <row r="71" spans="1:5" ht="15.75">
      <c r="A71" s="21">
        <v>3</v>
      </c>
      <c r="B71" s="10"/>
      <c r="C71" s="21"/>
      <c r="D71" s="21"/>
      <c r="E71" s="21"/>
    </row>
    <row r="72" spans="1:5" ht="15.75">
      <c r="A72" s="21">
        <v>4</v>
      </c>
      <c r="B72" s="10"/>
      <c r="C72" s="21"/>
      <c r="D72" s="21"/>
      <c r="E72" s="21"/>
    </row>
    <row r="73" spans="1:5" ht="15.75">
      <c r="A73" s="21">
        <v>5</v>
      </c>
      <c r="B73" s="10"/>
      <c r="C73" s="21"/>
      <c r="D73" s="21"/>
      <c r="E73" s="21"/>
    </row>
    <row r="74" spans="1:5" ht="15.75">
      <c r="A74" s="129"/>
      <c r="B74" s="105"/>
      <c r="C74" s="105"/>
      <c r="D74" s="105"/>
      <c r="E74" s="168"/>
    </row>
    <row r="75" spans="1:5" ht="15.75">
      <c r="A75" s="21"/>
      <c r="B75" s="21"/>
      <c r="C75" s="21"/>
      <c r="D75" s="21"/>
      <c r="E75" s="21"/>
    </row>
    <row r="76" spans="1:5" ht="15.75">
      <c r="A76" s="21"/>
      <c r="B76" s="21"/>
      <c r="C76" s="21"/>
      <c r="D76" s="395" t="str">
        <f>CONCATENATE("",C5-3," Tax Rate")</f>
        <v>2007 Tax Rate</v>
      </c>
      <c r="E76" s="21"/>
    </row>
    <row r="77" spans="1:5" ht="15.75">
      <c r="A77" s="122" t="str">
        <f>CONCATENATE("From the ",C5-1," Budget, Budget Summary Page")</f>
        <v>From the 2009 Budget, Budget Summary Page</v>
      </c>
      <c r="B77" s="123"/>
      <c r="C77" s="21"/>
      <c r="D77" s="396" t="str">
        <f>CONCATENATE("(",C5-2," Column)")</f>
        <v>(2008 Column)</v>
      </c>
      <c r="E77" s="21"/>
    </row>
    <row r="78" spans="1:5" ht="15.75">
      <c r="A78" s="21"/>
      <c r="B78" s="40" t="str">
        <f>B16</f>
        <v>General</v>
      </c>
      <c r="C78" s="21"/>
      <c r="D78" s="10">
        <v>51.738</v>
      </c>
      <c r="E78" s="21"/>
    </row>
    <row r="79" spans="1:5" ht="15.75">
      <c r="A79" s="21"/>
      <c r="B79" s="40" t="str">
        <f>B17</f>
        <v>Debt Service</v>
      </c>
      <c r="C79" s="21"/>
      <c r="D79" s="10">
        <v>14.113</v>
      </c>
      <c r="E79" s="21"/>
    </row>
    <row r="80" spans="1:5" ht="15.75">
      <c r="A80" s="21"/>
      <c r="B80" s="40" t="str">
        <f>B19</f>
        <v>Library</v>
      </c>
      <c r="C80" s="21"/>
      <c r="D80" s="10">
        <v>7.68</v>
      </c>
      <c r="E80" s="21"/>
    </row>
    <row r="81" spans="1:5" ht="15.75">
      <c r="A81" s="21"/>
      <c r="B81" s="40" t="str">
        <f aca="true" t="shared" si="0" ref="B81:B89">B20</f>
        <v>Fire/Police Equipment</v>
      </c>
      <c r="C81" s="21"/>
      <c r="D81" s="10">
        <v>2.071</v>
      </c>
      <c r="E81" s="21"/>
    </row>
    <row r="82" spans="1:5" ht="15.75">
      <c r="A82" s="21"/>
      <c r="B82" s="40">
        <f t="shared" si="0"/>
        <v>0</v>
      </c>
      <c r="C82" s="21"/>
      <c r="D82" s="10"/>
      <c r="E82" s="21"/>
    </row>
    <row r="83" spans="1:5" ht="15.75">
      <c r="A83" s="21"/>
      <c r="B83" s="40">
        <f t="shared" si="0"/>
        <v>0</v>
      </c>
      <c r="C83" s="21"/>
      <c r="D83" s="10"/>
      <c r="E83" s="21"/>
    </row>
    <row r="84" spans="1:5" ht="15.75">
      <c r="A84" s="21"/>
      <c r="B84" s="40">
        <f t="shared" si="0"/>
        <v>0</v>
      </c>
      <c r="C84" s="21"/>
      <c r="D84" s="10"/>
      <c r="E84" s="21"/>
    </row>
    <row r="85" spans="1:5" ht="15.75">
      <c r="A85" s="21"/>
      <c r="B85" s="40">
        <f t="shared" si="0"/>
        <v>0</v>
      </c>
      <c r="C85" s="21"/>
      <c r="D85" s="10"/>
      <c r="E85" s="21"/>
    </row>
    <row r="86" spans="1:5" ht="15.75">
      <c r="A86" s="21"/>
      <c r="B86" s="40">
        <f t="shared" si="0"/>
        <v>0</v>
      </c>
      <c r="C86" s="21"/>
      <c r="D86" s="10"/>
      <c r="E86" s="21"/>
    </row>
    <row r="87" spans="1:5" ht="15.75">
      <c r="A87" s="21"/>
      <c r="B87" s="40">
        <f t="shared" si="0"/>
        <v>0</v>
      </c>
      <c r="C87" s="21"/>
      <c r="D87" s="10"/>
      <c r="E87" s="21"/>
    </row>
    <row r="88" spans="1:5" ht="15.75">
      <c r="A88" s="21"/>
      <c r="B88" s="40">
        <f t="shared" si="0"/>
        <v>0</v>
      </c>
      <c r="C88" s="21"/>
      <c r="D88" s="10"/>
      <c r="E88" s="21"/>
    </row>
    <row r="89" spans="1:5" ht="15.75">
      <c r="A89" s="21"/>
      <c r="B89" s="40">
        <f t="shared" si="0"/>
        <v>0</v>
      </c>
      <c r="C89" s="21"/>
      <c r="D89" s="10"/>
      <c r="E89" s="21"/>
    </row>
    <row r="90" spans="1:5" ht="15.75">
      <c r="A90" s="110" t="s">
        <v>128</v>
      </c>
      <c r="B90" s="20"/>
      <c r="C90" s="116"/>
      <c r="D90" s="256">
        <f>SUM(D78:D89)</f>
        <v>75.602</v>
      </c>
      <c r="E90" s="21"/>
    </row>
    <row r="91" spans="1:5" ht="15.75">
      <c r="A91" s="21"/>
      <c r="B91" s="21"/>
      <c r="C91" s="21"/>
      <c r="D91" s="21"/>
      <c r="E91" s="21"/>
    </row>
    <row r="92" spans="1:5" ht="15.75">
      <c r="A92" s="234" t="str">
        <f>CONCATENATE("Total Tax Levied (",C5-2," budget column)")</f>
        <v>Total Tax Levied (2008 budget column)</v>
      </c>
      <c r="B92" s="235"/>
      <c r="C92" s="20"/>
      <c r="D92" s="116"/>
      <c r="E92" s="9">
        <v>818324</v>
      </c>
    </row>
    <row r="93" spans="1:5" ht="15.75">
      <c r="A93" s="236" t="str">
        <f>CONCATENATE("Assessed Valuation  (",C5-2," budget column)")</f>
        <v>Assessed Valuation  (2008 budget column)</v>
      </c>
      <c r="B93" s="237"/>
      <c r="C93" s="114"/>
      <c r="D93" s="38"/>
      <c r="E93" s="9">
        <v>11114219</v>
      </c>
    </row>
    <row r="94" spans="1:5" ht="15.75">
      <c r="A94" s="129"/>
      <c r="B94" s="105"/>
      <c r="C94" s="105"/>
      <c r="D94" s="105"/>
      <c r="E94" s="168"/>
    </row>
    <row r="95" spans="1:5" ht="15.75">
      <c r="A95" s="233" t="str">
        <f>CONCATENATE("From the ",C5-1," Budget, Budget Summary Page")</f>
        <v>From the 2009 Budget, Budget Summary Page</v>
      </c>
      <c r="B95" s="282"/>
      <c r="C95" s="21"/>
      <c r="D95" s="183"/>
      <c r="E95" s="65"/>
    </row>
    <row r="96" spans="1:5" ht="15.75">
      <c r="A96" s="125" t="s">
        <v>4</v>
      </c>
      <c r="B96" s="125"/>
      <c r="C96" s="136"/>
      <c r="D96" s="184">
        <f>C5-3</f>
        <v>2007</v>
      </c>
      <c r="E96" s="185">
        <f>C5-2</f>
        <v>2008</v>
      </c>
    </row>
    <row r="97" spans="1:5" ht="15.75">
      <c r="A97" s="283" t="s">
        <v>338</v>
      </c>
      <c r="B97" s="283"/>
      <c r="C97" s="186"/>
      <c r="D97" s="17">
        <v>2654000</v>
      </c>
      <c r="E97" s="17">
        <v>2374600</v>
      </c>
    </row>
    <row r="98" spans="1:5" ht="15.75">
      <c r="A98" s="284" t="s">
        <v>339</v>
      </c>
      <c r="B98" s="284"/>
      <c r="C98" s="187"/>
      <c r="D98" s="17">
        <v>0</v>
      </c>
      <c r="E98" s="17">
        <v>0</v>
      </c>
    </row>
    <row r="99" spans="1:5" ht="15.75">
      <c r="A99" s="284" t="s">
        <v>340</v>
      </c>
      <c r="B99" s="284"/>
      <c r="C99" s="187"/>
      <c r="D99" s="17">
        <v>1770652</v>
      </c>
      <c r="E99" s="17">
        <v>1695488</v>
      </c>
    </row>
    <row r="100" spans="1:5" ht="15.75">
      <c r="A100" s="284" t="s">
        <v>341</v>
      </c>
      <c r="B100" s="284"/>
      <c r="C100" s="187"/>
      <c r="D100" s="17">
        <v>287821</v>
      </c>
      <c r="E100" s="17">
        <v>233431</v>
      </c>
    </row>
    <row r="101" spans="1:5" ht="15.75">
      <c r="A101"/>
      <c r="B101"/>
      <c r="C101"/>
      <c r="D101"/>
      <c r="E101"/>
    </row>
    <row r="102" spans="1:5" ht="15.75">
      <c r="A102"/>
      <c r="B102"/>
      <c r="C102"/>
      <c r="D102"/>
      <c r="E102"/>
    </row>
    <row r="103" spans="1:5" ht="15.75">
      <c r="A103"/>
      <c r="B103"/>
      <c r="C103"/>
      <c r="D103"/>
      <c r="E103"/>
    </row>
    <row r="104" spans="1:5" ht="15.75">
      <c r="A104"/>
      <c r="B104"/>
      <c r="C104"/>
      <c r="D104"/>
      <c r="E104"/>
    </row>
    <row r="105" spans="1:5" ht="15.75">
      <c r="A105"/>
      <c r="B105"/>
      <c r="C105"/>
      <c r="D105"/>
      <c r="E105"/>
    </row>
    <row r="106" spans="1:5" ht="15.75">
      <c r="A106"/>
      <c r="B106"/>
      <c r="C106"/>
      <c r="D106"/>
      <c r="E106"/>
    </row>
    <row r="107" ht="15"/>
    <row r="108" spans="1:5" ht="15.75">
      <c r="A108"/>
      <c r="B108"/>
      <c r="C108"/>
      <c r="D108"/>
      <c r="E108"/>
    </row>
    <row r="109" spans="1:5" ht="15.75">
      <c r="A109"/>
      <c r="B109"/>
      <c r="C109"/>
      <c r="D109"/>
      <c r="E109"/>
    </row>
    <row r="110" spans="1:5" ht="15.75">
      <c r="A110"/>
      <c r="B110"/>
      <c r="C110"/>
      <c r="D110"/>
      <c r="E110"/>
    </row>
    <row r="111" spans="1:5" ht="15.75">
      <c r="A111"/>
      <c r="B111"/>
      <c r="C111"/>
      <c r="D111"/>
      <c r="E111"/>
    </row>
    <row r="112" spans="1:5" ht="15.75">
      <c r="A112"/>
      <c r="B112"/>
      <c r="C112"/>
      <c r="D112"/>
      <c r="E112"/>
    </row>
    <row r="113" spans="1:5" ht="15.75">
      <c r="A113"/>
      <c r="B113"/>
      <c r="C113"/>
      <c r="D113"/>
      <c r="E113"/>
    </row>
    <row r="114" spans="1:5" ht="15.75">
      <c r="A114"/>
      <c r="B114"/>
      <c r="C114"/>
      <c r="D114"/>
      <c r="E114"/>
    </row>
    <row r="115" spans="1:5" ht="15.75">
      <c r="A115"/>
      <c r="B115"/>
      <c r="C115"/>
      <c r="D115"/>
      <c r="E115"/>
    </row>
    <row r="116" spans="1:5" ht="15.75">
      <c r="A116"/>
      <c r="B116"/>
      <c r="C116"/>
      <c r="D116"/>
      <c r="E116"/>
    </row>
    <row r="117" spans="1:5" ht="15.75">
      <c r="A117"/>
      <c r="B117"/>
      <c r="C117"/>
      <c r="D117"/>
      <c r="E117"/>
    </row>
    <row r="118" spans="1:5" ht="15.75">
      <c r="A118"/>
      <c r="B118"/>
      <c r="C118"/>
      <c r="D118"/>
      <c r="E118"/>
    </row>
  </sheetData>
  <sheetProtection sheet="1" objects="1" scenarios="1"/>
  <mergeCells count="2">
    <mergeCell ref="A10:E10"/>
    <mergeCell ref="A1:E1"/>
  </mergeCells>
  <printOptions/>
  <pageMargins left="0.5" right="0.5" top="1" bottom="0.5" header="0.5" footer="0.25"/>
  <pageSetup blackAndWhite="1" fitToHeight="2" fitToWidth="1" horizontalDpi="120" verticalDpi="120" orientation="portrait" scale="73" r:id="rId1"/>
  <headerFooter alignWithMargins="0">
    <oddFooter>&amp;Lrevised 8/21/08</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43">
      <selection activeCell="C68" sqref="C68"/>
    </sheetView>
  </sheetViews>
  <sheetFormatPr defaultColWidth="8.796875" defaultRowHeight="15"/>
  <cols>
    <col min="1" max="1" width="28.796875" style="7" customWidth="1"/>
    <col min="2" max="2" width="9.59765625" style="7" customWidth="1"/>
    <col min="3" max="4" width="15.796875" style="7" customWidth="1"/>
    <col min="5" max="5" width="16.09765625" style="7" customWidth="1"/>
    <col min="6" max="16384" width="8.8984375" style="7" customWidth="1"/>
  </cols>
  <sheetData>
    <row r="1" spans="1:5" ht="15.75">
      <c r="A1" s="72" t="str">
        <f>(inputPrYr!D2)</f>
        <v>City of Ellsworth</v>
      </c>
      <c r="B1" s="72"/>
      <c r="C1" s="21"/>
      <c r="D1" s="21"/>
      <c r="E1" s="138">
        <f>inputPrYr!C5</f>
        <v>2010</v>
      </c>
    </row>
    <row r="2" spans="1:5" ht="15.75">
      <c r="A2" s="21"/>
      <c r="B2" s="21"/>
      <c r="C2" s="21"/>
      <c r="D2" s="21"/>
      <c r="E2" s="24"/>
    </row>
    <row r="3" spans="1:5" ht="15.75">
      <c r="A3" s="90" t="s">
        <v>232</v>
      </c>
      <c r="B3" s="90"/>
      <c r="C3" s="96"/>
      <c r="D3" s="96"/>
      <c r="E3" s="96"/>
    </row>
    <row r="4" spans="1:5" ht="15.75">
      <c r="A4" s="25" t="s">
        <v>156</v>
      </c>
      <c r="B4" s="25"/>
      <c r="C4" s="93" t="s">
        <v>178</v>
      </c>
      <c r="D4" s="33" t="s">
        <v>314</v>
      </c>
      <c r="E4" s="33" t="s">
        <v>315</v>
      </c>
    </row>
    <row r="5" spans="1:5" ht="15.75">
      <c r="A5" s="137" t="str">
        <f>(inputPrYr!B36)</f>
        <v>Municipal Equipment</v>
      </c>
      <c r="B5" s="137"/>
      <c r="C5" s="144">
        <f>E1-2</f>
        <v>2008</v>
      </c>
      <c r="D5" s="144">
        <f>E1-1</f>
        <v>2009</v>
      </c>
      <c r="E5" s="144">
        <f>E1</f>
        <v>2010</v>
      </c>
    </row>
    <row r="6" spans="1:5" ht="15.75">
      <c r="A6" s="303" t="s">
        <v>287</v>
      </c>
      <c r="B6" s="309"/>
      <c r="C6" s="305">
        <v>171274</v>
      </c>
      <c r="D6" s="85">
        <f>C35</f>
        <v>209568</v>
      </c>
      <c r="E6" s="85">
        <f>D35</f>
        <v>163668</v>
      </c>
    </row>
    <row r="7" spans="1:5" ht="15.75">
      <c r="A7" s="308" t="s">
        <v>289</v>
      </c>
      <c r="B7" s="309"/>
      <c r="C7" s="297"/>
      <c r="D7" s="40"/>
      <c r="E7" s="40"/>
    </row>
    <row r="8" spans="1:5" ht="15.75">
      <c r="A8" s="293" t="s">
        <v>551</v>
      </c>
      <c r="B8" s="310"/>
      <c r="C8" s="305">
        <v>10377</v>
      </c>
      <c r="D8" s="9">
        <v>0</v>
      </c>
      <c r="E8" s="9">
        <v>1000</v>
      </c>
    </row>
    <row r="9" spans="1:5" ht="15.75">
      <c r="A9" s="293" t="s">
        <v>476</v>
      </c>
      <c r="B9" s="310"/>
      <c r="C9" s="305">
        <v>0</v>
      </c>
      <c r="D9" s="9">
        <v>0</v>
      </c>
      <c r="E9" s="9">
        <v>0</v>
      </c>
    </row>
    <row r="10" spans="1:5" ht="15.75">
      <c r="A10" s="293" t="s">
        <v>479</v>
      </c>
      <c r="B10" s="310"/>
      <c r="C10" s="305">
        <v>23047</v>
      </c>
      <c r="D10" s="9">
        <v>5500</v>
      </c>
      <c r="E10" s="9">
        <v>5000</v>
      </c>
    </row>
    <row r="11" spans="1:5" ht="15.75">
      <c r="A11" s="293" t="s">
        <v>552</v>
      </c>
      <c r="B11" s="310"/>
      <c r="C11" s="305">
        <v>30700</v>
      </c>
      <c r="D11" s="9">
        <v>3500</v>
      </c>
      <c r="E11" s="9">
        <v>4000</v>
      </c>
    </row>
    <row r="12" spans="1:5" ht="15.75">
      <c r="A12" s="293" t="s">
        <v>535</v>
      </c>
      <c r="B12" s="310"/>
      <c r="C12" s="305">
        <v>11750</v>
      </c>
      <c r="D12" s="9">
        <v>9350</v>
      </c>
      <c r="E12" s="9">
        <v>16000</v>
      </c>
    </row>
    <row r="13" spans="1:5" ht="15.75">
      <c r="A13" s="293" t="s">
        <v>536</v>
      </c>
      <c r="B13" s="310"/>
      <c r="C13" s="305">
        <v>2500</v>
      </c>
      <c r="D13" s="9">
        <v>3200</v>
      </c>
      <c r="E13" s="9">
        <v>15500</v>
      </c>
    </row>
    <row r="14" spans="1:5" ht="15.75">
      <c r="A14" s="293" t="s">
        <v>553</v>
      </c>
      <c r="B14" s="310"/>
      <c r="C14" s="305">
        <v>49500</v>
      </c>
      <c r="D14" s="9">
        <v>41250</v>
      </c>
      <c r="E14" s="9">
        <v>42000</v>
      </c>
    </row>
    <row r="15" spans="1:5" ht="15.75">
      <c r="A15" s="293" t="s">
        <v>554</v>
      </c>
      <c r="B15" s="310"/>
      <c r="C15" s="305">
        <v>10000</v>
      </c>
      <c r="D15" s="9">
        <v>9100</v>
      </c>
      <c r="E15" s="9">
        <v>9100</v>
      </c>
    </row>
    <row r="16" spans="1:5" ht="15.75">
      <c r="A16" s="293" t="s">
        <v>539</v>
      </c>
      <c r="B16" s="310"/>
      <c r="C16" s="305">
        <v>200</v>
      </c>
      <c r="D16" s="9">
        <v>400</v>
      </c>
      <c r="E16" s="9">
        <v>300</v>
      </c>
    </row>
    <row r="17" spans="1:5" ht="15.75">
      <c r="A17" s="293" t="s">
        <v>555</v>
      </c>
      <c r="B17" s="310"/>
      <c r="C17" s="305">
        <v>12500</v>
      </c>
      <c r="D17" s="9">
        <v>0</v>
      </c>
      <c r="E17" s="9">
        <v>0</v>
      </c>
    </row>
    <row r="18" spans="1:5" ht="15.75">
      <c r="A18" s="293" t="s">
        <v>542</v>
      </c>
      <c r="B18" s="310"/>
      <c r="C18" s="305">
        <v>14200</v>
      </c>
      <c r="D18" s="9">
        <v>37500</v>
      </c>
      <c r="E18" s="9">
        <v>37500</v>
      </c>
    </row>
    <row r="19" spans="1:5" ht="15.75">
      <c r="A19" s="293" t="s">
        <v>543</v>
      </c>
      <c r="B19" s="310"/>
      <c r="C19" s="305">
        <v>11000</v>
      </c>
      <c r="D19" s="9">
        <v>11850</v>
      </c>
      <c r="E19" s="9">
        <v>10000</v>
      </c>
    </row>
    <row r="20" spans="1:5" ht="15.75">
      <c r="A20" s="293" t="s">
        <v>544</v>
      </c>
      <c r="B20" s="310"/>
      <c r="C20" s="305">
        <v>33500</v>
      </c>
      <c r="D20" s="9">
        <v>86350</v>
      </c>
      <c r="E20" s="9">
        <v>59000</v>
      </c>
    </row>
    <row r="21" spans="1:5" ht="15.75">
      <c r="A21" s="293" t="s">
        <v>545</v>
      </c>
      <c r="B21" s="310"/>
      <c r="C21" s="305">
        <v>41500</v>
      </c>
      <c r="D21" s="9">
        <v>23000</v>
      </c>
      <c r="E21" s="9">
        <v>18000</v>
      </c>
    </row>
    <row r="22" spans="1:5" ht="15.75">
      <c r="A22" s="293" t="s">
        <v>546</v>
      </c>
      <c r="B22" s="310"/>
      <c r="C22" s="305">
        <v>5000</v>
      </c>
      <c r="D22" s="9">
        <v>12000</v>
      </c>
      <c r="E22" s="9">
        <v>10000</v>
      </c>
    </row>
    <row r="23" spans="1:5" ht="15.75">
      <c r="A23" s="304" t="s">
        <v>162</v>
      </c>
      <c r="B23" s="310"/>
      <c r="C23" s="305">
        <v>5514</v>
      </c>
      <c r="D23" s="9">
        <v>2100</v>
      </c>
      <c r="E23" s="9">
        <v>2200</v>
      </c>
    </row>
    <row r="24" spans="1:5" ht="15.75">
      <c r="A24" s="313" t="s">
        <v>26</v>
      </c>
      <c r="B24" s="309"/>
      <c r="C24" s="305">
        <v>0</v>
      </c>
      <c r="D24" s="305">
        <v>0</v>
      </c>
      <c r="E24" s="305">
        <v>0</v>
      </c>
    </row>
    <row r="25" spans="1:5" ht="15.75">
      <c r="A25" s="303" t="s">
        <v>28</v>
      </c>
      <c r="B25" s="309"/>
      <c r="C25" s="345">
        <f>IF(C26*0.1&lt;C24,"Exceed 10% Rule","")</f>
      </c>
      <c r="D25" s="345">
        <f>IF(D26*0.1&lt;D24,"Exceed 10% Rule","")</f>
      </c>
      <c r="E25" s="345">
        <f>IF(E26*0.1&lt;E24,"Exceed 10% Rule","")</f>
      </c>
    </row>
    <row r="26" spans="1:5" ht="15.75">
      <c r="A26" s="150" t="s">
        <v>163</v>
      </c>
      <c r="B26" s="309"/>
      <c r="C26" s="306">
        <f>SUM(C8:C24)</f>
        <v>261288</v>
      </c>
      <c r="D26" s="260">
        <f>SUM(D8:D24)</f>
        <v>245100</v>
      </c>
      <c r="E26" s="260">
        <f>SUM(E8:E24)</f>
        <v>229600</v>
      </c>
    </row>
    <row r="27" spans="1:5" ht="15.75">
      <c r="A27" s="150" t="s">
        <v>164</v>
      </c>
      <c r="B27" s="309"/>
      <c r="C27" s="306">
        <f>C6+C26</f>
        <v>432562</v>
      </c>
      <c r="D27" s="260">
        <f>D6+D26</f>
        <v>454668</v>
      </c>
      <c r="E27" s="260">
        <f>E6+E26</f>
        <v>393268</v>
      </c>
    </row>
    <row r="28" spans="1:5" ht="15.75">
      <c r="A28" s="37" t="s">
        <v>166</v>
      </c>
      <c r="B28" s="309"/>
      <c r="C28" s="118"/>
      <c r="D28" s="85"/>
      <c r="E28" s="85"/>
    </row>
    <row r="29" spans="1:5" ht="15.75">
      <c r="A29" s="293" t="s">
        <v>169</v>
      </c>
      <c r="B29" s="310"/>
      <c r="C29" s="305">
        <v>20004</v>
      </c>
      <c r="D29" s="9">
        <v>70000</v>
      </c>
      <c r="E29" s="9">
        <v>107868</v>
      </c>
    </row>
    <row r="30" spans="1:5" ht="15.75">
      <c r="A30" s="293" t="s">
        <v>556</v>
      </c>
      <c r="B30" s="310"/>
      <c r="C30" s="305">
        <v>202665</v>
      </c>
      <c r="D30" s="9">
        <v>221000</v>
      </c>
      <c r="E30" s="9">
        <v>283400</v>
      </c>
    </row>
    <row r="31" spans="1:5" ht="15.75">
      <c r="A31" s="293"/>
      <c r="B31" s="310"/>
      <c r="C31" s="305"/>
      <c r="D31" s="9"/>
      <c r="E31" s="9"/>
    </row>
    <row r="32" spans="1:5" ht="15.75">
      <c r="A32" s="311" t="s">
        <v>26</v>
      </c>
      <c r="B32" s="309"/>
      <c r="C32" s="305">
        <v>325</v>
      </c>
      <c r="D32" s="305">
        <v>0</v>
      </c>
      <c r="E32" s="305">
        <v>2000</v>
      </c>
    </row>
    <row r="33" spans="1:5" ht="15.75">
      <c r="A33" s="311" t="s">
        <v>27</v>
      </c>
      <c r="B33" s="309"/>
      <c r="C33" s="345">
        <f>IF(C34*0.1&lt;C32,"Exceed 10% Rule","")</f>
      </c>
      <c r="D33" s="345">
        <f>IF(D34*0.1&lt;D32,"Exceed 10% Rule","")</f>
      </c>
      <c r="E33" s="345">
        <f>IF(E34*0.1&lt;E32,"Exceed 10% Rule","")</f>
      </c>
    </row>
    <row r="34" spans="1:5" ht="15.75">
      <c r="A34" s="150" t="s">
        <v>170</v>
      </c>
      <c r="B34" s="309"/>
      <c r="C34" s="306">
        <f>SUM(C29:C32)</f>
        <v>222994</v>
      </c>
      <c r="D34" s="260">
        <f>SUM(D29:D32)</f>
        <v>291000</v>
      </c>
      <c r="E34" s="260">
        <f>SUM(E29:E32)</f>
        <v>393268</v>
      </c>
    </row>
    <row r="35" spans="1:5" ht="15.75">
      <c r="A35" s="37" t="s">
        <v>288</v>
      </c>
      <c r="B35" s="309"/>
      <c r="C35" s="307">
        <f>C27-C34</f>
        <v>209568</v>
      </c>
      <c r="D35" s="259">
        <f>D27-D34</f>
        <v>163668</v>
      </c>
      <c r="E35" s="259">
        <f>E27-E34</f>
        <v>0</v>
      </c>
    </row>
    <row r="36" spans="1:5" ht="15.75">
      <c r="A36" s="23" t="str">
        <f>CONCATENATE("",E1-2,"/",E1-1," Budget Authority Amount:")</f>
        <v>2008/2009 Budget Authority Amount:</v>
      </c>
      <c r="B36" s="328"/>
      <c r="C36" s="328">
        <f>inputOth!B75</f>
        <v>603546</v>
      </c>
      <c r="D36" s="328">
        <f>inputPrYr!D36</f>
        <v>461512</v>
      </c>
      <c r="E36" s="393">
        <f>IF(E35&lt;0,"Budget Violation","")</f>
      </c>
    </row>
    <row r="37" spans="1:5" ht="15.75">
      <c r="A37" s="23" t="str">
        <f>CONCATENATE("Violation of Budget Law for ",E1-2,"/",E1-1,":")</f>
        <v>Violation of Budget Law for 2008/2009:</v>
      </c>
      <c r="B37" s="329"/>
      <c r="C37" s="329" t="str">
        <f>IF(C34&gt;C36,"Yes","No")</f>
        <v>No</v>
      </c>
      <c r="D37" s="329" t="str">
        <f>IF(D34&gt;D36,"Yes","No")</f>
        <v>No</v>
      </c>
      <c r="E37" s="65"/>
    </row>
    <row r="38" spans="1:5" ht="15.75">
      <c r="A38" s="23" t="str">
        <f>CONCATENATE("Possible Cash Violation for ",E1-2,":")</f>
        <v>Possible Cash Violation for 2008:</v>
      </c>
      <c r="B38" s="329"/>
      <c r="C38" s="329" t="str">
        <f>IF(C35&lt;0,"Yes","No")</f>
        <v>No</v>
      </c>
      <c r="D38" s="329"/>
      <c r="E38" s="65"/>
    </row>
    <row r="39" spans="1:5" ht="15.75">
      <c r="A39" s="21"/>
      <c r="B39" s="21"/>
      <c r="C39" s="65"/>
      <c r="D39" s="65"/>
      <c r="E39" s="65"/>
    </row>
    <row r="40" spans="1:5" ht="15.75">
      <c r="A40" s="25" t="s">
        <v>156</v>
      </c>
      <c r="B40" s="25"/>
      <c r="C40" s="101"/>
      <c r="D40" s="101"/>
      <c r="E40" s="101"/>
    </row>
    <row r="41" spans="1:5" ht="15.75">
      <c r="A41" s="21"/>
      <c r="B41" s="21"/>
      <c r="C41" s="93" t="s">
        <v>178</v>
      </c>
      <c r="D41" s="33" t="s">
        <v>314</v>
      </c>
      <c r="E41" s="33" t="s">
        <v>315</v>
      </c>
    </row>
    <row r="42" spans="1:5" ht="15.75">
      <c r="A42" s="137" t="str">
        <f>(inputPrYr!B37)</f>
        <v>Tourism &amp; Convention</v>
      </c>
      <c r="B42" s="137"/>
      <c r="C42" s="144">
        <f>C5</f>
        <v>2008</v>
      </c>
      <c r="D42" s="144">
        <f>D5</f>
        <v>2009</v>
      </c>
      <c r="E42" s="144">
        <f>E5</f>
        <v>2010</v>
      </c>
    </row>
    <row r="43" spans="1:5" ht="15.75">
      <c r="A43" s="303" t="s">
        <v>287</v>
      </c>
      <c r="B43" s="309"/>
      <c r="C43" s="305">
        <v>14247</v>
      </c>
      <c r="D43" s="85">
        <f>C63</f>
        <v>16421</v>
      </c>
      <c r="E43" s="85">
        <f>D63</f>
        <v>3056</v>
      </c>
    </row>
    <row r="44" spans="1:5" ht="15.75">
      <c r="A44" s="308" t="s">
        <v>289</v>
      </c>
      <c r="B44" s="309"/>
      <c r="C44" s="297"/>
      <c r="D44" s="40"/>
      <c r="E44" s="40"/>
    </row>
    <row r="45" spans="1:5" ht="15.75">
      <c r="A45" s="293" t="s">
        <v>557</v>
      </c>
      <c r="B45" s="310"/>
      <c r="C45" s="305">
        <v>16195</v>
      </c>
      <c r="D45" s="9">
        <v>12500</v>
      </c>
      <c r="E45" s="9">
        <v>13500</v>
      </c>
    </row>
    <row r="46" spans="1:5" ht="15.75">
      <c r="A46" s="304" t="s">
        <v>162</v>
      </c>
      <c r="B46" s="310"/>
      <c r="C46" s="305">
        <v>289</v>
      </c>
      <c r="D46" s="9">
        <v>120</v>
      </c>
      <c r="E46" s="9">
        <v>120</v>
      </c>
    </row>
    <row r="47" spans="1:5" ht="15.75">
      <c r="A47" s="313" t="s">
        <v>26</v>
      </c>
      <c r="B47" s="309"/>
      <c r="C47" s="305">
        <v>0</v>
      </c>
      <c r="D47" s="305">
        <v>0</v>
      </c>
      <c r="E47" s="305">
        <v>0</v>
      </c>
    </row>
    <row r="48" spans="1:5" ht="15.75">
      <c r="A48" s="303" t="s">
        <v>28</v>
      </c>
      <c r="B48" s="309"/>
      <c r="C48" s="345">
        <f>IF(C49*0.1&lt;C47,"Exceed 10% Rule","")</f>
      </c>
      <c r="D48" s="345">
        <f>IF(D49*0.1&lt;D47,"Exceed 10% Rule","")</f>
      </c>
      <c r="E48" s="345">
        <f>IF(E49*0.1&lt;E47,"Exceed 10% Rule","")</f>
      </c>
    </row>
    <row r="49" spans="1:5" ht="15.75">
      <c r="A49" s="150" t="s">
        <v>163</v>
      </c>
      <c r="B49" s="309"/>
      <c r="C49" s="306">
        <f>SUM(C45:C47)</f>
        <v>16484</v>
      </c>
      <c r="D49" s="260">
        <f>SUM(D45:D47)</f>
        <v>12620</v>
      </c>
      <c r="E49" s="260">
        <f>SUM(E45:E47)</f>
        <v>13620</v>
      </c>
    </row>
    <row r="50" spans="1:5" ht="15.75">
      <c r="A50" s="150" t="s">
        <v>164</v>
      </c>
      <c r="B50" s="309"/>
      <c r="C50" s="306">
        <f>C43+C49</f>
        <v>30731</v>
      </c>
      <c r="D50" s="260">
        <f>D43+D49</f>
        <v>29041</v>
      </c>
      <c r="E50" s="260">
        <f>E43+E49</f>
        <v>16676</v>
      </c>
    </row>
    <row r="51" spans="1:5" ht="15.75">
      <c r="A51" s="37" t="s">
        <v>166</v>
      </c>
      <c r="B51" s="309"/>
      <c r="C51" s="118"/>
      <c r="D51" s="85"/>
      <c r="E51" s="85"/>
    </row>
    <row r="52" spans="1:5" ht="15.75">
      <c r="A52" s="293" t="s">
        <v>558</v>
      </c>
      <c r="B52" s="310"/>
      <c r="C52" s="305"/>
      <c r="D52" s="9"/>
      <c r="E52" s="9"/>
    </row>
    <row r="53" spans="1:5" ht="15.75">
      <c r="A53" s="293" t="s">
        <v>559</v>
      </c>
      <c r="B53" s="310"/>
      <c r="C53" s="305">
        <v>2710</v>
      </c>
      <c r="D53" s="9">
        <v>7000</v>
      </c>
      <c r="E53" s="9">
        <v>3500</v>
      </c>
    </row>
    <row r="54" spans="1:5" ht="15.75">
      <c r="A54" s="293" t="s">
        <v>560</v>
      </c>
      <c r="B54" s="310"/>
      <c r="C54" s="305">
        <v>4600</v>
      </c>
      <c r="D54" s="9">
        <v>6100</v>
      </c>
      <c r="E54" s="9">
        <v>3500</v>
      </c>
    </row>
    <row r="55" spans="1:5" ht="15.75">
      <c r="A55" s="293" t="s">
        <v>561</v>
      </c>
      <c r="B55" s="310"/>
      <c r="C55" s="305">
        <v>0</v>
      </c>
      <c r="D55" s="9">
        <v>0</v>
      </c>
      <c r="E55" s="9">
        <v>100</v>
      </c>
    </row>
    <row r="56" spans="1:5" ht="15.75">
      <c r="A56" s="293" t="s">
        <v>562</v>
      </c>
      <c r="B56" s="310"/>
      <c r="C56" s="305">
        <v>0</v>
      </c>
      <c r="D56" s="9">
        <v>0</v>
      </c>
      <c r="E56" s="9">
        <v>191</v>
      </c>
    </row>
    <row r="57" spans="1:5" ht="15.75">
      <c r="A57" s="293" t="s">
        <v>563</v>
      </c>
      <c r="B57" s="310"/>
      <c r="C57" s="305">
        <v>5750</v>
      </c>
      <c r="D57" s="9">
        <v>11500</v>
      </c>
      <c r="E57" s="9">
        <v>7500</v>
      </c>
    </row>
    <row r="58" spans="1:5" ht="15.75">
      <c r="A58" s="293" t="s">
        <v>564</v>
      </c>
      <c r="B58" s="310"/>
      <c r="C58" s="305"/>
      <c r="D58" s="9"/>
      <c r="E58" s="9"/>
    </row>
    <row r="59" spans="1:5" ht="15.75">
      <c r="A59" s="293" t="s">
        <v>565</v>
      </c>
      <c r="B59" s="310"/>
      <c r="C59" s="305">
        <v>1250</v>
      </c>
      <c r="D59" s="9">
        <v>1385</v>
      </c>
      <c r="E59" s="9">
        <v>1385</v>
      </c>
    </row>
    <row r="60" spans="1:5" ht="15.75">
      <c r="A60" s="311" t="s">
        <v>26</v>
      </c>
      <c r="B60" s="341"/>
      <c r="C60" s="305"/>
      <c r="D60" s="305"/>
      <c r="E60" s="305">
        <v>500</v>
      </c>
    </row>
    <row r="61" spans="1:5" ht="15.75">
      <c r="A61" s="343" t="s">
        <v>27</v>
      </c>
      <c r="B61" s="342"/>
      <c r="C61" s="345">
        <f>IF(C62*0.1&lt;C60,"Exceed 10% Rule","")</f>
      </c>
      <c r="D61" s="345">
        <f>IF(D62*0.1&lt;D60,"Exceed 10% Rule","")</f>
      </c>
      <c r="E61" s="345">
        <f>IF(E62*0.1&lt;E60,"Exceed 10% Rule","")</f>
      </c>
    </row>
    <row r="62" spans="1:5" ht="15.75">
      <c r="A62" s="150" t="s">
        <v>170</v>
      </c>
      <c r="B62" s="344"/>
      <c r="C62" s="306">
        <f>SUM(C52:C60)</f>
        <v>14310</v>
      </c>
      <c r="D62" s="260">
        <f>SUM(D52:D60)</f>
        <v>25985</v>
      </c>
      <c r="E62" s="260">
        <f>SUM(E52:E60)</f>
        <v>16676</v>
      </c>
    </row>
    <row r="63" spans="1:5" ht="15.75">
      <c r="A63" s="37" t="s">
        <v>288</v>
      </c>
      <c r="B63" s="301"/>
      <c r="C63" s="307">
        <f>C50-C62</f>
        <v>16421</v>
      </c>
      <c r="D63" s="259">
        <f>D50-D62</f>
        <v>3056</v>
      </c>
      <c r="E63" s="259">
        <f>E50-E62</f>
        <v>0</v>
      </c>
    </row>
    <row r="64" spans="1:5" ht="15.75">
      <c r="A64" s="23" t="str">
        <f>CONCATENATE("",E1-2,"/",E1-1," Budget Authority Amount:")</f>
        <v>2008/2009 Budget Authority Amount:</v>
      </c>
      <c r="B64" s="328"/>
      <c r="C64" s="328">
        <f>inputOth!B76</f>
        <v>24300</v>
      </c>
      <c r="D64" s="328">
        <f>inputPrYr!D37</f>
        <v>27736</v>
      </c>
      <c r="E64" s="392">
        <f>IF(E63&lt;0,"Budget Violation","")</f>
      </c>
    </row>
    <row r="65" spans="1:5" ht="15.75">
      <c r="A65" s="23" t="str">
        <f>CONCATENATE("Violation of Budget Law for ",E1-2,"/",E1-1,":")</f>
        <v>Violation of Budget Law for 2008/2009:</v>
      </c>
      <c r="B65" s="329"/>
      <c r="C65" s="329" t="str">
        <f>IF(C62&gt;C64,"Yes","No")</f>
        <v>No</v>
      </c>
      <c r="D65" s="329" t="str">
        <f>IF(D62&gt;D64,"Yes","No")</f>
        <v>No</v>
      </c>
      <c r="E65" s="21"/>
    </row>
    <row r="66" spans="1:5" ht="15.75">
      <c r="A66" s="23" t="str">
        <f>CONCATENATE("Possible Cash Violation for ",E1-2,":")</f>
        <v>Possible Cash Violation for 2008:</v>
      </c>
      <c r="B66" s="329"/>
      <c r="C66" s="329" t="str">
        <f>IF(C63&lt;0,"Yes","No")</f>
        <v>No</v>
      </c>
      <c r="D66" s="329"/>
      <c r="E66" s="21"/>
    </row>
    <row r="67" spans="1:5" ht="15.75">
      <c r="A67" s="21"/>
      <c r="B67" s="21"/>
      <c r="C67" s="21"/>
      <c r="D67" s="21"/>
      <c r="E67" s="21"/>
    </row>
    <row r="68" spans="1:5" ht="15.75">
      <c r="A68" s="24"/>
      <c r="B68" s="24" t="s">
        <v>173</v>
      </c>
      <c r="C68" s="100">
        <v>12</v>
      </c>
      <c r="D68" s="21"/>
      <c r="E68" s="21"/>
    </row>
  </sheetData>
  <sheetProtection/>
  <conditionalFormatting sqref="C24">
    <cfRule type="cellIs" priority="1" dxfId="271" operator="greaterThan" stopIfTrue="1">
      <formula>$C$26*0.1</formula>
    </cfRule>
  </conditionalFormatting>
  <conditionalFormatting sqref="D24">
    <cfRule type="cellIs" priority="2" dxfId="271" operator="greaterThan" stopIfTrue="1">
      <formula>$D$26*0.1</formula>
    </cfRule>
  </conditionalFormatting>
  <conditionalFormatting sqref="E24">
    <cfRule type="cellIs" priority="3" dxfId="271" operator="greaterThan" stopIfTrue="1">
      <formula>$E$26*0.1</formula>
    </cfRule>
  </conditionalFormatting>
  <conditionalFormatting sqref="C32">
    <cfRule type="cellIs" priority="4" dxfId="271" operator="greaterThan" stopIfTrue="1">
      <formula>$C$34*0.1</formula>
    </cfRule>
  </conditionalFormatting>
  <conditionalFormatting sqref="D32">
    <cfRule type="cellIs" priority="5" dxfId="271" operator="greaterThan" stopIfTrue="1">
      <formula>$D$34*0.1</formula>
    </cfRule>
  </conditionalFormatting>
  <conditionalFormatting sqref="E32">
    <cfRule type="cellIs" priority="6" dxfId="271" operator="greaterThan" stopIfTrue="1">
      <formula>$E$34*0.1</formula>
    </cfRule>
  </conditionalFormatting>
  <conditionalFormatting sqref="C47">
    <cfRule type="cellIs" priority="7" dxfId="271" operator="greaterThan" stopIfTrue="1">
      <formula>$C$49*0.1</formula>
    </cfRule>
  </conditionalFormatting>
  <conditionalFormatting sqref="D47">
    <cfRule type="cellIs" priority="8" dxfId="271" operator="greaterThan" stopIfTrue="1">
      <formula>$D$49*0.1</formula>
    </cfRule>
  </conditionalFormatting>
  <conditionalFormatting sqref="E47">
    <cfRule type="cellIs" priority="9" dxfId="271" operator="greaterThan" stopIfTrue="1">
      <formula>$E$49*0.1</formula>
    </cfRule>
  </conditionalFormatting>
  <conditionalFormatting sqref="C60">
    <cfRule type="cellIs" priority="10" dxfId="271" operator="greaterThan" stopIfTrue="1">
      <formula>$C$62*0.1</formula>
    </cfRule>
  </conditionalFormatting>
  <conditionalFormatting sqref="D60">
    <cfRule type="cellIs" priority="11" dxfId="271" operator="greaterThan" stopIfTrue="1">
      <formula>$D$62*0.1</formula>
    </cfRule>
  </conditionalFormatting>
  <conditionalFormatting sqref="E60">
    <cfRule type="cellIs" priority="12" dxfId="271" operator="greaterThan" stopIfTrue="1">
      <formula>$E$62*0.1</formula>
    </cfRule>
  </conditionalFormatting>
  <conditionalFormatting sqref="D62">
    <cfRule type="cellIs" priority="13" dxfId="0" operator="greaterThan" stopIfTrue="1">
      <formula>$D$64</formula>
    </cfRule>
  </conditionalFormatting>
  <conditionalFormatting sqref="C62">
    <cfRule type="cellIs" priority="14" dxfId="0" operator="greaterThan" stopIfTrue="1">
      <formula>$C$64</formula>
    </cfRule>
  </conditionalFormatting>
  <conditionalFormatting sqref="C63 E63 C35 E35">
    <cfRule type="cellIs" priority="15" dxfId="0" operator="lessThan" stopIfTrue="1">
      <formula>0</formula>
    </cfRule>
  </conditionalFormatting>
  <conditionalFormatting sqref="D34">
    <cfRule type="cellIs" priority="16" dxfId="0" operator="greaterThan" stopIfTrue="1">
      <formula>$D$36</formula>
    </cfRule>
  </conditionalFormatting>
  <conditionalFormatting sqref="C34">
    <cfRule type="cellIs" priority="17" dxfId="0" operator="greaterThan" stopIfTrue="1">
      <formula>$C$36</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oddFooter>&amp;Lrevised 8/21/08</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E59"/>
  <sheetViews>
    <sheetView zoomScalePageLayoutView="0" workbookViewId="0" topLeftCell="A34">
      <selection activeCell="C59" sqref="C59"/>
    </sheetView>
  </sheetViews>
  <sheetFormatPr defaultColWidth="8.796875" defaultRowHeight="15"/>
  <cols>
    <col min="1" max="1" width="28.796875" style="7" customWidth="1"/>
    <col min="2" max="2" width="9.59765625" style="7" customWidth="1"/>
    <col min="3" max="4" width="15.796875" style="7" customWidth="1"/>
    <col min="5" max="5" width="16.19921875" style="7" customWidth="1"/>
    <col min="6" max="16384" width="8.8984375" style="7" customWidth="1"/>
  </cols>
  <sheetData>
    <row r="1" spans="1:5" ht="15.75">
      <c r="A1" s="72" t="str">
        <f>(inputPrYr!D2)</f>
        <v>City of Ellsworth</v>
      </c>
      <c r="B1" s="72"/>
      <c r="C1" s="21"/>
      <c r="D1" s="21"/>
      <c r="E1" s="138">
        <f>inputPrYr!C5</f>
        <v>2010</v>
      </c>
    </row>
    <row r="2" spans="1:5" ht="15.75">
      <c r="A2" s="21"/>
      <c r="B2" s="21"/>
      <c r="C2" s="21"/>
      <c r="D2" s="21"/>
      <c r="E2" s="24"/>
    </row>
    <row r="3" spans="1:5" ht="15.75">
      <c r="A3" s="90" t="s">
        <v>232</v>
      </c>
      <c r="B3" s="90"/>
      <c r="C3" s="96"/>
      <c r="D3" s="96"/>
      <c r="E3" s="96"/>
    </row>
    <row r="4" spans="1:5" ht="15.75">
      <c r="A4" s="25" t="s">
        <v>156</v>
      </c>
      <c r="B4" s="25"/>
      <c r="C4" s="93" t="s">
        <v>178</v>
      </c>
      <c r="D4" s="33" t="s">
        <v>314</v>
      </c>
      <c r="E4" s="33" t="s">
        <v>315</v>
      </c>
    </row>
    <row r="5" spans="1:5" ht="15.75">
      <c r="A5" s="137" t="str">
        <f>inputPrYr!B38</f>
        <v>Transportaion District</v>
      </c>
      <c r="B5" s="137"/>
      <c r="C5" s="144">
        <f>E1-2</f>
        <v>2008</v>
      </c>
      <c r="D5" s="144">
        <f>E1-1</f>
        <v>2009</v>
      </c>
      <c r="E5" s="144">
        <f>E1</f>
        <v>2010</v>
      </c>
    </row>
    <row r="6" spans="1:5" ht="15.75">
      <c r="A6" s="303" t="s">
        <v>287</v>
      </c>
      <c r="B6" s="309"/>
      <c r="C6" s="305">
        <v>35855</v>
      </c>
      <c r="D6" s="85">
        <f>C26</f>
        <v>36146</v>
      </c>
      <c r="E6" s="85">
        <f>D26</f>
        <v>32846</v>
      </c>
    </row>
    <row r="7" spans="1:5" ht="15.75">
      <c r="A7" s="308" t="s">
        <v>289</v>
      </c>
      <c r="B7" s="309"/>
      <c r="C7" s="297"/>
      <c r="D7" s="40"/>
      <c r="E7" s="40"/>
    </row>
    <row r="8" spans="1:5" ht="15.75">
      <c r="A8" s="293" t="s">
        <v>566</v>
      </c>
      <c r="B8" s="310"/>
      <c r="C8" s="305">
        <v>96160</v>
      </c>
      <c r="D8" s="9">
        <v>78000</v>
      </c>
      <c r="E8" s="9">
        <v>108000</v>
      </c>
    </row>
    <row r="9" spans="1:5" ht="15.75">
      <c r="A9" s="304" t="s">
        <v>162</v>
      </c>
      <c r="B9" s="310"/>
      <c r="C9" s="305">
        <v>891</v>
      </c>
      <c r="D9" s="9">
        <v>300</v>
      </c>
      <c r="E9" s="9">
        <v>100</v>
      </c>
    </row>
    <row r="10" spans="1:5" ht="15.75">
      <c r="A10" s="313" t="s">
        <v>26</v>
      </c>
      <c r="B10" s="309"/>
      <c r="C10" s="305"/>
      <c r="D10" s="305"/>
      <c r="E10" s="305"/>
    </row>
    <row r="11" spans="1:5" ht="15.75">
      <c r="A11" s="303" t="s">
        <v>28</v>
      </c>
      <c r="B11" s="309"/>
      <c r="C11" s="345">
        <f>IF(C12*0.1&lt;C10,"Exceed 10% Rule","")</f>
      </c>
      <c r="D11" s="345">
        <f>IF(D12*0.1&lt;D10,"Exceed 10% Rule","")</f>
      </c>
      <c r="E11" s="345">
        <f>IF(E12*0.1&lt;E10,"Exceed 10% Rule","")</f>
      </c>
    </row>
    <row r="12" spans="1:5" ht="15.75">
      <c r="A12" s="150" t="s">
        <v>163</v>
      </c>
      <c r="B12" s="309"/>
      <c r="C12" s="306">
        <f>SUM(C8:C10)</f>
        <v>97051</v>
      </c>
      <c r="D12" s="260">
        <f>SUM(D8:D10)</f>
        <v>78300</v>
      </c>
      <c r="E12" s="260">
        <f>SUM(E8:E10)</f>
        <v>108100</v>
      </c>
    </row>
    <row r="13" spans="1:5" ht="15.75">
      <c r="A13" s="150" t="s">
        <v>164</v>
      </c>
      <c r="B13" s="309"/>
      <c r="C13" s="306">
        <f>C6+C12</f>
        <v>132906</v>
      </c>
      <c r="D13" s="260">
        <f>D6+D12</f>
        <v>114446</v>
      </c>
      <c r="E13" s="260">
        <f>E6+E12</f>
        <v>140946</v>
      </c>
    </row>
    <row r="14" spans="1:5" ht="15.75">
      <c r="A14" s="37" t="s">
        <v>166</v>
      </c>
      <c r="B14" s="309"/>
      <c r="C14" s="118"/>
      <c r="D14" s="85"/>
      <c r="E14" s="85"/>
    </row>
    <row r="15" spans="1:5" ht="15.75">
      <c r="A15" s="293" t="s">
        <v>167</v>
      </c>
      <c r="B15" s="310"/>
      <c r="C15" s="305">
        <v>600</v>
      </c>
      <c r="D15" s="9">
        <v>600</v>
      </c>
      <c r="E15" s="9">
        <v>600</v>
      </c>
    </row>
    <row r="16" spans="1:5" ht="15.75">
      <c r="A16" s="293" t="s">
        <v>169</v>
      </c>
      <c r="B16" s="310"/>
      <c r="C16" s="305">
        <v>96160</v>
      </c>
      <c r="D16" s="9">
        <v>81000</v>
      </c>
      <c r="E16" s="9">
        <v>140346</v>
      </c>
    </row>
    <row r="17" spans="1:5" ht="15.75">
      <c r="A17" s="293"/>
      <c r="B17" s="310"/>
      <c r="C17" s="305"/>
      <c r="D17" s="9"/>
      <c r="E17" s="9"/>
    </row>
    <row r="18" spans="1:5" ht="15.75">
      <c r="A18" s="293"/>
      <c r="B18" s="310"/>
      <c r="C18" s="305"/>
      <c r="D18" s="9"/>
      <c r="E18" s="9"/>
    </row>
    <row r="19" spans="1:5" ht="15.75">
      <c r="A19" s="293"/>
      <c r="B19" s="310"/>
      <c r="C19" s="305"/>
      <c r="D19" s="9"/>
      <c r="E19" s="9"/>
    </row>
    <row r="20" spans="1:5" ht="15.75">
      <c r="A20" s="293"/>
      <c r="B20" s="310"/>
      <c r="C20" s="305"/>
      <c r="D20" s="9"/>
      <c r="E20" s="9"/>
    </row>
    <row r="21" spans="1:5" ht="15.75">
      <c r="A21" s="293"/>
      <c r="B21" s="310"/>
      <c r="C21" s="305"/>
      <c r="D21" s="9"/>
      <c r="E21" s="9"/>
    </row>
    <row r="22" spans="1:5" ht="15.75">
      <c r="A22" s="293"/>
      <c r="B22" s="310"/>
      <c r="C22" s="305"/>
      <c r="D22" s="9"/>
      <c r="E22" s="9"/>
    </row>
    <row r="23" spans="1:5" ht="15.75">
      <c r="A23" s="311" t="s">
        <v>26</v>
      </c>
      <c r="B23" s="309"/>
      <c r="C23" s="305"/>
      <c r="D23" s="305"/>
      <c r="E23" s="305"/>
    </row>
    <row r="24" spans="1:5" ht="15.75">
      <c r="A24" s="311" t="s">
        <v>27</v>
      </c>
      <c r="B24" s="309"/>
      <c r="C24" s="345">
        <f>IF(C25*0.1&lt;C23,"Exceed 10% Rule","")</f>
      </c>
      <c r="D24" s="345">
        <f>IF(D25*0.1&lt;D23,"Exceed 10% Rule","")</f>
      </c>
      <c r="E24" s="345">
        <f>IF(E25*0.1&lt;E23,"Exceed 10% Rule","")</f>
      </c>
    </row>
    <row r="25" spans="1:5" ht="15.75">
      <c r="A25" s="150" t="s">
        <v>170</v>
      </c>
      <c r="B25" s="309"/>
      <c r="C25" s="306">
        <f>SUM(C15:C23)</f>
        <v>96760</v>
      </c>
      <c r="D25" s="260">
        <f>SUM(D15:D23)</f>
        <v>81600</v>
      </c>
      <c r="E25" s="260">
        <f>SUM(E15:E23)</f>
        <v>140946</v>
      </c>
    </row>
    <row r="26" spans="1:5" ht="15.75">
      <c r="A26" s="37" t="s">
        <v>288</v>
      </c>
      <c r="B26" s="309"/>
      <c r="C26" s="307">
        <f>C13-C25</f>
        <v>36146</v>
      </c>
      <c r="D26" s="259">
        <f>D13-D25</f>
        <v>32846</v>
      </c>
      <c r="E26" s="259">
        <f>E13-E25</f>
        <v>0</v>
      </c>
    </row>
    <row r="27" spans="1:5" ht="15.75">
      <c r="A27" s="23" t="str">
        <f>CONCATENATE("",E1-2,"/",E1-1," Budget Authority Amount:")</f>
        <v>2008/2009 Budget Authority Amount:</v>
      </c>
      <c r="B27" s="328"/>
      <c r="C27" s="328">
        <f>inputOth!B77</f>
        <v>1141850</v>
      </c>
      <c r="D27" s="328">
        <f>inputPrYr!D38</f>
        <v>129530</v>
      </c>
      <c r="E27" s="393">
        <f>IF(E26&lt;0,"Budget Violation","")</f>
      </c>
    </row>
    <row r="28" spans="1:5" ht="15.75">
      <c r="A28" s="23" t="str">
        <f>CONCATENATE("Violation of Budget Law for ",E1-2,"/",E1-1,":")</f>
        <v>Violation of Budget Law for 2008/2009:</v>
      </c>
      <c r="B28" s="329"/>
      <c r="C28" s="329" t="str">
        <f>IF(C25&gt;C27,"Yes","No")</f>
        <v>No</v>
      </c>
      <c r="D28" s="329" t="str">
        <f>IF(D25&gt;D27,"Yes","No")</f>
        <v>No</v>
      </c>
      <c r="E28" s="65"/>
    </row>
    <row r="29" spans="1:5" ht="15.75">
      <c r="A29" s="23" t="str">
        <f>CONCATENATE("Possible Cash Violation for ",E1-2,":")</f>
        <v>Possible Cash Violation for 2008:</v>
      </c>
      <c r="B29" s="329"/>
      <c r="C29" s="329" t="str">
        <f>IF(C26&lt;0,"Yes","No")</f>
        <v>No</v>
      </c>
      <c r="D29" s="329"/>
      <c r="E29" s="65"/>
    </row>
    <row r="30" spans="1:5" ht="15.75">
      <c r="A30" s="21"/>
      <c r="B30" s="21"/>
      <c r="C30" s="65"/>
      <c r="D30" s="65"/>
      <c r="E30" s="65"/>
    </row>
    <row r="31" spans="1:5" ht="15.75">
      <c r="A31" s="25" t="s">
        <v>156</v>
      </c>
      <c r="B31" s="25"/>
      <c r="C31" s="101"/>
      <c r="D31" s="101"/>
      <c r="E31" s="101"/>
    </row>
    <row r="32" spans="1:5" ht="15.75">
      <c r="A32" s="21"/>
      <c r="B32" s="21"/>
      <c r="C32" s="93" t="s">
        <v>178</v>
      </c>
      <c r="D32" s="33" t="s">
        <v>314</v>
      </c>
      <c r="E32" s="33" t="s">
        <v>315</v>
      </c>
    </row>
    <row r="33" spans="1:5" ht="15.75">
      <c r="A33" s="137" t="str">
        <f>inputPrYr!B39</f>
        <v>W/S Emergency Depreciation</v>
      </c>
      <c r="B33" s="137"/>
      <c r="C33" s="144">
        <f>C5</f>
        <v>2008</v>
      </c>
      <c r="D33" s="144">
        <f>D5</f>
        <v>2009</v>
      </c>
      <c r="E33" s="144">
        <f>E5</f>
        <v>2010</v>
      </c>
    </row>
    <row r="34" spans="1:5" ht="15.75">
      <c r="A34" s="303" t="s">
        <v>287</v>
      </c>
      <c r="B34" s="309"/>
      <c r="C34" s="305">
        <v>104747</v>
      </c>
      <c r="D34" s="85">
        <f>C54</f>
        <v>106008</v>
      </c>
      <c r="E34" s="85">
        <f>D54</f>
        <v>99154</v>
      </c>
    </row>
    <row r="35" spans="1:5" ht="15.75">
      <c r="A35" s="308" t="s">
        <v>289</v>
      </c>
      <c r="B35" s="309"/>
      <c r="C35" s="297"/>
      <c r="D35" s="40"/>
      <c r="E35" s="40"/>
    </row>
    <row r="36" spans="1:5" ht="15.75">
      <c r="A36" s="293" t="s">
        <v>514</v>
      </c>
      <c r="B36" s="310"/>
      <c r="C36" s="305">
        <v>5000</v>
      </c>
      <c r="D36" s="9">
        <v>5000</v>
      </c>
      <c r="E36" s="9">
        <v>5000</v>
      </c>
    </row>
    <row r="37" spans="1:5" ht="15.75">
      <c r="A37" s="304" t="s">
        <v>162</v>
      </c>
      <c r="B37" s="310"/>
      <c r="C37" s="305">
        <v>2571</v>
      </c>
      <c r="D37" s="9">
        <v>1800</v>
      </c>
      <c r="E37" s="9">
        <v>1800</v>
      </c>
    </row>
    <row r="38" spans="1:5" ht="15.75">
      <c r="A38" s="313" t="s">
        <v>26</v>
      </c>
      <c r="B38" s="309"/>
      <c r="C38" s="305"/>
      <c r="D38" s="305"/>
      <c r="E38" s="305"/>
    </row>
    <row r="39" spans="1:5" ht="15.75">
      <c r="A39" s="303" t="s">
        <v>28</v>
      </c>
      <c r="B39" s="309"/>
      <c r="C39" s="345">
        <f>IF(C40*0.1&lt;C38,"Exceed 10% Rule","")</f>
      </c>
      <c r="D39" s="345">
        <f>IF(D40*0.1&lt;D38,"Exceed 10% Rule","")</f>
      </c>
      <c r="E39" s="345">
        <f>IF(E40*0.1&lt;E38,"Exceed 10% Rule","")</f>
      </c>
    </row>
    <row r="40" spans="1:5" ht="15.75">
      <c r="A40" s="150" t="s">
        <v>163</v>
      </c>
      <c r="B40" s="309"/>
      <c r="C40" s="306">
        <f>SUM(C36:C38)</f>
        <v>7571</v>
      </c>
      <c r="D40" s="260">
        <f>SUM(D36:D38)</f>
        <v>6800</v>
      </c>
      <c r="E40" s="260">
        <f>SUM(E36:E38)</f>
        <v>6800</v>
      </c>
    </row>
    <row r="41" spans="1:5" ht="15.75">
      <c r="A41" s="150" t="s">
        <v>164</v>
      </c>
      <c r="B41" s="309"/>
      <c r="C41" s="306">
        <f>C34+C40</f>
        <v>112318</v>
      </c>
      <c r="D41" s="260">
        <f>D34+D40</f>
        <v>112808</v>
      </c>
      <c r="E41" s="260">
        <f>E34+E40</f>
        <v>105954</v>
      </c>
    </row>
    <row r="42" spans="1:5" ht="15.75">
      <c r="A42" s="37" t="s">
        <v>166</v>
      </c>
      <c r="B42" s="309"/>
      <c r="C42" s="118"/>
      <c r="D42" s="85"/>
      <c r="E42" s="85"/>
    </row>
    <row r="43" spans="1:5" ht="15.75">
      <c r="A43" s="293" t="s">
        <v>169</v>
      </c>
      <c r="B43" s="310"/>
      <c r="C43" s="305">
        <v>6310</v>
      </c>
      <c r="D43" s="9">
        <v>13654</v>
      </c>
      <c r="E43" s="9">
        <v>105954</v>
      </c>
    </row>
    <row r="44" spans="1:5" ht="15.75">
      <c r="A44" s="293"/>
      <c r="B44" s="310"/>
      <c r="C44" s="305"/>
      <c r="D44" s="9"/>
      <c r="E44" s="9"/>
    </row>
    <row r="45" spans="1:5" ht="15.75">
      <c r="A45" s="293"/>
      <c r="B45" s="310"/>
      <c r="C45" s="305"/>
      <c r="D45" s="9"/>
      <c r="E45" s="9"/>
    </row>
    <row r="46" spans="1:5" ht="15.75">
      <c r="A46" s="293"/>
      <c r="B46" s="310"/>
      <c r="C46" s="305"/>
      <c r="D46" s="9"/>
      <c r="E46" s="9"/>
    </row>
    <row r="47" spans="1:5" ht="15.75">
      <c r="A47" s="293"/>
      <c r="B47" s="310"/>
      <c r="C47" s="305"/>
      <c r="D47" s="9"/>
      <c r="E47" s="9"/>
    </row>
    <row r="48" spans="1:5" ht="15.75">
      <c r="A48" s="293"/>
      <c r="B48" s="310"/>
      <c r="C48" s="305"/>
      <c r="D48" s="9"/>
      <c r="E48" s="9"/>
    </row>
    <row r="49" spans="1:5" ht="15.75">
      <c r="A49" s="293"/>
      <c r="B49" s="310"/>
      <c r="C49" s="305"/>
      <c r="D49" s="9"/>
      <c r="E49" s="9"/>
    </row>
    <row r="50" spans="1:5" ht="15.75">
      <c r="A50" s="293"/>
      <c r="B50" s="310"/>
      <c r="C50" s="305"/>
      <c r="D50" s="9"/>
      <c r="E50" s="9"/>
    </row>
    <row r="51" spans="1:5" ht="15.75">
      <c r="A51" s="311" t="s">
        <v>26</v>
      </c>
      <c r="B51" s="309"/>
      <c r="C51" s="305"/>
      <c r="D51" s="305"/>
      <c r="E51" s="305"/>
    </row>
    <row r="52" spans="1:5" ht="15.75">
      <c r="A52" s="311" t="s">
        <v>27</v>
      </c>
      <c r="B52" s="309"/>
      <c r="C52" s="345">
        <f>IF(C53*0.1&lt;C51,"Exceed 10% Rule","")</f>
      </c>
      <c r="D52" s="345">
        <f>IF(D53*0.1&lt;D51,"Exceed 10% Rule","")</f>
      </c>
      <c r="E52" s="345">
        <f>IF(E53*0.1&lt;E51,"Exceed 10% Rule","")</f>
      </c>
    </row>
    <row r="53" spans="1:5" ht="15.75">
      <c r="A53" s="150" t="s">
        <v>170</v>
      </c>
      <c r="B53" s="309"/>
      <c r="C53" s="306">
        <f>SUM(C43:C51)</f>
        <v>6310</v>
      </c>
      <c r="D53" s="260">
        <f>SUM(D43:D51)</f>
        <v>13654</v>
      </c>
      <c r="E53" s="260">
        <f>SUM(E43:E51)</f>
        <v>105954</v>
      </c>
    </row>
    <row r="54" spans="1:5" ht="15.75">
      <c r="A54" s="37" t="s">
        <v>288</v>
      </c>
      <c r="B54" s="309"/>
      <c r="C54" s="307">
        <f>C41-C53</f>
        <v>106008</v>
      </c>
      <c r="D54" s="259">
        <f>D41-D53</f>
        <v>99154</v>
      </c>
      <c r="E54" s="259">
        <f>E41-E53</f>
        <v>0</v>
      </c>
    </row>
    <row r="55" spans="1:5" ht="15.75">
      <c r="A55" s="23" t="str">
        <f>CONCATENATE("",E1-2,"/",E1-1," Budget Authority Amount:")</f>
        <v>2008/2009 Budget Authority Amount:</v>
      </c>
      <c r="B55" s="328"/>
      <c r="C55" s="328">
        <f>inputOth!B78</f>
        <v>111848</v>
      </c>
      <c r="D55" s="328">
        <f>inputPrYr!D39</f>
        <v>120312</v>
      </c>
      <c r="E55" s="392">
        <f>IF(E54&lt;0,"Budget Violation","")</f>
      </c>
    </row>
    <row r="56" spans="1:5" ht="15.75">
      <c r="A56" s="23" t="str">
        <f>CONCATENATE("Violation of Budget Law for ",E1-2,"/",E1-1,":")</f>
        <v>Violation of Budget Law for 2008/2009:</v>
      </c>
      <c r="B56" s="329"/>
      <c r="C56" s="329" t="str">
        <f>IF(C53&gt;C55,"Yes","No")</f>
        <v>No</v>
      </c>
      <c r="D56" s="329" t="str">
        <f>IF(D53&gt;D55,"Yes","No")</f>
        <v>No</v>
      </c>
      <c r="E56" s="21"/>
    </row>
    <row r="57" spans="1:5" ht="15.75">
      <c r="A57" s="23" t="str">
        <f>CONCATENATE("Possible Cash Violation for ",E1-2,":")</f>
        <v>Possible Cash Violation for 2008:</v>
      </c>
      <c r="B57" s="329"/>
      <c r="C57" s="329" t="str">
        <f>IF(C54&lt;0,"Yes","No")</f>
        <v>No</v>
      </c>
      <c r="D57" s="329"/>
      <c r="E57" s="21"/>
    </row>
    <row r="58" spans="1:5" ht="15.75">
      <c r="A58" s="21"/>
      <c r="B58" s="21"/>
      <c r="C58" s="21"/>
      <c r="D58" s="21"/>
      <c r="E58" s="21"/>
    </row>
    <row r="59" spans="1:5" ht="15.75">
      <c r="A59" s="24"/>
      <c r="B59" s="24" t="s">
        <v>173</v>
      </c>
      <c r="C59" s="100">
        <v>13</v>
      </c>
      <c r="D59" s="21"/>
      <c r="E59" s="21"/>
    </row>
  </sheetData>
  <sheetProtection/>
  <conditionalFormatting sqref="C10">
    <cfRule type="cellIs" priority="1" dxfId="271" operator="greaterThan" stopIfTrue="1">
      <formula>$C$12*0.1</formula>
    </cfRule>
  </conditionalFormatting>
  <conditionalFormatting sqref="D10">
    <cfRule type="cellIs" priority="2" dxfId="271" operator="greaterThan" stopIfTrue="1">
      <formula>$D$12*0.1</formula>
    </cfRule>
  </conditionalFormatting>
  <conditionalFormatting sqref="E10">
    <cfRule type="cellIs" priority="3" dxfId="271" operator="greaterThan" stopIfTrue="1">
      <formula>$E$12*0.1</formula>
    </cfRule>
  </conditionalFormatting>
  <conditionalFormatting sqref="C23">
    <cfRule type="cellIs" priority="4" dxfId="271" operator="greaterThan" stopIfTrue="1">
      <formula>$C$25*0.1</formula>
    </cfRule>
  </conditionalFormatting>
  <conditionalFormatting sqref="D23">
    <cfRule type="cellIs" priority="5" dxfId="271" operator="greaterThan" stopIfTrue="1">
      <formula>$D$25*0.1</formula>
    </cfRule>
  </conditionalFormatting>
  <conditionalFormatting sqref="E23">
    <cfRule type="cellIs" priority="6" dxfId="271" operator="greaterThan" stopIfTrue="1">
      <formula>$E$25*0.1</formula>
    </cfRule>
  </conditionalFormatting>
  <conditionalFormatting sqref="C38">
    <cfRule type="cellIs" priority="7" dxfId="271" operator="greaterThan" stopIfTrue="1">
      <formula>$C$40*0.1</formula>
    </cfRule>
  </conditionalFormatting>
  <conditionalFormatting sqref="D38">
    <cfRule type="cellIs" priority="8" dxfId="271" operator="greaterThan" stopIfTrue="1">
      <formula>$D$40*0.1</formula>
    </cfRule>
  </conditionalFormatting>
  <conditionalFormatting sqref="E38">
    <cfRule type="cellIs" priority="9" dxfId="271" operator="greaterThan" stopIfTrue="1">
      <formula>$E$40*0.1</formula>
    </cfRule>
  </conditionalFormatting>
  <conditionalFormatting sqref="C51">
    <cfRule type="cellIs" priority="10" dxfId="271" operator="greaterThan" stopIfTrue="1">
      <formula>$C$53*0.1</formula>
    </cfRule>
  </conditionalFormatting>
  <conditionalFormatting sqref="D51">
    <cfRule type="cellIs" priority="11" dxfId="271" operator="greaterThan" stopIfTrue="1">
      <formula>$D$53*0.1</formula>
    </cfRule>
  </conditionalFormatting>
  <conditionalFormatting sqref="E51">
    <cfRule type="cellIs" priority="12" dxfId="271" operator="greaterThan" stopIfTrue="1">
      <formula>$E$53*0.1</formula>
    </cfRule>
  </conditionalFormatting>
  <conditionalFormatting sqref="D53">
    <cfRule type="cellIs" priority="13" dxfId="0" operator="greaterThan" stopIfTrue="1">
      <formula>$D$55</formula>
    </cfRule>
  </conditionalFormatting>
  <conditionalFormatting sqref="C53">
    <cfRule type="cellIs" priority="14" dxfId="0" operator="greaterThan" stopIfTrue="1">
      <formula>$C$55</formula>
    </cfRule>
  </conditionalFormatting>
  <conditionalFormatting sqref="C54 E54 C26 E26">
    <cfRule type="cellIs" priority="15" dxfId="0" operator="lessThan" stopIfTrue="1">
      <formula>0</formula>
    </cfRule>
  </conditionalFormatting>
  <conditionalFormatting sqref="D25">
    <cfRule type="cellIs" priority="16" dxfId="0" operator="greaterThan" stopIfTrue="1">
      <formula>$D$27</formula>
    </cfRule>
  </conditionalFormatting>
  <conditionalFormatting sqref="C25">
    <cfRule type="cellIs" priority="17" dxfId="0" operator="greaterThan" stopIfTrue="1">
      <formula>$C$27</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oddHeader>
    <oddFooter>&amp;Lrevised 8/21/08</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37">
      <selection activeCell="C62" sqref="C62"/>
    </sheetView>
  </sheetViews>
  <sheetFormatPr defaultColWidth="8.796875" defaultRowHeight="15"/>
  <cols>
    <col min="1" max="1" width="28.796875" style="7" customWidth="1"/>
    <col min="2" max="2" width="9.59765625" style="7" customWidth="1"/>
    <col min="3" max="4" width="15.796875" style="7" customWidth="1"/>
    <col min="5" max="5" width="16.09765625" style="7" customWidth="1"/>
    <col min="6" max="16384" width="8.8984375" style="7" customWidth="1"/>
  </cols>
  <sheetData>
    <row r="1" spans="1:5" ht="15.75">
      <c r="A1" s="72" t="str">
        <f>(inputPrYr!D2)</f>
        <v>City of Ellsworth</v>
      </c>
      <c r="B1" s="72"/>
      <c r="C1" s="21"/>
      <c r="D1" s="21"/>
      <c r="E1" s="138">
        <f>inputPrYr!C5</f>
        <v>2010</v>
      </c>
    </row>
    <row r="2" spans="1:5" ht="15.75">
      <c r="A2" s="21"/>
      <c r="B2" s="21"/>
      <c r="C2" s="21"/>
      <c r="D2" s="21"/>
      <c r="E2" s="24"/>
    </row>
    <row r="3" spans="1:5" ht="15.75">
      <c r="A3" s="90" t="s">
        <v>232</v>
      </c>
      <c r="B3" s="90"/>
      <c r="C3" s="96"/>
      <c r="D3" s="96"/>
      <c r="E3" s="96"/>
    </row>
    <row r="4" spans="1:5" ht="15.75">
      <c r="A4" s="25" t="s">
        <v>156</v>
      </c>
      <c r="B4" s="25"/>
      <c r="C4" s="93" t="s">
        <v>178</v>
      </c>
      <c r="D4" s="33" t="s">
        <v>314</v>
      </c>
      <c r="E4" s="33" t="s">
        <v>315</v>
      </c>
    </row>
    <row r="5" spans="1:5" ht="15.75">
      <c r="A5" s="137" t="str">
        <f>inputPrYr!B40</f>
        <v>W/S Improvenment</v>
      </c>
      <c r="B5" s="137"/>
      <c r="C5" s="144">
        <f>E1-2</f>
        <v>2008</v>
      </c>
      <c r="D5" s="144">
        <f>E1-1</f>
        <v>2009</v>
      </c>
      <c r="E5" s="144">
        <f>E1</f>
        <v>2010</v>
      </c>
    </row>
    <row r="6" spans="1:5" ht="15.75">
      <c r="A6" s="303" t="s">
        <v>287</v>
      </c>
      <c r="B6" s="309"/>
      <c r="C6" s="305">
        <v>264588</v>
      </c>
      <c r="D6" s="85">
        <f>C26</f>
        <v>277634</v>
      </c>
      <c r="E6" s="85">
        <f>D26</f>
        <v>359738</v>
      </c>
    </row>
    <row r="7" spans="1:5" ht="15.75">
      <c r="A7" s="308" t="s">
        <v>289</v>
      </c>
      <c r="B7" s="309"/>
      <c r="C7" s="297"/>
      <c r="D7" s="40"/>
      <c r="E7" s="40"/>
    </row>
    <row r="8" spans="1:5" ht="15.75">
      <c r="A8" s="293" t="s">
        <v>514</v>
      </c>
      <c r="B8" s="310"/>
      <c r="C8" s="305">
        <v>160000</v>
      </c>
      <c r="D8" s="9">
        <v>235000</v>
      </c>
      <c r="E8" s="9">
        <v>335000</v>
      </c>
    </row>
    <row r="9" spans="1:5" ht="15.75">
      <c r="A9" s="304" t="s">
        <v>162</v>
      </c>
      <c r="B9" s="310"/>
      <c r="C9" s="305">
        <v>6402</v>
      </c>
      <c r="D9" s="9">
        <v>2100</v>
      </c>
      <c r="E9" s="9">
        <v>2000</v>
      </c>
    </row>
    <row r="10" spans="1:5" ht="15.75">
      <c r="A10" s="313" t="s">
        <v>26</v>
      </c>
      <c r="B10" s="309"/>
      <c r="C10" s="121"/>
      <c r="D10" s="121"/>
      <c r="E10" s="121"/>
    </row>
    <row r="11" spans="1:5" ht="15.75">
      <c r="A11" s="303" t="s">
        <v>28</v>
      </c>
      <c r="B11" s="309"/>
      <c r="C11" s="345">
        <f>IF(C12*0.1&lt;C10,"Exceed 10% Rule","")</f>
      </c>
      <c r="D11" s="345">
        <f>IF(D12*0.1&lt;D10,"Exceed 10% Rule","")</f>
      </c>
      <c r="E11" s="345">
        <f>IF(E12*0.1&lt;E10,"Exceed 10% Rule","")</f>
      </c>
    </row>
    <row r="12" spans="1:5" ht="15.75">
      <c r="A12" s="150" t="s">
        <v>163</v>
      </c>
      <c r="B12" s="309"/>
      <c r="C12" s="306">
        <f>SUM(C8:C10)</f>
        <v>166402</v>
      </c>
      <c r="D12" s="260">
        <f>SUM(D8:D10)</f>
        <v>237100</v>
      </c>
      <c r="E12" s="260">
        <f>SUM(E8:E10)</f>
        <v>337000</v>
      </c>
    </row>
    <row r="13" spans="1:5" ht="15.75">
      <c r="A13" s="150" t="s">
        <v>164</v>
      </c>
      <c r="B13" s="309"/>
      <c r="C13" s="306">
        <f>C6+C12</f>
        <v>430990</v>
      </c>
      <c r="D13" s="260">
        <f>D6+D12</f>
        <v>514734</v>
      </c>
      <c r="E13" s="260">
        <f>E6+E12</f>
        <v>696738</v>
      </c>
    </row>
    <row r="14" spans="1:5" ht="15.75">
      <c r="A14" s="37" t="s">
        <v>166</v>
      </c>
      <c r="B14" s="309"/>
      <c r="C14" s="118"/>
      <c r="D14" s="85"/>
      <c r="E14" s="85"/>
    </row>
    <row r="15" spans="1:5" ht="15.75">
      <c r="A15" s="293" t="s">
        <v>567</v>
      </c>
      <c r="B15" s="310"/>
      <c r="C15" s="305">
        <v>78485</v>
      </c>
      <c r="D15" s="9">
        <v>82000</v>
      </c>
      <c r="E15" s="9">
        <v>410000</v>
      </c>
    </row>
    <row r="16" spans="1:5" ht="15.75">
      <c r="A16" s="293" t="s">
        <v>568</v>
      </c>
      <c r="B16" s="310"/>
      <c r="C16" s="305">
        <v>68974</v>
      </c>
      <c r="D16" s="9">
        <v>70000</v>
      </c>
      <c r="E16" s="9">
        <v>250000</v>
      </c>
    </row>
    <row r="17" spans="1:5" ht="15.75">
      <c r="A17" s="293" t="s">
        <v>569</v>
      </c>
      <c r="B17" s="310"/>
      <c r="C17" s="305">
        <v>5897</v>
      </c>
      <c r="D17" s="9">
        <v>2996</v>
      </c>
      <c r="E17" s="9">
        <v>6738</v>
      </c>
    </row>
    <row r="18" spans="1:5" ht="15.75">
      <c r="A18" s="293"/>
      <c r="B18" s="310"/>
      <c r="C18" s="305"/>
      <c r="D18" s="9"/>
      <c r="E18" s="9"/>
    </row>
    <row r="19" spans="1:5" ht="15.75">
      <c r="A19" s="293"/>
      <c r="B19" s="310"/>
      <c r="C19" s="305"/>
      <c r="D19" s="9"/>
      <c r="E19" s="9"/>
    </row>
    <row r="20" spans="1:5" ht="15.75">
      <c r="A20" s="293"/>
      <c r="B20" s="310"/>
      <c r="C20" s="305"/>
      <c r="D20" s="9"/>
      <c r="E20" s="9"/>
    </row>
    <row r="21" spans="1:5" ht="15.75">
      <c r="A21" s="293"/>
      <c r="B21" s="310"/>
      <c r="C21" s="305"/>
      <c r="D21" s="9"/>
      <c r="E21" s="9"/>
    </row>
    <row r="22" spans="1:5" ht="15.75">
      <c r="A22" s="293"/>
      <c r="B22" s="310"/>
      <c r="C22" s="305"/>
      <c r="D22" s="9"/>
      <c r="E22" s="9"/>
    </row>
    <row r="23" spans="1:5" ht="15.75">
      <c r="A23" s="311" t="s">
        <v>26</v>
      </c>
      <c r="B23" s="309"/>
      <c r="C23" s="305"/>
      <c r="D23" s="305"/>
      <c r="E23" s="305">
        <v>30000</v>
      </c>
    </row>
    <row r="24" spans="1:5" ht="15.75">
      <c r="A24" s="311" t="s">
        <v>27</v>
      </c>
      <c r="B24" s="309"/>
      <c r="C24" s="345">
        <f>IF(C25*0.1&lt;C23,"Exceed 10% Rule","")</f>
      </c>
      <c r="D24" s="345">
        <f>IF(D25*0.1&lt;D23,"Exceed 10% Rule","")</f>
      </c>
      <c r="E24" s="345">
        <f>IF(E25*0.1&lt;E23,"Exceed 10% Rule","")</f>
      </c>
    </row>
    <row r="25" spans="1:5" ht="15.75">
      <c r="A25" s="150" t="s">
        <v>170</v>
      </c>
      <c r="B25" s="309"/>
      <c r="C25" s="306">
        <f>SUM(C15:C23)</f>
        <v>153356</v>
      </c>
      <c r="D25" s="260">
        <f>SUM(D15:D23)</f>
        <v>154996</v>
      </c>
      <c r="E25" s="260">
        <f>SUM(E15:E23)</f>
        <v>696738</v>
      </c>
    </row>
    <row r="26" spans="1:5" ht="15.75">
      <c r="A26" s="37" t="s">
        <v>288</v>
      </c>
      <c r="B26" s="309"/>
      <c r="C26" s="307">
        <f>C13-C25</f>
        <v>277634</v>
      </c>
      <c r="D26" s="259">
        <f>D13-D25</f>
        <v>359738</v>
      </c>
      <c r="E26" s="259">
        <f>E13-E25</f>
        <v>0</v>
      </c>
    </row>
    <row r="27" spans="1:5" ht="15.75">
      <c r="A27" s="23" t="str">
        <f>CONCATENATE("",E1-2,"/",E1-1," Budget Authority Amount:")</f>
        <v>2008/2009 Budget Authority Amount:</v>
      </c>
      <c r="B27" s="328"/>
      <c r="C27" s="328">
        <f>inputOth!B79</f>
        <v>502871</v>
      </c>
      <c r="D27" s="328">
        <f>inputPrYr!D40</f>
        <v>495794</v>
      </c>
      <c r="E27" s="393">
        <f>IF(E26&lt;0,"Budget Violation","")</f>
      </c>
    </row>
    <row r="28" spans="1:5" ht="15.75">
      <c r="A28" s="23" t="str">
        <f>CONCATENATE("Violation of Budget Law for ",E1-2,"/",E1-1,":")</f>
        <v>Violation of Budget Law for 2008/2009:</v>
      </c>
      <c r="B28" s="329"/>
      <c r="C28" s="329" t="str">
        <f>IF(C25&gt;C27,"Yes","No")</f>
        <v>No</v>
      </c>
      <c r="D28" s="329" t="str">
        <f>IF(D25&gt;D27,"Yes","No")</f>
        <v>No</v>
      </c>
      <c r="E28" s="65"/>
    </row>
    <row r="29" spans="1:5" ht="15.75">
      <c r="A29" s="23" t="str">
        <f>CONCATENATE("Possible Cash Violation for ",E1-2,":")</f>
        <v>Possible Cash Violation for 2008:</v>
      </c>
      <c r="B29" s="329"/>
      <c r="C29" s="329" t="str">
        <f>IF(C26&lt;0,"Yes","No")</f>
        <v>No</v>
      </c>
      <c r="D29" s="329"/>
      <c r="E29" s="65"/>
    </row>
    <row r="30" spans="1:5" ht="15.75">
      <c r="A30" s="21"/>
      <c r="B30" s="21"/>
      <c r="C30" s="65"/>
      <c r="D30" s="65"/>
      <c r="E30" s="65"/>
    </row>
    <row r="31" spans="1:5" ht="15.75">
      <c r="A31" s="25" t="s">
        <v>156</v>
      </c>
      <c r="B31" s="25"/>
      <c r="C31" s="101"/>
      <c r="D31" s="101"/>
      <c r="E31" s="101"/>
    </row>
    <row r="32" spans="1:5" ht="15.75">
      <c r="A32" s="21"/>
      <c r="B32" s="21"/>
      <c r="C32" s="93" t="s">
        <v>178</v>
      </c>
      <c r="D32" s="33" t="s">
        <v>314</v>
      </c>
      <c r="E32" s="33" t="s">
        <v>315</v>
      </c>
    </row>
    <row r="33" spans="1:5" ht="15.75">
      <c r="A33" s="137" t="str">
        <f>inputPrYr!B41</f>
        <v>WWTP Improvement</v>
      </c>
      <c r="B33" s="137"/>
      <c r="C33" s="144">
        <f>C5</f>
        <v>2008</v>
      </c>
      <c r="D33" s="144">
        <f>D5</f>
        <v>2009</v>
      </c>
      <c r="E33" s="144">
        <f>E5</f>
        <v>2010</v>
      </c>
    </row>
    <row r="34" spans="1:5" ht="15.75">
      <c r="A34" s="303" t="s">
        <v>287</v>
      </c>
      <c r="B34" s="309"/>
      <c r="C34" s="305">
        <v>0</v>
      </c>
      <c r="D34" s="85">
        <f>C57</f>
        <v>0</v>
      </c>
      <c r="E34" s="85">
        <f>D57</f>
        <v>0</v>
      </c>
    </row>
    <row r="35" spans="1:5" ht="15.75">
      <c r="A35" s="308" t="s">
        <v>289</v>
      </c>
      <c r="B35" s="309"/>
      <c r="C35" s="297"/>
      <c r="D35" s="40"/>
      <c r="E35" s="40"/>
    </row>
    <row r="36" spans="1:5" ht="15.75">
      <c r="A36" s="293" t="s">
        <v>570</v>
      </c>
      <c r="B36" s="310"/>
      <c r="C36" s="305">
        <v>99275</v>
      </c>
      <c r="D36" s="9">
        <v>1050000</v>
      </c>
      <c r="E36" s="9">
        <v>0</v>
      </c>
    </row>
    <row r="37" spans="1:5" ht="15.75">
      <c r="A37" s="293" t="s">
        <v>571</v>
      </c>
      <c r="B37" s="310"/>
      <c r="C37" s="305">
        <v>0</v>
      </c>
      <c r="D37" s="9">
        <v>295000</v>
      </c>
      <c r="E37" s="9">
        <v>0</v>
      </c>
    </row>
    <row r="38" spans="1:5" ht="15.75">
      <c r="A38" s="293"/>
      <c r="B38" s="310"/>
      <c r="C38" s="305"/>
      <c r="D38" s="9"/>
      <c r="E38" s="9"/>
    </row>
    <row r="39" spans="1:5" ht="15.75">
      <c r="A39" s="293"/>
      <c r="B39" s="310"/>
      <c r="C39" s="305"/>
      <c r="D39" s="9"/>
      <c r="E39" s="9"/>
    </row>
    <row r="40" spans="1:5" ht="15.75">
      <c r="A40" s="304" t="s">
        <v>162</v>
      </c>
      <c r="B40" s="310"/>
      <c r="C40" s="305">
        <v>0</v>
      </c>
      <c r="D40" s="9">
        <v>0</v>
      </c>
      <c r="E40" s="9">
        <v>0</v>
      </c>
    </row>
    <row r="41" spans="1:5" ht="15.75">
      <c r="A41" s="313" t="s">
        <v>26</v>
      </c>
      <c r="B41" s="309"/>
      <c r="C41" s="305"/>
      <c r="D41" s="305"/>
      <c r="E41" s="305"/>
    </row>
    <row r="42" spans="1:5" ht="15.75">
      <c r="A42" s="303" t="s">
        <v>28</v>
      </c>
      <c r="B42" s="309"/>
      <c r="C42" s="345">
        <f>IF(C43*0.1&lt;C41,"Exceed 10% Rule","")</f>
      </c>
      <c r="D42" s="345">
        <f>IF(D43*0.1&lt;D41,"Exceed 10% Rule","")</f>
      </c>
      <c r="E42" s="345">
        <f>IF(E43*0.1&lt;E41,"Exceed 10% Rule","")</f>
      </c>
    </row>
    <row r="43" spans="1:5" ht="15.75">
      <c r="A43" s="150" t="s">
        <v>163</v>
      </c>
      <c r="B43" s="309"/>
      <c r="C43" s="306">
        <f>SUM(C36:C41)</f>
        <v>99275</v>
      </c>
      <c r="D43" s="260">
        <f>SUM(D36:D41)</f>
        <v>1345000</v>
      </c>
      <c r="E43" s="260">
        <f>SUM(E36:E41)</f>
        <v>0</v>
      </c>
    </row>
    <row r="44" spans="1:5" ht="15.75">
      <c r="A44" s="150" t="s">
        <v>164</v>
      </c>
      <c r="B44" s="309"/>
      <c r="C44" s="306">
        <f>C34+C43</f>
        <v>99275</v>
      </c>
      <c r="D44" s="260">
        <f>D34+D43</f>
        <v>1345000</v>
      </c>
      <c r="E44" s="260">
        <f>E34+E43</f>
        <v>0</v>
      </c>
    </row>
    <row r="45" spans="1:5" ht="15.75">
      <c r="A45" s="37" t="s">
        <v>166</v>
      </c>
      <c r="B45" s="309"/>
      <c r="C45" s="118"/>
      <c r="D45" s="85"/>
      <c r="E45" s="85"/>
    </row>
    <row r="46" spans="1:5" ht="15.75">
      <c r="A46" s="293" t="s">
        <v>167</v>
      </c>
      <c r="B46" s="310"/>
      <c r="C46" s="305">
        <v>99275</v>
      </c>
      <c r="D46" s="9">
        <v>100000</v>
      </c>
      <c r="E46" s="9">
        <v>0</v>
      </c>
    </row>
    <row r="47" spans="1:5" ht="15.75">
      <c r="A47" s="293" t="s">
        <v>169</v>
      </c>
      <c r="B47" s="310"/>
      <c r="C47" s="305">
        <v>0</v>
      </c>
      <c r="D47" s="9">
        <v>1245000</v>
      </c>
      <c r="E47" s="9">
        <v>0</v>
      </c>
    </row>
    <row r="48" spans="1:5" ht="15.75">
      <c r="A48" s="293"/>
      <c r="B48" s="310"/>
      <c r="C48" s="305"/>
      <c r="D48" s="9"/>
      <c r="E48" s="9"/>
    </row>
    <row r="49" spans="1:5" ht="15.75">
      <c r="A49" s="293"/>
      <c r="B49" s="310"/>
      <c r="C49" s="305"/>
      <c r="D49" s="9"/>
      <c r="E49" s="9"/>
    </row>
    <row r="50" spans="1:5" ht="15.75">
      <c r="A50" s="293"/>
      <c r="B50" s="310"/>
      <c r="C50" s="305"/>
      <c r="D50" s="9"/>
      <c r="E50" s="9"/>
    </row>
    <row r="51" spans="1:5" ht="15.75">
      <c r="A51" s="293"/>
      <c r="B51" s="310"/>
      <c r="C51" s="305"/>
      <c r="D51" s="9"/>
      <c r="E51" s="9"/>
    </row>
    <row r="52" spans="1:5" ht="15.75">
      <c r="A52" s="293"/>
      <c r="B52" s="310"/>
      <c r="C52" s="305"/>
      <c r="D52" s="9"/>
      <c r="E52" s="9"/>
    </row>
    <row r="53" spans="1:5" ht="15.75">
      <c r="A53" s="293"/>
      <c r="B53" s="310"/>
      <c r="C53" s="305"/>
      <c r="D53" s="9"/>
      <c r="E53" s="9"/>
    </row>
    <row r="54" spans="1:5" ht="15.75">
      <c r="A54" s="311" t="s">
        <v>26</v>
      </c>
      <c r="B54" s="309"/>
      <c r="C54" s="305"/>
      <c r="D54" s="305"/>
      <c r="E54" s="305"/>
    </row>
    <row r="55" spans="1:5" ht="15.75">
      <c r="A55" s="311" t="s">
        <v>27</v>
      </c>
      <c r="B55" s="309"/>
      <c r="C55" s="345">
        <f>IF(C56*0.1&lt;C54,"Exceed 10% Rule","")</f>
      </c>
      <c r="D55" s="345">
        <f>IF(D56*0.1&lt;D54,"Exceed 10% Rule","")</f>
      </c>
      <c r="E55" s="345">
        <f>IF(E56*0.1&lt;E54,"Exceed 10% Rule","")</f>
      </c>
    </row>
    <row r="56" spans="1:5" ht="15.75">
      <c r="A56" s="150" t="s">
        <v>170</v>
      </c>
      <c r="B56" s="309"/>
      <c r="C56" s="306">
        <f>SUM(C46:C54)</f>
        <v>99275</v>
      </c>
      <c r="D56" s="260">
        <f>SUM(D46:D54)</f>
        <v>1345000</v>
      </c>
      <c r="E56" s="260">
        <f>SUM(E46:E54)</f>
        <v>0</v>
      </c>
    </row>
    <row r="57" spans="1:5" ht="15.75">
      <c r="A57" s="37" t="s">
        <v>288</v>
      </c>
      <c r="B57" s="309"/>
      <c r="C57" s="307">
        <f>C44-C56</f>
        <v>0</v>
      </c>
      <c r="D57" s="259">
        <f>D44-D56</f>
        <v>0</v>
      </c>
      <c r="E57" s="259">
        <f>E44-E56</f>
        <v>0</v>
      </c>
    </row>
    <row r="58" spans="1:5" ht="15.75">
      <c r="A58" s="23" t="str">
        <f>CONCATENATE("",E1-2,"/",E1-1," Budget Authority Amount:")</f>
        <v>2008/2009 Budget Authority Amount:</v>
      </c>
      <c r="B58" s="328"/>
      <c r="C58" s="328">
        <f>inputOth!B80</f>
        <v>1345000</v>
      </c>
      <c r="D58" s="328">
        <f>inputPrYr!D41</f>
        <v>1345000</v>
      </c>
      <c r="E58" s="392">
        <f>IF(E57&lt;0,"Budget Violation","")</f>
      </c>
    </row>
    <row r="59" spans="1:5" ht="15.75">
      <c r="A59" s="23" t="str">
        <f>CONCATENATE("Violation of Budget Law for ",E1-2,"/",E1-1,":")</f>
        <v>Violation of Budget Law for 2008/2009:</v>
      </c>
      <c r="B59" s="329"/>
      <c r="C59" s="329" t="str">
        <f>IF(C56&gt;C58,"Yes","No")</f>
        <v>No</v>
      </c>
      <c r="D59" s="329" t="str">
        <f>IF(D56&gt;D58,"Yes","No")</f>
        <v>No</v>
      </c>
      <c r="E59" s="21"/>
    </row>
    <row r="60" spans="1:5" ht="15.75">
      <c r="A60" s="23" t="str">
        <f>CONCATENATE("Possible Cash Violation for ",E1-2,":")</f>
        <v>Possible Cash Violation for 2008:</v>
      </c>
      <c r="B60" s="329"/>
      <c r="C60" s="329" t="str">
        <f>IF(C57&lt;0,"Yes","No")</f>
        <v>No</v>
      </c>
      <c r="D60" s="329"/>
      <c r="E60" s="21"/>
    </row>
    <row r="61" spans="1:5" ht="15.75">
      <c r="A61" s="21"/>
      <c r="B61" s="21"/>
      <c r="C61" s="21"/>
      <c r="D61" s="21"/>
      <c r="E61" s="21"/>
    </row>
    <row r="62" spans="1:5" ht="15.75">
      <c r="A62" s="24"/>
      <c r="B62" s="24" t="s">
        <v>173</v>
      </c>
      <c r="C62" s="100">
        <v>14</v>
      </c>
      <c r="D62" s="21"/>
      <c r="E62" s="21"/>
    </row>
  </sheetData>
  <sheetProtection/>
  <conditionalFormatting sqref="C10">
    <cfRule type="cellIs" priority="1" dxfId="271" operator="greaterThan" stopIfTrue="1">
      <formula>$C$12*0.1</formula>
    </cfRule>
  </conditionalFormatting>
  <conditionalFormatting sqref="D10">
    <cfRule type="cellIs" priority="2" dxfId="271" operator="greaterThan" stopIfTrue="1">
      <formula>$D$12*0.1</formula>
    </cfRule>
  </conditionalFormatting>
  <conditionalFormatting sqref="E10">
    <cfRule type="cellIs" priority="3" dxfId="271" operator="greaterThan" stopIfTrue="1">
      <formula>$E$12*0.1</formula>
    </cfRule>
  </conditionalFormatting>
  <conditionalFormatting sqref="C23">
    <cfRule type="cellIs" priority="4" dxfId="271" operator="greaterThan" stopIfTrue="1">
      <formula>$C$25*0.1</formula>
    </cfRule>
  </conditionalFormatting>
  <conditionalFormatting sqref="D23">
    <cfRule type="cellIs" priority="5" dxfId="271" operator="greaterThan" stopIfTrue="1">
      <formula>$D$25*0.1</formula>
    </cfRule>
  </conditionalFormatting>
  <conditionalFormatting sqref="E23">
    <cfRule type="cellIs" priority="6" dxfId="271" operator="greaterThan" stopIfTrue="1">
      <formula>$E$25*0.1</formula>
    </cfRule>
  </conditionalFormatting>
  <conditionalFormatting sqref="C41">
    <cfRule type="cellIs" priority="7" dxfId="271" operator="greaterThan" stopIfTrue="1">
      <formula>$C$43*0.1</formula>
    </cfRule>
  </conditionalFormatting>
  <conditionalFormatting sqref="D41">
    <cfRule type="cellIs" priority="8" dxfId="271" operator="greaterThan" stopIfTrue="1">
      <formula>$D$43*0.1</formula>
    </cfRule>
  </conditionalFormatting>
  <conditionalFormatting sqref="E41">
    <cfRule type="cellIs" priority="9" dxfId="271" operator="greaterThan" stopIfTrue="1">
      <formula>$E$43*0.1</formula>
    </cfRule>
  </conditionalFormatting>
  <conditionalFormatting sqref="C54">
    <cfRule type="cellIs" priority="10" dxfId="271" operator="greaterThan" stopIfTrue="1">
      <formula>$C$56*0.1</formula>
    </cfRule>
  </conditionalFormatting>
  <conditionalFormatting sqref="D54">
    <cfRule type="cellIs" priority="11" dxfId="271" operator="greaterThan" stopIfTrue="1">
      <formula>$D$56*0.1</formula>
    </cfRule>
  </conditionalFormatting>
  <conditionalFormatting sqref="E54">
    <cfRule type="cellIs" priority="12" dxfId="271" operator="greaterThan" stopIfTrue="1">
      <formula>$E$56*0.1</formula>
    </cfRule>
  </conditionalFormatting>
  <conditionalFormatting sqref="D56">
    <cfRule type="cellIs" priority="13" dxfId="0" operator="greaterThan" stopIfTrue="1">
      <formula>$D$58</formula>
    </cfRule>
  </conditionalFormatting>
  <conditionalFormatting sqref="C56">
    <cfRule type="cellIs" priority="14" dxfId="0" operator="greaterThan" stopIfTrue="1">
      <formula>$C$58</formula>
    </cfRule>
  </conditionalFormatting>
  <conditionalFormatting sqref="C57 E57 C26 E26">
    <cfRule type="cellIs" priority="15" dxfId="0" operator="lessThan" stopIfTrue="1">
      <formula>0</formula>
    </cfRule>
  </conditionalFormatting>
  <conditionalFormatting sqref="D25:D26">
    <cfRule type="cellIs" priority="16" dxfId="0" operator="greaterThan" stopIfTrue="1">
      <formula>$D$27</formula>
    </cfRule>
  </conditionalFormatting>
  <conditionalFormatting sqref="C25">
    <cfRule type="cellIs" priority="17" dxfId="0" operator="greaterThan" stopIfTrue="1">
      <formula>$C$27</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oddHeader>
    <oddFooter>&amp;Lrevised 8/21/08</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46">
      <selection activeCell="C65" sqref="C65"/>
    </sheetView>
  </sheetViews>
  <sheetFormatPr defaultColWidth="8.796875" defaultRowHeight="15"/>
  <cols>
    <col min="1" max="1" width="28.796875" style="2" customWidth="1"/>
    <col min="2" max="2" width="9.59765625" style="2" customWidth="1"/>
    <col min="3" max="4" width="15.796875" style="2" customWidth="1"/>
    <col min="5" max="5" width="16.09765625" style="2" customWidth="1"/>
    <col min="6" max="16384" width="8.8984375" style="2" customWidth="1"/>
  </cols>
  <sheetData>
    <row r="1" spans="1:5" ht="15.75">
      <c r="A1" s="72" t="str">
        <f>(inputPrYr!D2)</f>
        <v>City of Ellsworth</v>
      </c>
      <c r="B1" s="72"/>
      <c r="C1" s="21"/>
      <c r="D1" s="21"/>
      <c r="E1" s="138">
        <f>inputPrYr!C5</f>
        <v>2010</v>
      </c>
    </row>
    <row r="2" spans="1:5" ht="15.75">
      <c r="A2" s="21"/>
      <c r="B2" s="21"/>
      <c r="C2" s="21"/>
      <c r="D2" s="21"/>
      <c r="E2" s="24"/>
    </row>
    <row r="3" spans="1:5" ht="15.75">
      <c r="A3" s="90" t="s">
        <v>232</v>
      </c>
      <c r="B3" s="90"/>
      <c r="C3" s="96"/>
      <c r="D3" s="96"/>
      <c r="E3" s="96"/>
    </row>
    <row r="4" spans="1:5" ht="15.75">
      <c r="A4" s="25" t="s">
        <v>156</v>
      </c>
      <c r="B4" s="25"/>
      <c r="C4" s="93" t="s">
        <v>178</v>
      </c>
      <c r="D4" s="33" t="s">
        <v>314</v>
      </c>
      <c r="E4" s="33" t="s">
        <v>315</v>
      </c>
    </row>
    <row r="5" spans="1:5" ht="15.75">
      <c r="A5" s="137">
        <f>inputPrYr!B42</f>
        <v>0</v>
      </c>
      <c r="B5" s="137"/>
      <c r="C5" s="144">
        <f>E1-2</f>
        <v>2008</v>
      </c>
      <c r="D5" s="144">
        <f>E1-1</f>
        <v>2009</v>
      </c>
      <c r="E5" s="144">
        <f>E1</f>
        <v>2010</v>
      </c>
    </row>
    <row r="6" spans="1:5" ht="15.75">
      <c r="A6" s="303" t="s">
        <v>287</v>
      </c>
      <c r="B6" s="309"/>
      <c r="C6" s="305"/>
      <c r="D6" s="85">
        <f>C29</f>
        <v>0</v>
      </c>
      <c r="E6" s="85">
        <f>D29</f>
        <v>0</v>
      </c>
    </row>
    <row r="7" spans="1:5" s="7" customFormat="1" ht="15.75">
      <c r="A7" s="308" t="s">
        <v>289</v>
      </c>
      <c r="B7" s="309"/>
      <c r="C7" s="297"/>
      <c r="D7" s="40"/>
      <c r="E7" s="40"/>
    </row>
    <row r="8" spans="1:5" ht="15.75">
      <c r="A8" s="293"/>
      <c r="B8" s="310"/>
      <c r="C8" s="305"/>
      <c r="D8" s="9"/>
      <c r="E8" s="9"/>
    </row>
    <row r="9" spans="1:5" ht="15.75">
      <c r="A9" s="293"/>
      <c r="B9" s="310"/>
      <c r="C9" s="305"/>
      <c r="D9" s="9"/>
      <c r="E9" s="9"/>
    </row>
    <row r="10" spans="1:5" ht="15.75">
      <c r="A10" s="293"/>
      <c r="B10" s="310"/>
      <c r="C10" s="305"/>
      <c r="D10" s="9"/>
      <c r="E10" s="9"/>
    </row>
    <row r="11" spans="1:5" ht="15.75">
      <c r="A11" s="293"/>
      <c r="B11" s="310"/>
      <c r="C11" s="305"/>
      <c r="D11" s="9"/>
      <c r="E11" s="9"/>
    </row>
    <row r="12" spans="1:5" ht="15.75">
      <c r="A12" s="304" t="s">
        <v>162</v>
      </c>
      <c r="B12" s="310"/>
      <c r="C12" s="305"/>
      <c r="D12" s="9"/>
      <c r="E12" s="9"/>
    </row>
    <row r="13" spans="1:5" ht="15.75">
      <c r="A13" s="313" t="s">
        <v>26</v>
      </c>
      <c r="B13" s="309"/>
      <c r="C13" s="305"/>
      <c r="D13" s="305"/>
      <c r="E13" s="305"/>
    </row>
    <row r="14" spans="1:5" ht="15.75">
      <c r="A14" s="303" t="s">
        <v>28</v>
      </c>
      <c r="B14" s="309"/>
      <c r="C14" s="345">
        <f>IF(C15*0.1&lt;C13,"Exceed 10% Rule","")</f>
      </c>
      <c r="D14" s="345">
        <f>IF(D15*0.1&lt;D13,"Exceed 10% Rule","")</f>
      </c>
      <c r="E14" s="345">
        <f>IF(E15*0.1&lt;E13,"Exceed 10% Rule","")</f>
      </c>
    </row>
    <row r="15" spans="1:5" ht="15.75">
      <c r="A15" s="150" t="s">
        <v>163</v>
      </c>
      <c r="B15" s="309"/>
      <c r="C15" s="306">
        <f>SUM(C8:C13)</f>
        <v>0</v>
      </c>
      <c r="D15" s="260">
        <f>SUM(D8:D13)</f>
        <v>0</v>
      </c>
      <c r="E15" s="260">
        <f>SUM(E8:E13)</f>
        <v>0</v>
      </c>
    </row>
    <row r="16" spans="1:5" ht="15.75">
      <c r="A16" s="150" t="s">
        <v>164</v>
      </c>
      <c r="B16" s="309"/>
      <c r="C16" s="306">
        <f>C6+C15</f>
        <v>0</v>
      </c>
      <c r="D16" s="260">
        <f>D6+D15</f>
        <v>0</v>
      </c>
      <c r="E16" s="260">
        <f>E6+E15</f>
        <v>0</v>
      </c>
    </row>
    <row r="17" spans="1:5" ht="15.75">
      <c r="A17" s="37" t="s">
        <v>166</v>
      </c>
      <c r="B17" s="309"/>
      <c r="C17" s="118"/>
      <c r="D17" s="85"/>
      <c r="E17" s="85"/>
    </row>
    <row r="18" spans="1:5" ht="15.75">
      <c r="A18" s="293"/>
      <c r="B18" s="310"/>
      <c r="C18" s="305"/>
      <c r="D18" s="9"/>
      <c r="E18" s="9"/>
    </row>
    <row r="19" spans="1:5" ht="15.75">
      <c r="A19" s="293"/>
      <c r="B19" s="310"/>
      <c r="C19" s="305"/>
      <c r="D19" s="9"/>
      <c r="E19" s="9"/>
    </row>
    <row r="20" spans="1:5" ht="15.75">
      <c r="A20" s="293"/>
      <c r="B20" s="310"/>
      <c r="C20" s="305"/>
      <c r="D20" s="9"/>
      <c r="E20" s="9"/>
    </row>
    <row r="21" spans="1:5" ht="15.75">
      <c r="A21" s="293"/>
      <c r="B21" s="310"/>
      <c r="C21" s="305"/>
      <c r="D21" s="9"/>
      <c r="E21" s="9"/>
    </row>
    <row r="22" spans="1:5" ht="15.75">
      <c r="A22" s="293"/>
      <c r="B22" s="310"/>
      <c r="C22" s="305"/>
      <c r="D22" s="9"/>
      <c r="E22" s="9"/>
    </row>
    <row r="23" spans="1:5" ht="15.75">
      <c r="A23" s="293"/>
      <c r="B23" s="310"/>
      <c r="C23" s="305"/>
      <c r="D23" s="9"/>
      <c r="E23" s="9"/>
    </row>
    <row r="24" spans="1:5" ht="15.75">
      <c r="A24" s="293"/>
      <c r="B24" s="310"/>
      <c r="C24" s="305"/>
      <c r="D24" s="9"/>
      <c r="E24" s="9"/>
    </row>
    <row r="25" spans="1:5" ht="15.75">
      <c r="A25" s="293"/>
      <c r="B25" s="310"/>
      <c r="C25" s="305"/>
      <c r="D25" s="9"/>
      <c r="E25" s="9"/>
    </row>
    <row r="26" spans="1:5" ht="15.75">
      <c r="A26" s="311" t="s">
        <v>26</v>
      </c>
      <c r="B26" s="309"/>
      <c r="C26" s="305"/>
      <c r="D26" s="305"/>
      <c r="E26" s="305"/>
    </row>
    <row r="27" spans="1:5" ht="15.75">
      <c r="A27" s="311" t="s">
        <v>27</v>
      </c>
      <c r="B27" s="309"/>
      <c r="C27" s="345">
        <f>IF(C28*0.1&lt;C26,"Exceed 10% Rule","")</f>
      </c>
      <c r="D27" s="345">
        <f>IF(D28*0.1&lt;D26,"Exceed 10% Rule","")</f>
      </c>
      <c r="E27" s="345">
        <f>IF(E28*0.1&lt;E26,"Exceed 10% Rule","")</f>
      </c>
    </row>
    <row r="28" spans="1:5" ht="15.75">
      <c r="A28" s="150" t="s">
        <v>170</v>
      </c>
      <c r="B28" s="309"/>
      <c r="C28" s="306">
        <f>SUM(C18:C26)</f>
        <v>0</v>
      </c>
      <c r="D28" s="260">
        <f>SUM(D18:D26)</f>
        <v>0</v>
      </c>
      <c r="E28" s="260">
        <f>SUM(E18:E26)</f>
        <v>0</v>
      </c>
    </row>
    <row r="29" spans="1:5" ht="15.75">
      <c r="A29" s="37" t="s">
        <v>288</v>
      </c>
      <c r="B29" s="309"/>
      <c r="C29" s="307">
        <f>C16-C28</f>
        <v>0</v>
      </c>
      <c r="D29" s="259">
        <f>D16-D28</f>
        <v>0</v>
      </c>
      <c r="E29" s="259">
        <f>E16-E28</f>
        <v>0</v>
      </c>
    </row>
    <row r="30" spans="1:5" ht="15.75">
      <c r="A30" s="23" t="str">
        <f>CONCATENATE("",E1-2,"/",E1-1," Budget Authority Amount:")</f>
        <v>2008/2009 Budget Authority Amount:</v>
      </c>
      <c r="B30" s="328"/>
      <c r="C30" s="328">
        <f>inputOth!B81</f>
        <v>0</v>
      </c>
      <c r="D30" s="328">
        <f>inputPrYr!D42</f>
        <v>0</v>
      </c>
      <c r="E30" s="393">
        <f>IF(E29&lt;0,"Budget Violation","")</f>
      </c>
    </row>
    <row r="31" spans="1:5" ht="15.75">
      <c r="A31" s="23" t="str">
        <f>CONCATENATE("Violation of Budget Law for ",E1-2,"/",E1-1,":")</f>
        <v>Violation of Budget Law for 2008/2009:</v>
      </c>
      <c r="B31" s="329"/>
      <c r="C31" s="329" t="str">
        <f>IF(C28&gt;C30,"Yes","No")</f>
        <v>No</v>
      </c>
      <c r="D31" s="329" t="str">
        <f>IF(D28&gt;D30,"Yes","No")</f>
        <v>No</v>
      </c>
      <c r="E31" s="65"/>
    </row>
    <row r="32" spans="1:5" ht="15.75">
      <c r="A32" s="23" t="str">
        <f>CONCATENATE("Possible Cash Violation for ",E1-2,":")</f>
        <v>Possible Cash Violation for 2008:</v>
      </c>
      <c r="B32" s="329"/>
      <c r="C32" s="329" t="str">
        <f>IF(C29&lt;0,"Yes","No")</f>
        <v>No</v>
      </c>
      <c r="D32" s="329"/>
      <c r="E32" s="65"/>
    </row>
    <row r="33" spans="1:5" ht="15.75">
      <c r="A33" s="21"/>
      <c r="B33" s="21"/>
      <c r="C33" s="65"/>
      <c r="D33" s="65"/>
      <c r="E33" s="65"/>
    </row>
    <row r="34" spans="1:5" ht="15.75">
      <c r="A34" s="25" t="s">
        <v>156</v>
      </c>
      <c r="B34" s="25"/>
      <c r="C34" s="101"/>
      <c r="D34" s="101"/>
      <c r="E34" s="101"/>
    </row>
    <row r="35" spans="1:5" ht="15.75">
      <c r="A35" s="21"/>
      <c r="B35" s="21"/>
      <c r="C35" s="93" t="s">
        <v>178</v>
      </c>
      <c r="D35" s="33" t="s">
        <v>314</v>
      </c>
      <c r="E35" s="33" t="s">
        <v>315</v>
      </c>
    </row>
    <row r="36" spans="1:5" ht="15.75">
      <c r="A36" s="137">
        <f>inputPrYr!B43</f>
        <v>0</v>
      </c>
      <c r="B36" s="137"/>
      <c r="C36" s="144">
        <f>C5</f>
        <v>2008</v>
      </c>
      <c r="D36" s="144">
        <f>D5</f>
        <v>2009</v>
      </c>
      <c r="E36" s="144">
        <f>E5</f>
        <v>2010</v>
      </c>
    </row>
    <row r="37" spans="1:5" ht="15.75">
      <c r="A37" s="303" t="s">
        <v>287</v>
      </c>
      <c r="B37" s="309"/>
      <c r="C37" s="305"/>
      <c r="D37" s="85">
        <f>C60</f>
        <v>0</v>
      </c>
      <c r="E37" s="85">
        <f>D60</f>
        <v>0</v>
      </c>
    </row>
    <row r="38" spans="1:5" s="7" customFormat="1" ht="15.75">
      <c r="A38" s="308" t="s">
        <v>289</v>
      </c>
      <c r="B38" s="309"/>
      <c r="C38" s="297"/>
      <c r="D38" s="40"/>
      <c r="E38" s="40"/>
    </row>
    <row r="39" spans="1:5" ht="15.75">
      <c r="A39" s="293"/>
      <c r="B39" s="310"/>
      <c r="C39" s="305"/>
      <c r="D39" s="9"/>
      <c r="E39" s="9"/>
    </row>
    <row r="40" spans="1:5" ht="15.75">
      <c r="A40" s="293"/>
      <c r="B40" s="310"/>
      <c r="C40" s="305"/>
      <c r="D40" s="9"/>
      <c r="E40" s="9"/>
    </row>
    <row r="41" spans="1:5" ht="15.75">
      <c r="A41" s="293"/>
      <c r="B41" s="310"/>
      <c r="C41" s="305"/>
      <c r="D41" s="9"/>
      <c r="E41" s="9"/>
    </row>
    <row r="42" spans="1:5" ht="15.75">
      <c r="A42" s="293"/>
      <c r="B42" s="310"/>
      <c r="C42" s="305"/>
      <c r="D42" s="9"/>
      <c r="E42" s="9"/>
    </row>
    <row r="43" spans="1:5" ht="15.75">
      <c r="A43" s="304" t="s">
        <v>162</v>
      </c>
      <c r="B43" s="310"/>
      <c r="C43" s="305"/>
      <c r="D43" s="9"/>
      <c r="E43" s="9"/>
    </row>
    <row r="44" spans="1:5" ht="15.75">
      <c r="A44" s="313" t="s">
        <v>26</v>
      </c>
      <c r="B44" s="309"/>
      <c r="C44" s="305"/>
      <c r="D44" s="305"/>
      <c r="E44" s="305"/>
    </row>
    <row r="45" spans="1:5" ht="15.75">
      <c r="A45" s="303" t="s">
        <v>28</v>
      </c>
      <c r="B45" s="309"/>
      <c r="C45" s="345">
        <f>IF(C46*0.1&lt;C44,"Exceed 10% Rule","")</f>
      </c>
      <c r="D45" s="345">
        <f>IF(D46*0.1&lt;D44,"Exceed 10% Rule","")</f>
      </c>
      <c r="E45" s="345">
        <f>IF(E46*0.1&lt;E44,"Exceed 10% Rule","")</f>
      </c>
    </row>
    <row r="46" spans="1:5" ht="15.75">
      <c r="A46" s="150" t="s">
        <v>163</v>
      </c>
      <c r="B46" s="309"/>
      <c r="C46" s="306">
        <f>SUM(C39:C44)</f>
        <v>0</v>
      </c>
      <c r="D46" s="260">
        <f>SUM(D39:D44)</f>
        <v>0</v>
      </c>
      <c r="E46" s="260">
        <f>SUM(E39:E44)</f>
        <v>0</v>
      </c>
    </row>
    <row r="47" spans="1:5" ht="15.75">
      <c r="A47" s="150" t="s">
        <v>164</v>
      </c>
      <c r="B47" s="309"/>
      <c r="C47" s="306">
        <f>C37+C46</f>
        <v>0</v>
      </c>
      <c r="D47" s="260">
        <f>D37+D46</f>
        <v>0</v>
      </c>
      <c r="E47" s="260">
        <f>E37+E46</f>
        <v>0</v>
      </c>
    </row>
    <row r="48" spans="1:5" ht="15.75">
      <c r="A48" s="37" t="s">
        <v>166</v>
      </c>
      <c r="B48" s="309"/>
      <c r="C48" s="118"/>
      <c r="D48" s="85"/>
      <c r="E48" s="85"/>
    </row>
    <row r="49" spans="1:5" ht="15.75">
      <c r="A49" s="293"/>
      <c r="B49" s="310"/>
      <c r="C49" s="305"/>
      <c r="D49" s="9"/>
      <c r="E49" s="9"/>
    </row>
    <row r="50" spans="1:5" ht="15.75">
      <c r="A50" s="293"/>
      <c r="B50" s="310"/>
      <c r="C50" s="305"/>
      <c r="D50" s="9"/>
      <c r="E50" s="9"/>
    </row>
    <row r="51" spans="1:5" ht="15.75">
      <c r="A51" s="293"/>
      <c r="B51" s="310"/>
      <c r="C51" s="305"/>
      <c r="D51" s="9"/>
      <c r="E51" s="9"/>
    </row>
    <row r="52" spans="1:5" ht="15.75">
      <c r="A52" s="293"/>
      <c r="B52" s="310"/>
      <c r="C52" s="305"/>
      <c r="D52" s="9"/>
      <c r="E52" s="9"/>
    </row>
    <row r="53" spans="1:5" ht="15.75">
      <c r="A53" s="293"/>
      <c r="B53" s="310"/>
      <c r="C53" s="305"/>
      <c r="D53" s="9"/>
      <c r="E53" s="9"/>
    </row>
    <row r="54" spans="1:5" ht="15.75">
      <c r="A54" s="293"/>
      <c r="B54" s="310"/>
      <c r="C54" s="305"/>
      <c r="D54" s="9"/>
      <c r="E54" s="9"/>
    </row>
    <row r="55" spans="1:5" ht="15.75">
      <c r="A55" s="293"/>
      <c r="B55" s="310"/>
      <c r="C55" s="305"/>
      <c r="D55" s="9"/>
      <c r="E55" s="9"/>
    </row>
    <row r="56" spans="1:5" ht="15.75">
      <c r="A56" s="293"/>
      <c r="B56" s="310"/>
      <c r="C56" s="305"/>
      <c r="D56" s="9"/>
      <c r="E56" s="9"/>
    </row>
    <row r="57" spans="1:5" ht="15.75">
      <c r="A57" s="311" t="s">
        <v>26</v>
      </c>
      <c r="B57" s="309"/>
      <c r="C57" s="305"/>
      <c r="D57" s="305"/>
      <c r="E57" s="305"/>
    </row>
    <row r="58" spans="1:5" ht="15.75">
      <c r="A58" s="311" t="s">
        <v>27</v>
      </c>
      <c r="B58" s="309"/>
      <c r="C58" s="345">
        <f>IF(C59*0.1&lt;C57,"Exceed 10% Rule","")</f>
      </c>
      <c r="D58" s="345">
        <f>IF(D59*0.1&lt;D57,"Exceed 10% Rule","")</f>
      </c>
      <c r="E58" s="345">
        <f>IF(E59*0.1&lt;E57,"Exceed 10% Rule","")</f>
      </c>
    </row>
    <row r="59" spans="1:5" ht="15.75">
      <c r="A59" s="150" t="s">
        <v>170</v>
      </c>
      <c r="B59" s="309"/>
      <c r="C59" s="306">
        <f>SUM(C49:C57)</f>
        <v>0</v>
      </c>
      <c r="D59" s="260">
        <f>SUM(D49:D57)</f>
        <v>0</v>
      </c>
      <c r="E59" s="260">
        <f>SUM(E49:E57)</f>
        <v>0</v>
      </c>
    </row>
    <row r="60" spans="1:5" ht="15.75">
      <c r="A60" s="37" t="s">
        <v>288</v>
      </c>
      <c r="B60" s="309"/>
      <c r="C60" s="307">
        <f>C47-C59</f>
        <v>0</v>
      </c>
      <c r="D60" s="259">
        <f>D47-D59</f>
        <v>0</v>
      </c>
      <c r="E60" s="259">
        <f>E47-E59</f>
        <v>0</v>
      </c>
    </row>
    <row r="61" spans="1:5" ht="15.75">
      <c r="A61" s="23" t="str">
        <f>CONCATENATE("",E1-2,"/",E1-1," Budget Authority Amount:")</f>
        <v>2008/2009 Budget Authority Amount:</v>
      </c>
      <c r="B61" s="328"/>
      <c r="C61" s="328">
        <f>inputOth!B82</f>
        <v>0</v>
      </c>
      <c r="D61" s="328">
        <f>inputPrYr!D43</f>
        <v>0</v>
      </c>
      <c r="E61" s="392">
        <f>IF(E60&lt;0,"Budget Violation","")</f>
      </c>
    </row>
    <row r="62" spans="1:5" ht="15.75">
      <c r="A62" s="23" t="str">
        <f>CONCATENATE("Violation of Budget Law for ",E1-2,"/",E1-1,":")</f>
        <v>Violation of Budget Law for 2008/2009:</v>
      </c>
      <c r="B62" s="329"/>
      <c r="C62" s="329" t="str">
        <f>IF(C59&gt;C61,"Yes","No")</f>
        <v>No</v>
      </c>
      <c r="D62" s="329" t="str">
        <f>IF(D59&gt;D61,"Yes","No")</f>
        <v>No</v>
      </c>
      <c r="E62" s="21"/>
    </row>
    <row r="63" spans="1:5" ht="15.75">
      <c r="A63" s="23" t="str">
        <f>CONCATENATE("Possible Cash Violation for ",E1-2,":")</f>
        <v>Possible Cash Violation for 2008:</v>
      </c>
      <c r="B63" s="329"/>
      <c r="C63" s="329" t="str">
        <f>IF(C60&lt;0,"Yes","No")</f>
        <v>No</v>
      </c>
      <c r="D63" s="329"/>
      <c r="E63" s="21"/>
    </row>
    <row r="64" spans="1:5" ht="15.75">
      <c r="A64" s="21"/>
      <c r="B64" s="21"/>
      <c r="C64" s="21"/>
      <c r="D64" s="21"/>
      <c r="E64" s="21"/>
    </row>
    <row r="65" spans="1:5" ht="15.75">
      <c r="A65" s="24"/>
      <c r="B65" s="24" t="s">
        <v>173</v>
      </c>
      <c r="C65" s="100"/>
      <c r="D65" s="21"/>
      <c r="E65" s="21"/>
    </row>
  </sheetData>
  <sheetProtection sheet="1" objects="1" scenarios="1"/>
  <conditionalFormatting sqref="C13">
    <cfRule type="cellIs" priority="1" dxfId="271" operator="greaterThan" stopIfTrue="1">
      <formula>$C$15*0.1</formula>
    </cfRule>
  </conditionalFormatting>
  <conditionalFormatting sqref="D13">
    <cfRule type="cellIs" priority="2" dxfId="271" operator="greaterThan" stopIfTrue="1">
      <formula>$D$15*0.1</formula>
    </cfRule>
  </conditionalFormatting>
  <conditionalFormatting sqref="E13">
    <cfRule type="cellIs" priority="3" dxfId="271" operator="greaterThan" stopIfTrue="1">
      <formula>$E$15*0.1</formula>
    </cfRule>
  </conditionalFormatting>
  <conditionalFormatting sqref="C26">
    <cfRule type="cellIs" priority="4" dxfId="271" operator="greaterThan" stopIfTrue="1">
      <formula>$C$28*0.1</formula>
    </cfRule>
  </conditionalFormatting>
  <conditionalFormatting sqref="D26">
    <cfRule type="cellIs" priority="5" dxfId="271" operator="greaterThan" stopIfTrue="1">
      <formula>$D$28*0.1</formula>
    </cfRule>
  </conditionalFormatting>
  <conditionalFormatting sqref="E26">
    <cfRule type="cellIs" priority="6" dxfId="271" operator="greaterThan" stopIfTrue="1">
      <formula>$E$28*0.1</formula>
    </cfRule>
  </conditionalFormatting>
  <conditionalFormatting sqref="C44">
    <cfRule type="cellIs" priority="7" dxfId="271" operator="greaterThan" stopIfTrue="1">
      <formula>$C$46*0.1</formula>
    </cfRule>
  </conditionalFormatting>
  <conditionalFormatting sqref="D44">
    <cfRule type="cellIs" priority="8" dxfId="271" operator="greaterThan" stopIfTrue="1">
      <formula>$D$46*0.1</formula>
    </cfRule>
  </conditionalFormatting>
  <conditionalFormatting sqref="E44">
    <cfRule type="cellIs" priority="9" dxfId="271" operator="greaterThan" stopIfTrue="1">
      <formula>$E$46*0.1</formula>
    </cfRule>
  </conditionalFormatting>
  <conditionalFormatting sqref="C57">
    <cfRule type="cellIs" priority="10" dxfId="271" operator="greaterThan" stopIfTrue="1">
      <formula>$C$59*0.1</formula>
    </cfRule>
  </conditionalFormatting>
  <conditionalFormatting sqref="D57">
    <cfRule type="cellIs" priority="11" dxfId="271" operator="greaterThan" stopIfTrue="1">
      <formula>$D$59*0.1</formula>
    </cfRule>
  </conditionalFormatting>
  <conditionalFormatting sqref="E57">
    <cfRule type="cellIs" priority="12" dxfId="271" operator="greaterThan" stopIfTrue="1">
      <formula>$E$59*0.1</formula>
    </cfRule>
  </conditionalFormatting>
  <conditionalFormatting sqref="C59:D59">
    <cfRule type="cellIs" priority="13" dxfId="0" operator="greaterThan" stopIfTrue="1">
      <formula>$D$61</formula>
    </cfRule>
  </conditionalFormatting>
  <conditionalFormatting sqref="C60 E60 C29 E29">
    <cfRule type="cellIs" priority="14" dxfId="0" operator="lessThan" stopIfTrue="1">
      <formula>0</formula>
    </cfRule>
  </conditionalFormatting>
  <conditionalFormatting sqref="D28">
    <cfRule type="cellIs" priority="15" dxfId="0" operator="greaterThan" stopIfTrue="1">
      <formula>$D$30</formula>
    </cfRule>
  </conditionalFormatting>
  <conditionalFormatting sqref="C28">
    <cfRule type="cellIs" priority="16" dxfId="0" operator="greaterThan" stopIfTrue="1">
      <formula>$C$30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oddFooter>&amp;Lrevised 8/21/08</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E77"/>
  <sheetViews>
    <sheetView tabSelected="1" zoomScalePageLayoutView="0" workbookViewId="0" topLeftCell="A55">
      <selection activeCell="E71" sqref="E71"/>
    </sheetView>
  </sheetViews>
  <sheetFormatPr defaultColWidth="8.796875" defaultRowHeight="15"/>
  <cols>
    <col min="1" max="1" width="27.796875" style="0" customWidth="1"/>
    <col min="2" max="2" width="9.59765625" style="0" customWidth="1"/>
    <col min="3" max="3" width="15.796875" style="0" customWidth="1"/>
    <col min="4" max="4" width="15.796875" style="359" customWidth="1"/>
    <col min="5" max="5" width="16.296875" style="0" customWidth="1"/>
  </cols>
  <sheetData>
    <row r="1" spans="1:5" ht="15.75">
      <c r="A1" s="72" t="str">
        <f>(inputPrYr!D2)</f>
        <v>City of Ellsworth</v>
      </c>
      <c r="B1" s="72"/>
      <c r="C1" s="21"/>
      <c r="D1" s="377"/>
      <c r="E1" s="141">
        <f>inputPrYr!$C$5</f>
        <v>2010</v>
      </c>
    </row>
    <row r="2" spans="1:5" ht="15.75">
      <c r="A2" s="21"/>
      <c r="B2" s="21"/>
      <c r="C2" s="21"/>
      <c r="D2" s="377"/>
      <c r="E2" s="24"/>
    </row>
    <row r="3" spans="1:5" ht="15.75">
      <c r="A3" s="90" t="s">
        <v>232</v>
      </c>
      <c r="B3" s="90"/>
      <c r="C3" s="193"/>
      <c r="D3" s="378"/>
      <c r="E3" s="194"/>
    </row>
    <row r="4" spans="1:5" ht="15.75">
      <c r="A4" s="25" t="s">
        <v>156</v>
      </c>
      <c r="B4" s="25"/>
      <c r="C4" s="367" t="s">
        <v>178</v>
      </c>
      <c r="D4" s="368" t="s">
        <v>314</v>
      </c>
      <c r="E4" s="33" t="s">
        <v>315</v>
      </c>
    </row>
    <row r="5" spans="1:5" ht="15.75">
      <c r="A5" s="137" t="str">
        <f>(inputPrYr!B45)</f>
        <v>Water/Sewer</v>
      </c>
      <c r="B5" s="137"/>
      <c r="C5" s="196">
        <f>E1-2</f>
        <v>2008</v>
      </c>
      <c r="D5" s="196">
        <f>E1-1</f>
        <v>2009</v>
      </c>
      <c r="E5" s="145">
        <f>inputPrYr!$C$5</f>
        <v>2010</v>
      </c>
    </row>
    <row r="6" spans="1:5" ht="15.75">
      <c r="A6" s="37" t="s">
        <v>287</v>
      </c>
      <c r="B6" s="301"/>
      <c r="C6" s="369">
        <v>158595</v>
      </c>
      <c r="D6" s="370">
        <f>C72</f>
        <v>207335</v>
      </c>
      <c r="E6" s="85">
        <f>D72</f>
        <v>113740</v>
      </c>
    </row>
    <row r="7" spans="1:5" ht="15.75">
      <c r="A7" s="300" t="s">
        <v>289</v>
      </c>
      <c r="B7" s="301"/>
      <c r="C7" s="371"/>
      <c r="D7" s="371"/>
      <c r="E7" s="40"/>
    </row>
    <row r="8" spans="1:5" ht="15.75">
      <c r="A8" s="293" t="s">
        <v>572</v>
      </c>
      <c r="B8" s="302"/>
      <c r="C8" s="369">
        <v>97120</v>
      </c>
      <c r="D8" s="369">
        <v>98000</v>
      </c>
      <c r="E8" s="13">
        <v>99000</v>
      </c>
    </row>
    <row r="9" spans="1:5" ht="15.75">
      <c r="A9" s="293" t="s">
        <v>573</v>
      </c>
      <c r="B9" s="302"/>
      <c r="C9" s="369">
        <v>0</v>
      </c>
      <c r="D9" s="369">
        <v>0</v>
      </c>
      <c r="E9" s="13">
        <v>0</v>
      </c>
    </row>
    <row r="10" spans="1:5" ht="15.75">
      <c r="A10" s="293" t="s">
        <v>574</v>
      </c>
      <c r="B10" s="302"/>
      <c r="C10" s="369">
        <v>462100</v>
      </c>
      <c r="D10" s="369">
        <v>460000</v>
      </c>
      <c r="E10" s="13">
        <v>465800</v>
      </c>
    </row>
    <row r="11" spans="1:5" ht="15.75">
      <c r="A11" s="293" t="s">
        <v>575</v>
      </c>
      <c r="B11" s="302"/>
      <c r="C11" s="369">
        <v>4470</v>
      </c>
      <c r="D11" s="369">
        <v>6000</v>
      </c>
      <c r="E11" s="13">
        <v>6500</v>
      </c>
    </row>
    <row r="12" spans="1:5" ht="15.75">
      <c r="A12" s="293" t="s">
        <v>576</v>
      </c>
      <c r="B12" s="302"/>
      <c r="C12" s="369">
        <v>276372</v>
      </c>
      <c r="D12" s="369">
        <v>269000</v>
      </c>
      <c r="E12" s="13">
        <v>273000</v>
      </c>
    </row>
    <row r="13" spans="1:5" ht="15.75">
      <c r="A13" s="293" t="s">
        <v>577</v>
      </c>
      <c r="B13" s="302"/>
      <c r="C13" s="369">
        <v>193298</v>
      </c>
      <c r="D13" s="369">
        <v>185000</v>
      </c>
      <c r="E13" s="13">
        <v>190500</v>
      </c>
    </row>
    <row r="14" spans="1:5" ht="15.75">
      <c r="A14" s="293" t="s">
        <v>578</v>
      </c>
      <c r="B14" s="302"/>
      <c r="C14" s="369">
        <v>6086</v>
      </c>
      <c r="D14" s="369">
        <v>6000</v>
      </c>
      <c r="E14" s="13">
        <v>6500</v>
      </c>
    </row>
    <row r="15" spans="1:5" ht="15.75">
      <c r="A15" s="293" t="s">
        <v>579</v>
      </c>
      <c r="B15" s="302"/>
      <c r="C15" s="369">
        <v>11625</v>
      </c>
      <c r="D15" s="369">
        <v>10000</v>
      </c>
      <c r="E15" s="13">
        <v>10500</v>
      </c>
    </row>
    <row r="16" spans="1:5" ht="15.75">
      <c r="A16" s="293" t="s">
        <v>580</v>
      </c>
      <c r="B16" s="302"/>
      <c r="C16" s="369">
        <v>4054</v>
      </c>
      <c r="D16" s="369">
        <v>1000</v>
      </c>
      <c r="E16" s="13">
        <v>1500</v>
      </c>
    </row>
    <row r="17" spans="1:5" ht="15.75">
      <c r="A17" s="293" t="s">
        <v>513</v>
      </c>
      <c r="B17" s="302"/>
      <c r="C17" s="369">
        <v>6146</v>
      </c>
      <c r="D17" s="369">
        <v>6200</v>
      </c>
      <c r="E17" s="13">
        <v>6210</v>
      </c>
    </row>
    <row r="18" spans="1:5" ht="15.75">
      <c r="A18" s="294" t="s">
        <v>581</v>
      </c>
      <c r="B18" s="302"/>
      <c r="C18" s="369">
        <v>3332</v>
      </c>
      <c r="D18" s="369">
        <v>3600</v>
      </c>
      <c r="E18" s="18">
        <v>3800</v>
      </c>
    </row>
    <row r="19" spans="1:5" ht="15.75">
      <c r="A19" s="295" t="s">
        <v>162</v>
      </c>
      <c r="B19" s="302"/>
      <c r="C19" s="369">
        <v>3263</v>
      </c>
      <c r="D19" s="369">
        <v>1400</v>
      </c>
      <c r="E19" s="13">
        <v>2800</v>
      </c>
    </row>
    <row r="20" spans="1:5" ht="15.75">
      <c r="A20" s="313" t="s">
        <v>26</v>
      </c>
      <c r="B20" s="309"/>
      <c r="C20" s="369">
        <v>2356</v>
      </c>
      <c r="D20" s="369">
        <v>3000</v>
      </c>
      <c r="E20" s="13">
        <v>3000</v>
      </c>
    </row>
    <row r="21" spans="1:5" ht="15.75">
      <c r="A21" s="303" t="s">
        <v>28</v>
      </c>
      <c r="B21" s="309"/>
      <c r="C21" s="373">
        <f>IF(C22*0.1&lt;C20,"Exceed 10% Rule","")</f>
      </c>
      <c r="D21" s="373">
        <f>IF(D22*0.1&lt;D20,"Exceed 10% Rule","")</f>
      </c>
      <c r="E21" s="345">
        <f>IF(E22*0.1&lt;E20,"Exceed 10% Rule","")</f>
      </c>
    </row>
    <row r="22" spans="1:5" ht="15.75">
      <c r="A22" s="150" t="s">
        <v>163</v>
      </c>
      <c r="B22" s="301"/>
      <c r="C22" s="374">
        <f>SUM(C8:C20)</f>
        <v>1070222</v>
      </c>
      <c r="D22" s="374">
        <f>SUM(D8:D20)</f>
        <v>1049200</v>
      </c>
      <c r="E22" s="257">
        <f>SUM(E8:E20)</f>
        <v>1069110</v>
      </c>
    </row>
    <row r="23" spans="1:5" ht="15.75">
      <c r="A23" s="150" t="s">
        <v>164</v>
      </c>
      <c r="B23" s="301"/>
      <c r="C23" s="375">
        <f>C6+C22</f>
        <v>1228817</v>
      </c>
      <c r="D23" s="375">
        <f>D6+D22</f>
        <v>1256535</v>
      </c>
      <c r="E23" s="260">
        <f>E6+E22</f>
        <v>1182850</v>
      </c>
    </row>
    <row r="24" spans="1:5" ht="15.75">
      <c r="A24" s="37" t="s">
        <v>166</v>
      </c>
      <c r="B24" s="301"/>
      <c r="C24" s="371"/>
      <c r="D24" s="371"/>
      <c r="E24" s="40"/>
    </row>
    <row r="25" spans="1:5" ht="15.75">
      <c r="A25" s="293" t="s">
        <v>582</v>
      </c>
      <c r="B25" s="302"/>
      <c r="C25" s="369"/>
      <c r="D25" s="369"/>
      <c r="E25" s="13"/>
    </row>
    <row r="26" spans="1:5" ht="15.75">
      <c r="A26" s="293" t="s">
        <v>174</v>
      </c>
      <c r="B26" s="302"/>
      <c r="C26" s="369">
        <v>56831</v>
      </c>
      <c r="D26" s="369">
        <v>58170</v>
      </c>
      <c r="E26" s="13">
        <v>51000</v>
      </c>
    </row>
    <row r="27" spans="1:5" ht="15.75">
      <c r="A27" s="293" t="s">
        <v>167</v>
      </c>
      <c r="B27" s="302"/>
      <c r="C27" s="369">
        <v>76269</v>
      </c>
      <c r="D27" s="369">
        <v>83600</v>
      </c>
      <c r="E27" s="18">
        <v>74725</v>
      </c>
    </row>
    <row r="28" spans="1:5" ht="15.75">
      <c r="A28" s="293" t="s">
        <v>168</v>
      </c>
      <c r="B28" s="302"/>
      <c r="C28" s="369">
        <v>9640</v>
      </c>
      <c r="D28" s="369">
        <v>6750</v>
      </c>
      <c r="E28" s="18">
        <v>8000</v>
      </c>
    </row>
    <row r="29" spans="1:5" ht="15.75">
      <c r="A29" s="293" t="s">
        <v>340</v>
      </c>
      <c r="B29" s="302"/>
      <c r="C29" s="369">
        <v>0</v>
      </c>
      <c r="D29" s="369">
        <v>0</v>
      </c>
      <c r="E29" s="18">
        <v>0</v>
      </c>
    </row>
    <row r="30" spans="1:5" ht="15.75">
      <c r="A30" s="293" t="s">
        <v>128</v>
      </c>
      <c r="B30" s="302"/>
      <c r="C30" s="406">
        <f>SUM(C25:C29)</f>
        <v>142740</v>
      </c>
      <c r="D30" s="406">
        <f>SUM(D26:D29)</f>
        <v>148520</v>
      </c>
      <c r="E30" s="427">
        <f>SUM(E26:E29)</f>
        <v>133725</v>
      </c>
    </row>
    <row r="31" spans="1:5" ht="15.75">
      <c r="A31" s="293" t="s">
        <v>583</v>
      </c>
      <c r="B31" s="302"/>
      <c r="C31" s="369"/>
      <c r="D31" s="369"/>
      <c r="E31" s="13"/>
    </row>
    <row r="32" spans="1:5" ht="15.75">
      <c r="A32" s="293" t="s">
        <v>174</v>
      </c>
      <c r="B32" s="302"/>
      <c r="C32" s="369">
        <v>92708</v>
      </c>
      <c r="D32" s="369">
        <v>94975</v>
      </c>
      <c r="E32" s="13">
        <v>67750</v>
      </c>
    </row>
    <row r="33" spans="1:5" ht="15.75">
      <c r="A33" s="293" t="s">
        <v>167</v>
      </c>
      <c r="B33" s="302"/>
      <c r="C33" s="369">
        <v>76401</v>
      </c>
      <c r="D33" s="369">
        <v>56470</v>
      </c>
      <c r="E33" s="18">
        <v>69550</v>
      </c>
    </row>
    <row r="34" spans="1:5" ht="15.75">
      <c r="A34" s="293" t="s">
        <v>340</v>
      </c>
      <c r="B34" s="302"/>
      <c r="C34" s="369">
        <v>0</v>
      </c>
      <c r="D34" s="369">
        <v>0</v>
      </c>
      <c r="E34" s="18">
        <v>0</v>
      </c>
    </row>
    <row r="35" spans="1:5" ht="15.75">
      <c r="A35" s="293" t="s">
        <v>168</v>
      </c>
      <c r="B35" s="302"/>
      <c r="C35" s="369">
        <v>62268</v>
      </c>
      <c r="D35" s="369">
        <v>54400</v>
      </c>
      <c r="E35" s="18">
        <v>66500</v>
      </c>
    </row>
    <row r="36" spans="1:5" ht="15.75">
      <c r="A36" s="293" t="s">
        <v>128</v>
      </c>
      <c r="B36" s="302"/>
      <c r="C36" s="406">
        <f>SUM(C32:C35)</f>
        <v>231377</v>
      </c>
      <c r="D36" s="406">
        <f>SUM(D32:D35)</f>
        <v>205845</v>
      </c>
      <c r="E36" s="427">
        <f>SUM(E32:E35)</f>
        <v>203800</v>
      </c>
    </row>
    <row r="37" spans="1:5" ht="15.75">
      <c r="A37" s="293" t="s">
        <v>584</v>
      </c>
      <c r="B37" s="302"/>
      <c r="C37" s="369"/>
      <c r="D37" s="369"/>
      <c r="E37" s="13"/>
    </row>
    <row r="38" spans="1:5" ht="15.75">
      <c r="A38" s="293" t="s">
        <v>174</v>
      </c>
      <c r="B38" s="302"/>
      <c r="C38" s="369">
        <v>32844</v>
      </c>
      <c r="D38" s="369">
        <v>35440</v>
      </c>
      <c r="E38" s="13">
        <v>31200</v>
      </c>
    </row>
    <row r="39" spans="1:5" ht="15.75">
      <c r="A39" s="293" t="s">
        <v>167</v>
      </c>
      <c r="B39" s="302"/>
      <c r="C39" s="369">
        <v>9433</v>
      </c>
      <c r="D39" s="369">
        <v>10650</v>
      </c>
      <c r="E39" s="18">
        <v>11700</v>
      </c>
    </row>
    <row r="40" spans="1:5" ht="15.75">
      <c r="A40" s="293" t="s">
        <v>168</v>
      </c>
      <c r="B40" s="302"/>
      <c r="C40" s="369">
        <v>27185</v>
      </c>
      <c r="D40" s="369">
        <v>28100</v>
      </c>
      <c r="E40" s="18">
        <v>29900</v>
      </c>
    </row>
    <row r="41" spans="1:5" ht="15.75">
      <c r="A41" s="293" t="s">
        <v>169</v>
      </c>
      <c r="B41" s="302"/>
      <c r="C41" s="369">
        <v>3092</v>
      </c>
      <c r="D41" s="369">
        <v>3100</v>
      </c>
      <c r="E41" s="18">
        <v>3100</v>
      </c>
    </row>
    <row r="42" spans="1:5" ht="15.75">
      <c r="A42" s="293" t="s">
        <v>340</v>
      </c>
      <c r="B42" s="302"/>
      <c r="C42" s="369">
        <v>0</v>
      </c>
      <c r="D42" s="369">
        <v>0</v>
      </c>
      <c r="E42" s="18">
        <v>0</v>
      </c>
    </row>
    <row r="43" spans="1:5" ht="15.75">
      <c r="A43" s="293" t="s">
        <v>495</v>
      </c>
      <c r="B43" s="302"/>
      <c r="C43" s="369">
        <v>15000</v>
      </c>
      <c r="D43" s="369">
        <v>25000</v>
      </c>
      <c r="E43" s="18">
        <v>25000</v>
      </c>
    </row>
    <row r="44" spans="1:5" ht="15.75">
      <c r="A44" s="293" t="s">
        <v>523</v>
      </c>
      <c r="B44" s="302"/>
      <c r="C44" s="369">
        <v>33500</v>
      </c>
      <c r="D44" s="369">
        <v>86350</v>
      </c>
      <c r="E44" s="18">
        <v>59000</v>
      </c>
    </row>
    <row r="45" spans="1:5" ht="15.75">
      <c r="A45" s="293" t="s">
        <v>128</v>
      </c>
      <c r="B45" s="302"/>
      <c r="C45" s="406">
        <f>SUM(C38:C44)</f>
        <v>121054</v>
      </c>
      <c r="D45" s="406">
        <f>SUM(D38:D44)</f>
        <v>188640</v>
      </c>
      <c r="E45" s="427">
        <f>SUM(E38:E44)</f>
        <v>159900</v>
      </c>
    </row>
    <row r="46" spans="1:5" ht="15.75">
      <c r="A46" s="293" t="s">
        <v>585</v>
      </c>
      <c r="B46" s="302"/>
      <c r="C46" s="369"/>
      <c r="D46" s="369"/>
      <c r="E46" s="13"/>
    </row>
    <row r="47" spans="1:5" ht="15.75">
      <c r="A47" s="293" t="s">
        <v>174</v>
      </c>
      <c r="B47" s="302"/>
      <c r="C47" s="369">
        <v>64071</v>
      </c>
      <c r="D47" s="369">
        <v>68090</v>
      </c>
      <c r="E47" s="13">
        <v>67000</v>
      </c>
    </row>
    <row r="48" spans="1:5" ht="15.75">
      <c r="A48" s="293" t="s">
        <v>167</v>
      </c>
      <c r="B48" s="302"/>
      <c r="C48" s="369">
        <v>44667</v>
      </c>
      <c r="D48" s="369">
        <v>43950</v>
      </c>
      <c r="E48" s="18">
        <v>58100</v>
      </c>
    </row>
    <row r="49" spans="1:5" ht="15.75">
      <c r="A49" s="293" t="s">
        <v>168</v>
      </c>
      <c r="B49" s="302"/>
      <c r="C49" s="369">
        <v>4529</v>
      </c>
      <c r="D49" s="369">
        <v>3400</v>
      </c>
      <c r="E49" s="18">
        <v>7250</v>
      </c>
    </row>
    <row r="50" spans="1:5" ht="15.75">
      <c r="A50" s="293" t="s">
        <v>340</v>
      </c>
      <c r="B50" s="302"/>
      <c r="C50" s="369">
        <v>0</v>
      </c>
      <c r="D50" s="369">
        <v>0</v>
      </c>
      <c r="E50" s="18">
        <v>0</v>
      </c>
    </row>
    <row r="51" spans="1:5" ht="15.75">
      <c r="A51" s="293" t="s">
        <v>495</v>
      </c>
      <c r="B51" s="302"/>
      <c r="C51" s="369"/>
      <c r="D51" s="369">
        <v>7500</v>
      </c>
      <c r="E51" s="18">
        <v>7000</v>
      </c>
    </row>
    <row r="52" spans="1:5" ht="15.75">
      <c r="A52" s="293" t="s">
        <v>523</v>
      </c>
      <c r="B52" s="302"/>
      <c r="C52" s="369">
        <v>41500</v>
      </c>
      <c r="D52" s="369">
        <v>23000</v>
      </c>
      <c r="E52" s="18">
        <v>18000</v>
      </c>
    </row>
    <row r="53" spans="1:5" ht="15.75">
      <c r="A53" s="293" t="s">
        <v>128</v>
      </c>
      <c r="B53" s="302"/>
      <c r="C53" s="406">
        <f>SUM(C47:C52)</f>
        <v>154767</v>
      </c>
      <c r="D53" s="406">
        <f>SUM(D47:D52)</f>
        <v>145940</v>
      </c>
      <c r="E53" s="427">
        <f>SUM(E47:E52)</f>
        <v>157350</v>
      </c>
    </row>
    <row r="54" spans="1:5" ht="15.75">
      <c r="A54" s="293" t="s">
        <v>586</v>
      </c>
      <c r="B54" s="302"/>
      <c r="C54" s="369"/>
      <c r="D54" s="369"/>
      <c r="E54" s="13"/>
    </row>
    <row r="55" spans="1:5" ht="15.75">
      <c r="A55" s="293" t="s">
        <v>587</v>
      </c>
      <c r="B55" s="302"/>
      <c r="C55" s="369">
        <v>12506</v>
      </c>
      <c r="D55" s="369">
        <f>6200+3600+3400</f>
        <v>13200</v>
      </c>
      <c r="E55" s="13">
        <v>23125</v>
      </c>
    </row>
    <row r="56" spans="1:5" ht="15.75">
      <c r="A56" s="293" t="s">
        <v>588</v>
      </c>
      <c r="B56" s="302"/>
      <c r="C56" s="369">
        <v>5000</v>
      </c>
      <c r="D56" s="369">
        <v>5000</v>
      </c>
      <c r="E56" s="18">
        <v>5000</v>
      </c>
    </row>
    <row r="57" spans="1:5" ht="15.75">
      <c r="A57" s="293" t="s">
        <v>589</v>
      </c>
      <c r="B57" s="302"/>
      <c r="C57" s="369">
        <v>60000</v>
      </c>
      <c r="D57" s="369">
        <v>60000</v>
      </c>
      <c r="E57" s="18">
        <v>0</v>
      </c>
    </row>
    <row r="58" spans="1:5" ht="15.75">
      <c r="A58" s="293" t="s">
        <v>590</v>
      </c>
      <c r="B58" s="302"/>
      <c r="C58" s="369">
        <v>50500</v>
      </c>
      <c r="D58" s="369">
        <v>51600</v>
      </c>
      <c r="E58" s="18">
        <v>59000</v>
      </c>
    </row>
    <row r="59" spans="1:5" ht="15.75">
      <c r="A59" s="293" t="s">
        <v>591</v>
      </c>
      <c r="B59" s="302"/>
      <c r="C59" s="369">
        <v>58000</v>
      </c>
      <c r="D59" s="369">
        <v>63000</v>
      </c>
      <c r="E59" s="18">
        <v>63000</v>
      </c>
    </row>
    <row r="60" spans="1:5" ht="15.75">
      <c r="A60" s="293" t="s">
        <v>592</v>
      </c>
      <c r="B60" s="302"/>
      <c r="C60" s="369">
        <v>160000</v>
      </c>
      <c r="D60" s="369">
        <v>235000</v>
      </c>
      <c r="E60" s="18">
        <v>335000</v>
      </c>
    </row>
    <row r="61" spans="1:5" ht="15.75">
      <c r="A61" s="293" t="s">
        <v>523</v>
      </c>
      <c r="B61" s="302"/>
      <c r="C61" s="369"/>
      <c r="D61" s="369"/>
      <c r="E61" s="18"/>
    </row>
    <row r="62" spans="1:5" ht="15.75">
      <c r="A62" s="407" t="s">
        <v>128</v>
      </c>
      <c r="B62" s="302"/>
      <c r="C62" s="406">
        <f>SUM(C55:C61)</f>
        <v>346006</v>
      </c>
      <c r="D62" s="406">
        <f>SUM(D55:D61)</f>
        <v>427800</v>
      </c>
      <c r="E62" s="427">
        <f>SUM(E55:E61)</f>
        <v>485125</v>
      </c>
    </row>
    <row r="63" spans="1:5" ht="15.75">
      <c r="A63" s="293" t="s">
        <v>593</v>
      </c>
      <c r="B63" s="302"/>
      <c r="C63" s="369"/>
      <c r="D63" s="369"/>
      <c r="E63" s="13"/>
    </row>
    <row r="64" spans="1:5" ht="15.75">
      <c r="A64" s="293" t="s">
        <v>594</v>
      </c>
      <c r="B64" s="302"/>
      <c r="C64" s="369">
        <v>24975</v>
      </c>
      <c r="D64" s="369">
        <v>25000</v>
      </c>
      <c r="E64" s="13">
        <v>26000</v>
      </c>
    </row>
    <row r="65" spans="1:5" ht="15.75">
      <c r="A65" s="293" t="s">
        <v>211</v>
      </c>
      <c r="B65" s="302"/>
      <c r="C65" s="369">
        <v>0</v>
      </c>
      <c r="D65" s="369">
        <v>0</v>
      </c>
      <c r="E65" s="13">
        <v>0</v>
      </c>
    </row>
    <row r="66" spans="1:5" ht="15.75">
      <c r="A66" s="293"/>
      <c r="B66" s="302"/>
      <c r="C66" s="406">
        <f>C64</f>
        <v>24975</v>
      </c>
      <c r="D66" s="406">
        <f>D64</f>
        <v>25000</v>
      </c>
      <c r="E66" s="427">
        <f>E64+E65</f>
        <v>26000</v>
      </c>
    </row>
    <row r="67" spans="1:5" ht="15.75">
      <c r="A67" s="293"/>
      <c r="B67" s="302"/>
      <c r="C67" s="369"/>
      <c r="D67" s="369"/>
      <c r="E67" s="18"/>
    </row>
    <row r="68" spans="1:5" ht="15.75">
      <c r="A68" s="293"/>
      <c r="B68" s="310"/>
      <c r="C68" s="369"/>
      <c r="D68" s="369"/>
      <c r="E68" s="13"/>
    </row>
    <row r="69" spans="1:5" ht="15.75">
      <c r="A69" s="311" t="s">
        <v>26</v>
      </c>
      <c r="B69" s="309"/>
      <c r="C69" s="369">
        <v>563</v>
      </c>
      <c r="D69" s="369">
        <v>1050</v>
      </c>
      <c r="E69" s="13">
        <v>16950</v>
      </c>
    </row>
    <row r="70" spans="1:5" ht="15.75">
      <c r="A70" s="311" t="s">
        <v>27</v>
      </c>
      <c r="B70" s="309"/>
      <c r="C70" s="373">
        <f>IF(C71*0.1&lt;C69,"Exceed 10% Rule","")</f>
      </c>
      <c r="D70" s="373">
        <f>IF(D71*0.1&lt;D69,"Exceed 10% Rule","")</f>
      </c>
      <c r="E70" s="379">
        <f>IF(E71*0.1&lt;E69,"Exceed 10% Rule","")</f>
      </c>
    </row>
    <row r="71" spans="1:5" ht="15.75">
      <c r="A71" s="150" t="s">
        <v>170</v>
      </c>
      <c r="B71" s="301"/>
      <c r="C71" s="374">
        <f>C66+C62+C53+C45+C36+C30+C69</f>
        <v>1021482</v>
      </c>
      <c r="D71" s="374">
        <f>D66+D62+D53+D45+D36+D30+D69</f>
        <v>1142795</v>
      </c>
      <c r="E71" s="374">
        <f>E66+E62+E53+E45+E36+E30+E69</f>
        <v>1182850</v>
      </c>
    </row>
    <row r="72" spans="1:5" ht="15.75">
      <c r="A72" s="37" t="s">
        <v>288</v>
      </c>
      <c r="B72" s="301"/>
      <c r="C72" s="372">
        <f>C23-C71</f>
        <v>207335</v>
      </c>
      <c r="D72" s="372">
        <f>D23-D71</f>
        <v>113740</v>
      </c>
      <c r="E72" s="259">
        <f>E23-E71</f>
        <v>0</v>
      </c>
    </row>
    <row r="73" spans="1:5" ht="15.75">
      <c r="A73" s="23" t="str">
        <f>CONCATENATE("",E1-2," Budget Authority Limited Amount:")</f>
        <v>2008 Budget Authority Limited Amount:</v>
      </c>
      <c r="B73" s="328"/>
      <c r="C73" s="328">
        <f>inputOth!B83</f>
        <v>1173735</v>
      </c>
      <c r="D73" s="328">
        <f>inputPrYr!D45</f>
        <v>1273565</v>
      </c>
      <c r="E73" s="391">
        <f>IF(E72&lt;0,"Budget Violation","")</f>
      </c>
    </row>
    <row r="74" spans="1:5" ht="15.75">
      <c r="A74" s="23" t="str">
        <f>CONCATENATE("Violation of Budget Law for ",E1-2,":")</f>
        <v>Violation of Budget Law for 2008:</v>
      </c>
      <c r="B74" s="329"/>
      <c r="C74" s="329" t="str">
        <f>IF(C71&gt;C73,"Yes","No")</f>
        <v>No</v>
      </c>
      <c r="D74" s="329" t="str">
        <f>IF(D71&gt;D73,"Yes","No")</f>
        <v>No</v>
      </c>
      <c r="E74" s="167"/>
    </row>
    <row r="75" spans="1:5" ht="15.75">
      <c r="A75" s="23" t="str">
        <f>CONCATENATE("Possible Cash Violation for ",E1-2,":")</f>
        <v>Possible Cash Violation for 2008:</v>
      </c>
      <c r="B75" s="329"/>
      <c r="C75" s="329" t="str">
        <f>IF(C72&lt;0,"Yes","No")</f>
        <v>No</v>
      </c>
      <c r="D75" s="329"/>
      <c r="E75" s="167"/>
    </row>
    <row r="76" spans="1:5" ht="15">
      <c r="A76" s="167"/>
      <c r="B76" s="167"/>
      <c r="C76" s="167"/>
      <c r="D76" s="376"/>
      <c r="E76" s="167"/>
    </row>
    <row r="77" spans="1:5" ht="15.75">
      <c r="A77" s="24"/>
      <c r="B77" s="24" t="s">
        <v>173</v>
      </c>
      <c r="C77" s="100">
        <v>15</v>
      </c>
      <c r="D77" s="376"/>
      <c r="E77" s="167"/>
    </row>
  </sheetData>
  <sheetProtection/>
  <conditionalFormatting sqref="E20">
    <cfRule type="cellIs" priority="3" dxfId="271" operator="greaterThan" stopIfTrue="1">
      <formula>$E$22*0.1</formula>
    </cfRule>
  </conditionalFormatting>
  <conditionalFormatting sqref="E69">
    <cfRule type="cellIs" priority="4" dxfId="271" operator="greaterThan" stopIfTrue="1">
      <formula>$E$71*0.1</formula>
    </cfRule>
  </conditionalFormatting>
  <conditionalFormatting sqref="C69">
    <cfRule type="cellIs" priority="5" dxfId="0" operator="greaterThan" stopIfTrue="1">
      <formula>$C$71*0.1</formula>
    </cfRule>
  </conditionalFormatting>
  <conditionalFormatting sqref="D69">
    <cfRule type="cellIs" priority="6" dxfId="0" operator="greaterThan" stopIfTrue="1">
      <formula>$D$71*0.1</formula>
    </cfRule>
  </conditionalFormatting>
  <conditionalFormatting sqref="D71">
    <cfRule type="cellIs" priority="7" dxfId="0" operator="greaterThan" stopIfTrue="1">
      <formula>$D$73</formula>
    </cfRule>
  </conditionalFormatting>
  <conditionalFormatting sqref="C71">
    <cfRule type="cellIs" priority="8" dxfId="0" operator="greaterThan" stopIfTrue="1">
      <formula>$C$73</formula>
    </cfRule>
  </conditionalFormatting>
  <conditionalFormatting sqref="C72 E72">
    <cfRule type="cellIs" priority="9" dxfId="0" operator="lessThan" stopIfTrue="1">
      <formula>0</formula>
    </cfRule>
  </conditionalFormatting>
  <conditionalFormatting sqref="D71">
    <cfRule type="cellIs" priority="2" dxfId="0" operator="greaterThan" stopIfTrue="1">
      <formula>$C$73</formula>
    </cfRule>
  </conditionalFormatting>
  <conditionalFormatting sqref="E7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5" r:id="rId1"/>
  <headerFooter alignWithMargins="0">
    <oddHeader>&amp;RState of Kansas
City</oddHeader>
    <oddFooter>&amp;Lrevised 8/21/08</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2">
      <selection activeCell="E51" sqref="E51"/>
    </sheetView>
  </sheetViews>
  <sheetFormatPr defaultColWidth="8.796875" defaultRowHeight="15"/>
  <cols>
    <col min="1" max="1" width="27.59765625" style="0" customWidth="1"/>
    <col min="2" max="2" width="9.59765625" style="0" customWidth="1"/>
    <col min="3" max="4" width="15.796875" style="0" customWidth="1"/>
    <col min="5" max="5" width="16.19921875" style="0" customWidth="1"/>
  </cols>
  <sheetData>
    <row r="1" spans="1:5" ht="15.75">
      <c r="A1" s="72" t="str">
        <f>(inputPrYr!D2)</f>
        <v>City of Ellsworth</v>
      </c>
      <c r="B1" s="72"/>
      <c r="C1" s="21"/>
      <c r="D1" s="21"/>
      <c r="E1" s="141">
        <f>inputPrYr!$C$5</f>
        <v>2010</v>
      </c>
    </row>
    <row r="2" spans="1:5" ht="15.75">
      <c r="A2" s="21"/>
      <c r="B2" s="21"/>
      <c r="C2" s="21"/>
      <c r="D2" s="21"/>
      <c r="E2" s="24"/>
    </row>
    <row r="3" spans="1:5" ht="15.75">
      <c r="A3" s="90" t="s">
        <v>232</v>
      </c>
      <c r="B3" s="90"/>
      <c r="C3" s="193"/>
      <c r="D3" s="193"/>
      <c r="E3" s="194"/>
    </row>
    <row r="4" spans="1:5" ht="15.75">
      <c r="A4" s="25" t="s">
        <v>156</v>
      </c>
      <c r="B4" s="25"/>
      <c r="C4" s="93" t="s">
        <v>178</v>
      </c>
      <c r="D4" s="33" t="s">
        <v>314</v>
      </c>
      <c r="E4" s="33" t="s">
        <v>315</v>
      </c>
    </row>
    <row r="5" spans="1:5" ht="15.75">
      <c r="A5" s="137" t="str">
        <f>(inputPrYr!B46)</f>
        <v>Recreation &amp; Pool</v>
      </c>
      <c r="B5" s="137"/>
      <c r="C5" s="145">
        <f>E1-2</f>
        <v>2008</v>
      </c>
      <c r="D5" s="145">
        <f>E1-1</f>
        <v>2009</v>
      </c>
      <c r="E5" s="145">
        <f>inputPrYr!$C$5</f>
        <v>2010</v>
      </c>
    </row>
    <row r="6" spans="1:5" ht="15.75">
      <c r="A6" s="37" t="s">
        <v>287</v>
      </c>
      <c r="B6" s="301"/>
      <c r="C6" s="305">
        <v>23935</v>
      </c>
      <c r="D6" s="85">
        <f>C52</f>
        <v>37102</v>
      </c>
      <c r="E6" s="85">
        <f>D52</f>
        <v>37194</v>
      </c>
    </row>
    <row r="7" spans="1:5" ht="15.75">
      <c r="A7" s="300" t="s">
        <v>289</v>
      </c>
      <c r="B7" s="301"/>
      <c r="C7" s="297">
        <v>158</v>
      </c>
      <c r="D7" s="40"/>
      <c r="E7" s="40"/>
    </row>
    <row r="8" spans="1:5" ht="15.75">
      <c r="A8" s="293" t="s">
        <v>595</v>
      </c>
      <c r="B8" s="302"/>
      <c r="C8" s="296">
        <v>390</v>
      </c>
      <c r="D8" s="13">
        <v>500</v>
      </c>
      <c r="E8" s="13">
        <v>550</v>
      </c>
    </row>
    <row r="9" spans="1:5" ht="15.75">
      <c r="A9" s="293" t="s">
        <v>596</v>
      </c>
      <c r="B9" s="302"/>
      <c r="C9" s="296">
        <v>2965</v>
      </c>
      <c r="D9" s="13">
        <v>2100</v>
      </c>
      <c r="E9" s="13">
        <v>2300</v>
      </c>
    </row>
    <row r="10" spans="1:5" ht="15.75">
      <c r="A10" s="293" t="s">
        <v>597</v>
      </c>
      <c r="B10" s="302"/>
      <c r="C10" s="296">
        <v>25053</v>
      </c>
      <c r="D10" s="13">
        <v>25000</v>
      </c>
      <c r="E10" s="13">
        <v>25000</v>
      </c>
    </row>
    <row r="11" spans="1:5" ht="15.75">
      <c r="A11" s="293" t="s">
        <v>598</v>
      </c>
      <c r="B11" s="302"/>
      <c r="C11" s="296">
        <v>350</v>
      </c>
      <c r="D11" s="13">
        <v>350</v>
      </c>
      <c r="E11" s="13">
        <v>350</v>
      </c>
    </row>
    <row r="12" spans="1:5" ht="15.75">
      <c r="A12" s="293" t="s">
        <v>599</v>
      </c>
      <c r="B12" s="302"/>
      <c r="C12" s="296">
        <v>6074</v>
      </c>
      <c r="D12" s="13">
        <v>4500</v>
      </c>
      <c r="E12" s="13">
        <v>5000</v>
      </c>
    </row>
    <row r="13" spans="1:5" ht="15.75">
      <c r="A13" s="293" t="s">
        <v>600</v>
      </c>
      <c r="B13" s="302"/>
      <c r="C13" s="296">
        <v>6944</v>
      </c>
      <c r="D13" s="13">
        <v>8000</v>
      </c>
      <c r="E13" s="13">
        <v>8000</v>
      </c>
    </row>
    <row r="14" spans="1:5" ht="15.75">
      <c r="A14" s="293" t="s">
        <v>601</v>
      </c>
      <c r="B14" s="302"/>
      <c r="C14" s="296">
        <v>15100</v>
      </c>
      <c r="D14" s="13">
        <v>16500</v>
      </c>
      <c r="E14" s="13">
        <v>16500</v>
      </c>
    </row>
    <row r="15" spans="1:5" ht="15.75">
      <c r="A15" s="293" t="s">
        <v>602</v>
      </c>
      <c r="B15" s="302"/>
      <c r="C15" s="296">
        <v>280</v>
      </c>
      <c r="D15" s="13">
        <v>0</v>
      </c>
      <c r="E15" s="13">
        <v>0</v>
      </c>
    </row>
    <row r="16" spans="1:5" ht="15.75">
      <c r="A16" s="293" t="s">
        <v>603</v>
      </c>
      <c r="B16" s="302"/>
      <c r="C16" s="296">
        <v>5620</v>
      </c>
      <c r="D16" s="13">
        <v>5250</v>
      </c>
      <c r="E16" s="13">
        <v>5400</v>
      </c>
    </row>
    <row r="17" spans="1:5" ht="15.75">
      <c r="A17" s="293" t="s">
        <v>471</v>
      </c>
      <c r="B17" s="302"/>
      <c r="C17" s="296">
        <v>450</v>
      </c>
      <c r="D17" s="13">
        <v>450</v>
      </c>
      <c r="E17" s="13">
        <v>450</v>
      </c>
    </row>
    <row r="18" spans="1:5" ht="15.75">
      <c r="A18" s="293" t="s">
        <v>604</v>
      </c>
      <c r="B18" s="302"/>
      <c r="C18" s="296">
        <v>655</v>
      </c>
      <c r="D18" s="13">
        <v>400</v>
      </c>
      <c r="E18" s="13">
        <v>500</v>
      </c>
    </row>
    <row r="19" spans="1:5" ht="15.75">
      <c r="A19" s="293" t="s">
        <v>476</v>
      </c>
      <c r="B19" s="302"/>
      <c r="C19" s="296">
        <v>200</v>
      </c>
      <c r="D19" s="13">
        <v>200</v>
      </c>
      <c r="E19" s="13">
        <v>181</v>
      </c>
    </row>
    <row r="20" spans="1:5" ht="15.75">
      <c r="A20" s="293" t="s">
        <v>605</v>
      </c>
      <c r="B20" s="302"/>
      <c r="C20" s="296">
        <v>1152</v>
      </c>
      <c r="D20" s="13">
        <v>75</v>
      </c>
      <c r="E20" s="13">
        <v>100</v>
      </c>
    </row>
    <row r="21" spans="1:5" ht="15.75">
      <c r="A21" s="293" t="s">
        <v>606</v>
      </c>
      <c r="B21" s="302"/>
      <c r="C21" s="296">
        <v>47250</v>
      </c>
      <c r="D21" s="13">
        <v>49000</v>
      </c>
      <c r="E21" s="13">
        <v>53000</v>
      </c>
    </row>
    <row r="22" spans="1:5" ht="15.75">
      <c r="A22" s="293" t="s">
        <v>607</v>
      </c>
      <c r="B22" s="302"/>
      <c r="C22" s="296">
        <v>58000</v>
      </c>
      <c r="D22" s="13">
        <v>63000</v>
      </c>
      <c r="E22" s="13">
        <v>63000</v>
      </c>
    </row>
    <row r="23" spans="1:5" ht="15.75">
      <c r="A23" s="293"/>
      <c r="B23" s="302"/>
      <c r="C23" s="296"/>
      <c r="D23" s="13"/>
      <c r="E23" s="13"/>
    </row>
    <row r="24" spans="1:5" ht="15.75">
      <c r="A24" s="295" t="s">
        <v>162</v>
      </c>
      <c r="B24" s="302"/>
      <c r="C24" s="296">
        <v>634</v>
      </c>
      <c r="D24" s="13">
        <v>450</v>
      </c>
      <c r="E24" s="13">
        <v>450</v>
      </c>
    </row>
    <row r="25" spans="1:5" ht="15.75">
      <c r="A25" s="150" t="s">
        <v>163</v>
      </c>
      <c r="B25" s="301"/>
      <c r="C25" s="299">
        <f>SUM(C8:C24)</f>
        <v>171117</v>
      </c>
      <c r="D25" s="299">
        <f>SUM(D8:D24)</f>
        <v>175775</v>
      </c>
      <c r="E25" s="299">
        <f>SUM(E8:E24)</f>
        <v>180781</v>
      </c>
    </row>
    <row r="26" spans="1:5" ht="15.75">
      <c r="A26" s="150" t="s">
        <v>164</v>
      </c>
      <c r="B26" s="301"/>
      <c r="C26" s="306">
        <f>C6+C25</f>
        <v>195052</v>
      </c>
      <c r="D26" s="260">
        <f>D6+D25</f>
        <v>212877</v>
      </c>
      <c r="E26" s="260">
        <f>E6+E25</f>
        <v>217975</v>
      </c>
    </row>
    <row r="27" spans="1:5" ht="15.75">
      <c r="A27" s="37" t="s">
        <v>166</v>
      </c>
      <c r="B27" s="301"/>
      <c r="C27" s="297"/>
      <c r="D27" s="40"/>
      <c r="E27" s="40"/>
    </row>
    <row r="28" spans="1:5" ht="15.75">
      <c r="A28" s="293" t="s">
        <v>608</v>
      </c>
      <c r="B28" s="302"/>
      <c r="C28" s="296"/>
      <c r="D28" s="13"/>
      <c r="E28" s="13"/>
    </row>
    <row r="29" spans="1:5" ht="15.75">
      <c r="A29" s="293" t="s">
        <v>174</v>
      </c>
      <c r="B29" s="302"/>
      <c r="C29" s="296">
        <v>53371</v>
      </c>
      <c r="D29" s="13">
        <v>57270</v>
      </c>
      <c r="E29" s="13">
        <v>61300</v>
      </c>
    </row>
    <row r="30" spans="1:5" ht="15.75">
      <c r="A30" s="293" t="s">
        <v>167</v>
      </c>
      <c r="B30" s="302"/>
      <c r="C30" s="298">
        <v>16119</v>
      </c>
      <c r="D30" s="18">
        <v>16294</v>
      </c>
      <c r="E30" s="18">
        <v>21200</v>
      </c>
    </row>
    <row r="31" spans="1:5" ht="15.75">
      <c r="A31" s="293" t="s">
        <v>609</v>
      </c>
      <c r="B31" s="302"/>
      <c r="C31" s="298">
        <v>11653</v>
      </c>
      <c r="D31" s="18">
        <v>9900</v>
      </c>
      <c r="E31" s="18">
        <v>10500</v>
      </c>
    </row>
    <row r="32" spans="1:5" ht="15.75">
      <c r="A32" s="293" t="s">
        <v>169</v>
      </c>
      <c r="B32" s="302"/>
      <c r="C32" s="298">
        <v>4154</v>
      </c>
      <c r="D32" s="18">
        <v>4500</v>
      </c>
      <c r="E32" s="18">
        <v>5620</v>
      </c>
    </row>
    <row r="33" spans="1:5" ht="15.75">
      <c r="A33" s="293" t="s">
        <v>340</v>
      </c>
      <c r="B33" s="302"/>
      <c r="C33" s="298">
        <v>0</v>
      </c>
      <c r="D33" s="18">
        <v>0</v>
      </c>
      <c r="E33" s="18">
        <v>0</v>
      </c>
    </row>
    <row r="34" spans="1:5" ht="15.75">
      <c r="A34" s="293" t="s">
        <v>495</v>
      </c>
      <c r="B34" s="302"/>
      <c r="C34" s="298">
        <v>2000</v>
      </c>
      <c r="D34" s="18">
        <v>2500</v>
      </c>
      <c r="E34" s="18">
        <v>12700</v>
      </c>
    </row>
    <row r="35" spans="1:5" ht="15.75">
      <c r="A35" s="293" t="s">
        <v>523</v>
      </c>
      <c r="B35" s="302"/>
      <c r="C35" s="298">
        <v>5000</v>
      </c>
      <c r="D35" s="18">
        <v>12000</v>
      </c>
      <c r="E35" s="18">
        <v>10000</v>
      </c>
    </row>
    <row r="36" spans="1:5" ht="15.75">
      <c r="A36" s="407" t="s">
        <v>128</v>
      </c>
      <c r="B36" s="302"/>
      <c r="C36" s="298">
        <f>SUM(C28:C35)</f>
        <v>92297</v>
      </c>
      <c r="D36" s="298">
        <f>SUM(D28:D35)</f>
        <v>102464</v>
      </c>
      <c r="E36" s="298">
        <f>SUM(E28:E35)</f>
        <v>121320</v>
      </c>
    </row>
    <row r="37" spans="1:5" ht="15.75">
      <c r="A37" s="293" t="s">
        <v>610</v>
      </c>
      <c r="B37" s="302"/>
      <c r="C37" s="296"/>
      <c r="D37" s="13"/>
      <c r="E37" s="13"/>
    </row>
    <row r="38" spans="1:5" ht="15.75">
      <c r="A38" s="293" t="s">
        <v>174</v>
      </c>
      <c r="B38" s="302"/>
      <c r="C38" s="296">
        <v>41375</v>
      </c>
      <c r="D38" s="13">
        <v>49600</v>
      </c>
      <c r="E38" s="13">
        <v>55650</v>
      </c>
    </row>
    <row r="39" spans="1:5" ht="15.75">
      <c r="A39" s="293" t="s">
        <v>167</v>
      </c>
      <c r="B39" s="302"/>
      <c r="C39" s="298">
        <v>9227</v>
      </c>
      <c r="D39" s="18">
        <v>9219</v>
      </c>
      <c r="E39" s="18">
        <v>12205</v>
      </c>
    </row>
    <row r="40" spans="1:5" ht="15.75">
      <c r="A40" s="293" t="s">
        <v>609</v>
      </c>
      <c r="B40" s="302"/>
      <c r="C40" s="298">
        <v>13910</v>
      </c>
      <c r="D40" s="18">
        <v>13900</v>
      </c>
      <c r="E40" s="18">
        <v>16800</v>
      </c>
    </row>
    <row r="41" spans="1:5" ht="15.75">
      <c r="A41" s="293" t="s">
        <v>169</v>
      </c>
      <c r="B41" s="302"/>
      <c r="C41" s="298">
        <v>0</v>
      </c>
      <c r="D41" s="18">
        <v>250</v>
      </c>
      <c r="E41" s="18">
        <v>1250</v>
      </c>
    </row>
    <row r="42" spans="1:5" ht="15.75">
      <c r="A42" s="293" t="s">
        <v>340</v>
      </c>
      <c r="B42" s="302"/>
      <c r="C42" s="298">
        <v>0</v>
      </c>
      <c r="D42" s="18">
        <v>0</v>
      </c>
      <c r="E42" s="18">
        <v>0</v>
      </c>
    </row>
    <row r="43" spans="1:5" ht="15.75">
      <c r="A43" s="293" t="s">
        <v>495</v>
      </c>
      <c r="B43" s="302"/>
      <c r="C43" s="298">
        <v>0</v>
      </c>
      <c r="D43" s="18"/>
      <c r="E43" s="18">
        <v>2000</v>
      </c>
    </row>
    <row r="44" spans="1:5" ht="15.75">
      <c r="A44" s="407" t="s">
        <v>128</v>
      </c>
      <c r="B44" s="302"/>
      <c r="C44" s="298">
        <f>SUM(C37:C43)</f>
        <v>64512</v>
      </c>
      <c r="D44" s="298">
        <f>SUM(D37:D43)</f>
        <v>72969</v>
      </c>
      <c r="E44" s="298">
        <f>SUM(E37:E43)</f>
        <v>87905</v>
      </c>
    </row>
    <row r="45" spans="1:5" ht="15.75">
      <c r="A45" s="293"/>
      <c r="B45" s="302"/>
      <c r="C45" s="298"/>
      <c r="D45" s="18"/>
      <c r="E45" s="18"/>
    </row>
    <row r="46" spans="1:5" ht="15.75">
      <c r="A46" s="293"/>
      <c r="B46" s="302"/>
      <c r="C46" s="296"/>
      <c r="D46" s="13"/>
      <c r="E46" s="13"/>
    </row>
    <row r="47" spans="1:5" ht="15.75">
      <c r="A47" s="293"/>
      <c r="B47" s="302"/>
      <c r="C47" s="296"/>
      <c r="D47" s="13"/>
      <c r="E47" s="13"/>
    </row>
    <row r="48" spans="1:5" ht="15.75">
      <c r="A48" s="293"/>
      <c r="B48" s="310"/>
      <c r="C48" s="296"/>
      <c r="D48" s="13"/>
      <c r="E48" s="13"/>
    </row>
    <row r="49" spans="1:5" ht="15.75">
      <c r="A49" s="311" t="s">
        <v>26</v>
      </c>
      <c r="B49" s="309"/>
      <c r="C49" s="296">
        <v>1141</v>
      </c>
      <c r="D49" s="296">
        <v>250</v>
      </c>
      <c r="E49" s="296">
        <v>8750</v>
      </c>
    </row>
    <row r="50" spans="1:5" ht="15.75">
      <c r="A50" s="311" t="s">
        <v>27</v>
      </c>
      <c r="B50" s="309"/>
      <c r="C50" s="345">
        <f>IF(C51*0.1&lt;C49,"Exceed 10% Rule","")</f>
      </c>
      <c r="D50" s="345">
        <f>IF(D51*0.1&lt;D49,"Exceed 10% Rule","")</f>
      </c>
      <c r="E50" s="345">
        <f>IF(E51*0.1&lt;E49,"Exceed 10% Rule","")</f>
      </c>
    </row>
    <row r="51" spans="1:5" ht="15.75">
      <c r="A51" s="150" t="s">
        <v>170</v>
      </c>
      <c r="B51" s="301"/>
      <c r="C51" s="299">
        <f>C44+C36+C49</f>
        <v>157950</v>
      </c>
      <c r="D51" s="299">
        <f>D44+D36+D49</f>
        <v>175683</v>
      </c>
      <c r="E51" s="299">
        <f>E44+E36+E49</f>
        <v>217975</v>
      </c>
    </row>
    <row r="52" spans="1:5" ht="15.75">
      <c r="A52" s="37" t="s">
        <v>288</v>
      </c>
      <c r="B52" s="301"/>
      <c r="C52" s="307">
        <f>C26-C51</f>
        <v>37102</v>
      </c>
      <c r="D52" s="259">
        <f>D26-D51</f>
        <v>37194</v>
      </c>
      <c r="E52" s="259">
        <f>E26-E51</f>
        <v>0</v>
      </c>
    </row>
    <row r="53" spans="1:5" ht="15.75">
      <c r="A53" s="23" t="str">
        <f>CONCATENATE("",E1-2," Budget Authority Limited Amount:")</f>
        <v>2008 Budget Authority Limited Amount:</v>
      </c>
      <c r="B53" s="328"/>
      <c r="C53" s="328">
        <f>inputOth!B84</f>
        <v>184442</v>
      </c>
      <c r="D53" s="328">
        <f>inputPrYr!D46</f>
        <v>196515</v>
      </c>
      <c r="E53" s="391">
        <f>IF(E52&lt;0,"Budget Violation","")</f>
      </c>
    </row>
    <row r="54" spans="1:5" ht="15.75">
      <c r="A54" s="23" t="str">
        <f>CONCATENATE("Violation of Budget Law for ",E1-2,":")</f>
        <v>Violation of Budget Law for 2008:</v>
      </c>
      <c r="B54" s="329"/>
      <c r="C54" s="329" t="str">
        <f>IF(C51&gt;C53,"Yes","No")</f>
        <v>No</v>
      </c>
      <c r="D54" s="329" t="str">
        <f>IF(D51&gt;D53,"Yes","No")</f>
        <v>No</v>
      </c>
      <c r="E54" s="167"/>
    </row>
    <row r="55" spans="1:5" ht="15.75">
      <c r="A55" s="23" t="str">
        <f>CONCATENATE("Possible Cash Violation for ",E1-2,":")</f>
        <v>Possible Cash Violation for 2008:</v>
      </c>
      <c r="B55" s="329"/>
      <c r="C55" s="329" t="str">
        <f>IF(C52&lt;0,"Yes","No")</f>
        <v>No</v>
      </c>
      <c r="D55" s="329"/>
      <c r="E55" s="167"/>
    </row>
    <row r="56" spans="1:5" ht="15">
      <c r="A56" s="167"/>
      <c r="B56" s="167"/>
      <c r="C56" s="167"/>
      <c r="D56" s="167"/>
      <c r="E56" s="167"/>
    </row>
    <row r="57" spans="1:5" ht="15.75">
      <c r="A57" s="24"/>
      <c r="B57" s="24" t="s">
        <v>173</v>
      </c>
      <c r="C57" s="100">
        <v>16</v>
      </c>
      <c r="D57" s="167"/>
      <c r="E57" s="167"/>
    </row>
  </sheetData>
  <sheetProtection/>
  <conditionalFormatting sqref="E49">
    <cfRule type="cellIs" priority="5" dxfId="271" operator="greaterThan" stopIfTrue="1">
      <formula>$E$51*0.1</formula>
    </cfRule>
  </conditionalFormatting>
  <conditionalFormatting sqref="D49">
    <cfRule type="cellIs" priority="7" dxfId="271" operator="greaterThan" stopIfTrue="1">
      <formula>$D$51*0.1</formula>
    </cfRule>
  </conditionalFormatting>
  <conditionalFormatting sqref="C49">
    <cfRule type="cellIs" priority="9" dxfId="271" operator="greaterThan" stopIfTrue="1">
      <formula>$C$51*0.1</formula>
    </cfRule>
  </conditionalFormatting>
  <conditionalFormatting sqref="D51">
    <cfRule type="cellIs" priority="10" dxfId="0" operator="greaterThan" stopIfTrue="1">
      <formula>$D$53</formula>
    </cfRule>
  </conditionalFormatting>
  <conditionalFormatting sqref="C51">
    <cfRule type="cellIs" priority="11" dxfId="0" operator="greaterThan" stopIfTrue="1">
      <formula>$C$53</formula>
    </cfRule>
  </conditionalFormatting>
  <conditionalFormatting sqref="C52 E52">
    <cfRule type="cellIs" priority="12" dxfId="0" operator="lessThan" stopIfTrue="1">
      <formula>0</formula>
    </cfRule>
  </conditionalFormatting>
  <conditionalFormatting sqref="D51">
    <cfRule type="cellIs" priority="3" dxfId="0" operator="greaterThan" stopIfTrue="1">
      <formula>$C$53</formula>
    </cfRule>
  </conditionalFormatting>
  <conditionalFormatting sqref="E51">
    <cfRule type="cellIs" priority="2" dxfId="0" operator="lessThan" stopIfTrue="1">
      <formula>0</formula>
    </cfRule>
  </conditionalFormatting>
  <conditionalFormatting sqref="D51">
    <cfRule type="cellIs" priority="1" dxfId="0" operator="greaterThan" stopIfTrue="1">
      <formula>$C$53</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oddFooter>&amp;Lrevised 8/21/08</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E53"/>
  <sheetViews>
    <sheetView zoomScalePageLayoutView="0" workbookViewId="0" topLeftCell="A1">
      <selection activeCell="E45" sqref="E45"/>
    </sheetView>
  </sheetViews>
  <sheetFormatPr defaultColWidth="8.796875" defaultRowHeight="15"/>
  <cols>
    <col min="1" max="1" width="27.59765625" style="0" customWidth="1"/>
    <col min="2" max="2" width="9.59765625" style="0" customWidth="1"/>
    <col min="3" max="4" width="15.796875" style="359" customWidth="1"/>
    <col min="5" max="5" width="16.3984375" style="0" customWidth="1"/>
  </cols>
  <sheetData>
    <row r="1" spans="1:5" ht="15.75">
      <c r="A1" s="72" t="str">
        <f>(inputPrYr!D2)</f>
        <v>City of Ellsworth</v>
      </c>
      <c r="B1" s="72"/>
      <c r="C1" s="377"/>
      <c r="D1" s="377"/>
      <c r="E1" s="141">
        <f>inputPrYr!$C$5</f>
        <v>2010</v>
      </c>
    </row>
    <row r="2" spans="1:5" ht="15.75">
      <c r="A2" s="21"/>
      <c r="B2" s="21"/>
      <c r="C2" s="377"/>
      <c r="D2" s="377"/>
      <c r="E2" s="24"/>
    </row>
    <row r="3" spans="1:5" ht="15.75">
      <c r="A3" s="90" t="s">
        <v>232</v>
      </c>
      <c r="B3" s="90"/>
      <c r="C3" s="378"/>
      <c r="D3" s="378"/>
      <c r="E3" s="194"/>
    </row>
    <row r="4" spans="1:5" ht="15.75">
      <c r="A4" s="25" t="s">
        <v>156</v>
      </c>
      <c r="B4" s="25"/>
      <c r="C4" s="367" t="s">
        <v>178</v>
      </c>
      <c r="D4" s="368" t="s">
        <v>314</v>
      </c>
      <c r="E4" s="33" t="s">
        <v>315</v>
      </c>
    </row>
    <row r="5" spans="1:5" ht="15.75">
      <c r="A5" s="137">
        <f>(inputPrYr!B47)</f>
        <v>0</v>
      </c>
      <c r="B5" s="137"/>
      <c r="C5" s="196">
        <f>E1-2</f>
        <v>2008</v>
      </c>
      <c r="D5" s="196">
        <f>E1-1</f>
        <v>2009</v>
      </c>
      <c r="E5" s="145">
        <f>inputPrYr!$C$5</f>
        <v>2010</v>
      </c>
    </row>
    <row r="6" spans="1:5" ht="15.75">
      <c r="A6" s="37" t="s">
        <v>287</v>
      </c>
      <c r="B6" s="301"/>
      <c r="C6" s="369"/>
      <c r="D6" s="370">
        <f>C48</f>
        <v>0</v>
      </c>
      <c r="E6" s="85">
        <f>D48</f>
        <v>0</v>
      </c>
    </row>
    <row r="7" spans="1:5" ht="15.75">
      <c r="A7" s="300" t="s">
        <v>289</v>
      </c>
      <c r="B7" s="301"/>
      <c r="C7" s="371"/>
      <c r="D7" s="371"/>
      <c r="E7" s="40"/>
    </row>
    <row r="8" spans="1:5" ht="15.75">
      <c r="A8" s="293"/>
      <c r="B8" s="302"/>
      <c r="C8" s="369"/>
      <c r="D8" s="369"/>
      <c r="E8" s="13"/>
    </row>
    <row r="9" spans="1:5" ht="15.75">
      <c r="A9" s="293"/>
      <c r="B9" s="302"/>
      <c r="C9" s="369"/>
      <c r="D9" s="369"/>
      <c r="E9" s="13"/>
    </row>
    <row r="10" spans="1:5" ht="15.75">
      <c r="A10" s="293"/>
      <c r="B10" s="302"/>
      <c r="C10" s="369"/>
      <c r="D10" s="369"/>
      <c r="E10" s="13"/>
    </row>
    <row r="11" spans="1:5" ht="15.75">
      <c r="A11" s="293"/>
      <c r="B11" s="302"/>
      <c r="C11" s="369"/>
      <c r="D11" s="369"/>
      <c r="E11" s="13"/>
    </row>
    <row r="12" spans="1:5" ht="15.75">
      <c r="A12" s="293"/>
      <c r="B12" s="302"/>
      <c r="C12" s="369"/>
      <c r="D12" s="369"/>
      <c r="E12" s="13"/>
    </row>
    <row r="13" spans="1:5" ht="15.75">
      <c r="A13" s="293"/>
      <c r="B13" s="302"/>
      <c r="C13" s="369"/>
      <c r="D13" s="369"/>
      <c r="E13" s="13"/>
    </row>
    <row r="14" spans="1:5" ht="15.75">
      <c r="A14" s="294"/>
      <c r="B14" s="302"/>
      <c r="C14" s="369"/>
      <c r="D14" s="369"/>
      <c r="E14" s="18"/>
    </row>
    <row r="15" spans="1:5" ht="15.75">
      <c r="A15" s="293"/>
      <c r="B15" s="302"/>
      <c r="C15" s="369"/>
      <c r="D15" s="369"/>
      <c r="E15" s="13"/>
    </row>
    <row r="16" spans="1:5" ht="15.75">
      <c r="A16" s="295" t="s">
        <v>162</v>
      </c>
      <c r="B16" s="302"/>
      <c r="C16" s="369"/>
      <c r="D16" s="369"/>
      <c r="E16" s="13"/>
    </row>
    <row r="17" spans="1:5" ht="15.75">
      <c r="A17" s="313" t="s">
        <v>26</v>
      </c>
      <c r="B17" s="309"/>
      <c r="C17" s="369"/>
      <c r="D17" s="369"/>
      <c r="E17" s="13"/>
    </row>
    <row r="18" spans="1:5" ht="15.75">
      <c r="A18" s="303" t="s">
        <v>28</v>
      </c>
      <c r="B18" s="309"/>
      <c r="C18" s="373">
        <f>IF(C19*0.1&lt;C17,"Exceed 10% Rule","")</f>
      </c>
      <c r="D18" s="373">
        <f>IF(D19*0.1&lt;D17,"Exceed 10% Rule","")</f>
      </c>
      <c r="E18" s="345">
        <f>IF(E19*0.1&lt;E17,"Exceed 10% Rule","")</f>
      </c>
    </row>
    <row r="19" spans="1:5" ht="15.75">
      <c r="A19" s="150" t="s">
        <v>163</v>
      </c>
      <c r="B19" s="301"/>
      <c r="C19" s="374">
        <f>SUM(C8:C17)</f>
        <v>0</v>
      </c>
      <c r="D19" s="374">
        <f>SUM(D8:D17)</f>
        <v>0</v>
      </c>
      <c r="E19" s="257">
        <f>SUM(E8:E17)</f>
        <v>0</v>
      </c>
    </row>
    <row r="20" spans="1:5" ht="15.75">
      <c r="A20" s="150" t="s">
        <v>164</v>
      </c>
      <c r="B20" s="301"/>
      <c r="C20" s="375">
        <f>C6+C19</f>
        <v>0</v>
      </c>
      <c r="D20" s="375">
        <f>D6+D19</f>
        <v>0</v>
      </c>
      <c r="E20" s="260">
        <f>E6+E19</f>
        <v>0</v>
      </c>
    </row>
    <row r="21" spans="1:5" ht="15.75">
      <c r="A21" s="37" t="s">
        <v>166</v>
      </c>
      <c r="B21" s="301"/>
      <c r="C21" s="371"/>
      <c r="D21" s="371"/>
      <c r="E21" s="40"/>
    </row>
    <row r="22" spans="1:5" ht="15.75">
      <c r="A22" s="293" t="s">
        <v>344</v>
      </c>
      <c r="B22" s="302"/>
      <c r="C22" s="369"/>
      <c r="D22" s="369"/>
      <c r="E22" s="13"/>
    </row>
    <row r="23" spans="1:5" ht="15.75">
      <c r="A23" s="293" t="s">
        <v>50</v>
      </c>
      <c r="B23" s="302"/>
      <c r="C23" s="369"/>
      <c r="D23" s="369"/>
      <c r="E23" s="13"/>
    </row>
    <row r="24" spans="1:5" ht="15.75">
      <c r="A24" s="293"/>
      <c r="B24" s="302"/>
      <c r="C24" s="369"/>
      <c r="D24" s="369"/>
      <c r="E24" s="18"/>
    </row>
    <row r="25" spans="1:5" ht="15.75">
      <c r="A25" s="293"/>
      <c r="B25" s="302"/>
      <c r="C25" s="369"/>
      <c r="D25" s="369"/>
      <c r="E25" s="18"/>
    </row>
    <row r="26" spans="1:5" ht="15.75">
      <c r="A26" s="293"/>
      <c r="B26" s="302"/>
      <c r="C26" s="369"/>
      <c r="D26" s="369"/>
      <c r="E26" s="18"/>
    </row>
    <row r="27" spans="1:5" ht="15.75">
      <c r="A27" s="293"/>
      <c r="B27" s="302"/>
      <c r="C27" s="369"/>
      <c r="D27" s="369"/>
      <c r="E27" s="18"/>
    </row>
    <row r="28" spans="1:5" ht="15.75">
      <c r="A28" s="293"/>
      <c r="B28" s="302"/>
      <c r="C28" s="369"/>
      <c r="D28" s="369"/>
      <c r="E28" s="18"/>
    </row>
    <row r="29" spans="1:5" ht="15.75">
      <c r="A29" s="293"/>
      <c r="B29" s="302"/>
      <c r="C29" s="369"/>
      <c r="D29" s="369"/>
      <c r="E29" s="18"/>
    </row>
    <row r="30" spans="1:5" ht="15.75">
      <c r="A30" s="293"/>
      <c r="B30" s="302"/>
      <c r="C30" s="369"/>
      <c r="D30" s="369"/>
      <c r="E30" s="18"/>
    </row>
    <row r="31" spans="1:5" ht="15.75">
      <c r="A31" s="293"/>
      <c r="B31" s="302"/>
      <c r="C31" s="369"/>
      <c r="D31" s="369"/>
      <c r="E31" s="18"/>
    </row>
    <row r="32" spans="1:5" ht="15.75">
      <c r="A32" s="293"/>
      <c r="B32" s="302"/>
      <c r="C32" s="369"/>
      <c r="D32" s="369"/>
      <c r="E32" s="18"/>
    </row>
    <row r="33" spans="1:5" ht="15.75">
      <c r="A33" s="293"/>
      <c r="B33" s="302"/>
      <c r="C33" s="369"/>
      <c r="D33" s="369"/>
      <c r="E33" s="18"/>
    </row>
    <row r="34" spans="1:5" ht="15.75">
      <c r="A34" s="293"/>
      <c r="B34" s="302"/>
      <c r="C34" s="369"/>
      <c r="D34" s="369"/>
      <c r="E34" s="18"/>
    </row>
    <row r="35" spans="1:5" ht="15.75">
      <c r="A35" s="293"/>
      <c r="B35" s="302"/>
      <c r="C35" s="369"/>
      <c r="D35" s="369"/>
      <c r="E35" s="13"/>
    </row>
    <row r="36" spans="1:5" ht="15.75">
      <c r="A36" s="293"/>
      <c r="B36" s="302"/>
      <c r="C36" s="369"/>
      <c r="D36" s="369"/>
      <c r="E36" s="13"/>
    </row>
    <row r="37" spans="1:5" ht="15.75">
      <c r="A37" s="293"/>
      <c r="B37" s="302"/>
      <c r="C37" s="369"/>
      <c r="D37" s="369"/>
      <c r="E37" s="13"/>
    </row>
    <row r="38" spans="1:5" ht="15.75">
      <c r="A38" s="293"/>
      <c r="B38" s="302"/>
      <c r="C38" s="369"/>
      <c r="D38" s="369"/>
      <c r="E38" s="13"/>
    </row>
    <row r="39" spans="1:5" ht="15.75">
      <c r="A39" s="293"/>
      <c r="B39" s="302"/>
      <c r="C39" s="369"/>
      <c r="D39" s="369"/>
      <c r="E39" s="13"/>
    </row>
    <row r="40" spans="1:5" ht="15.75">
      <c r="A40" s="293"/>
      <c r="B40" s="302"/>
      <c r="C40" s="369"/>
      <c r="D40" s="369"/>
      <c r="E40" s="13"/>
    </row>
    <row r="41" spans="1:5" ht="15.75">
      <c r="A41" s="293"/>
      <c r="B41" s="302"/>
      <c r="C41" s="369"/>
      <c r="D41" s="369"/>
      <c r="E41" s="13"/>
    </row>
    <row r="42" spans="1:5" ht="15.75">
      <c r="A42" s="293"/>
      <c r="B42" s="302"/>
      <c r="C42" s="369"/>
      <c r="D42" s="369"/>
      <c r="E42" s="13"/>
    </row>
    <row r="43" spans="1:5" ht="15.75">
      <c r="A43" s="293"/>
      <c r="B43" s="302"/>
      <c r="C43" s="369"/>
      <c r="D43" s="369"/>
      <c r="E43" s="13"/>
    </row>
    <row r="44" spans="1:5" ht="15.75">
      <c r="A44" s="293"/>
      <c r="B44" s="310"/>
      <c r="C44" s="369"/>
      <c r="D44" s="369"/>
      <c r="E44" s="13"/>
    </row>
    <row r="45" spans="1:5" ht="15.75">
      <c r="A45" s="311" t="s">
        <v>26</v>
      </c>
      <c r="B45" s="309"/>
      <c r="C45" s="369"/>
      <c r="D45" s="369"/>
      <c r="E45" s="13"/>
    </row>
    <row r="46" spans="1:5" ht="15.75">
      <c r="A46" s="311" t="s">
        <v>27</v>
      </c>
      <c r="B46" s="309"/>
      <c r="C46" s="373">
        <f>IF(C47*0.1&lt;C45,"Exceed 10% Rule","")</f>
      </c>
      <c r="D46" s="373">
        <f>IF(D47*0.1&lt;D45,"Exceed 10% Rule","")</f>
      </c>
      <c r="E46" s="379">
        <f>IF(E47*0.1&lt;E45,"Exceed 10% Rule","")</f>
      </c>
    </row>
    <row r="47" spans="1:5" ht="15.75">
      <c r="A47" s="150" t="s">
        <v>170</v>
      </c>
      <c r="B47" s="301"/>
      <c r="C47" s="374">
        <f>SUM(C22:C45)</f>
        <v>0</v>
      </c>
      <c r="D47" s="374">
        <f>SUM(D22:D45)</f>
        <v>0</v>
      </c>
      <c r="E47" s="257">
        <f>SUM(E22:E45)</f>
        <v>0</v>
      </c>
    </row>
    <row r="48" spans="1:5" ht="15.75">
      <c r="A48" s="37" t="s">
        <v>288</v>
      </c>
      <c r="B48" s="301"/>
      <c r="C48" s="372">
        <f>C20-C47</f>
        <v>0</v>
      </c>
      <c r="D48" s="372">
        <f>D20-D47</f>
        <v>0</v>
      </c>
      <c r="E48" s="259">
        <f>E20-E47</f>
        <v>0</v>
      </c>
    </row>
    <row r="49" spans="1:5" ht="15.75">
      <c r="A49" s="23" t="str">
        <f>CONCATENATE("",E1-2,"/",E1-1," Budget Authority Amount:")</f>
        <v>2008/2009 Budget Authority Amount:</v>
      </c>
      <c r="B49" s="328"/>
      <c r="C49" s="328">
        <f>inputOth!B85</f>
        <v>0</v>
      </c>
      <c r="D49" s="328">
        <f>inputPrYr!D47</f>
        <v>0</v>
      </c>
      <c r="E49" s="391">
        <f>IF(E48&lt;0,"Budget Violation","")</f>
      </c>
    </row>
    <row r="50" spans="1:5" ht="15.75">
      <c r="A50" s="23" t="str">
        <f>CONCATENATE("Violation of Budget Law for ",E1-2,"/",E1-1,":")</f>
        <v>Violation of Budget Law for 2008/2009:</v>
      </c>
      <c r="B50" s="329"/>
      <c r="C50" s="329" t="str">
        <f>IF(C47&gt;C49,"Yes","No")</f>
        <v>No</v>
      </c>
      <c r="D50" s="329" t="str">
        <f>IF(D47&gt;D49,"Yes","No")</f>
        <v>No</v>
      </c>
      <c r="E50" s="167"/>
    </row>
    <row r="51" spans="1:5" ht="15.75">
      <c r="A51" s="23" t="str">
        <f>CONCATENATE("Possible Cash Violation for ",E1-2,":")</f>
        <v>Possible Cash Violation for 2008:</v>
      </c>
      <c r="B51" s="329"/>
      <c r="C51" s="329" t="str">
        <f>IF(D48&lt;0,"Yes","No")</f>
        <v>No</v>
      </c>
      <c r="D51" s="329"/>
      <c r="E51" s="167"/>
    </row>
    <row r="52" spans="1:5" ht="15">
      <c r="A52" s="167"/>
      <c r="B52" s="167"/>
      <c r="C52" s="376"/>
      <c r="D52" s="376"/>
      <c r="E52" s="167"/>
    </row>
    <row r="53" spans="1:5" ht="15.75">
      <c r="A53" s="24"/>
      <c r="B53" s="24" t="s">
        <v>173</v>
      </c>
      <c r="C53" s="100"/>
      <c r="D53" s="376"/>
      <c r="E53" s="167"/>
    </row>
  </sheetData>
  <sheetProtection sheet="1" objects="1" scenarios="1"/>
  <conditionalFormatting sqref="E17">
    <cfRule type="cellIs" priority="1" dxfId="271" operator="greaterThan" stopIfTrue="1">
      <formula>$E$19*0.1</formula>
    </cfRule>
  </conditionalFormatting>
  <conditionalFormatting sqref="E45">
    <cfRule type="cellIs" priority="2" dxfId="271" operator="greaterThan" stopIfTrue="1">
      <formula>$E$47*0.1</formula>
    </cfRule>
  </conditionalFormatting>
  <conditionalFormatting sqref="C45">
    <cfRule type="cellIs" priority="3" dxfId="0" operator="greaterThan" stopIfTrue="1">
      <formula>$C$47*0.1</formula>
    </cfRule>
  </conditionalFormatting>
  <conditionalFormatting sqref="D45">
    <cfRule type="cellIs" priority="4" dxfId="0" operator="greaterThan" stopIfTrue="1">
      <formula>$D$47*0.1</formula>
    </cfRule>
  </conditionalFormatting>
  <conditionalFormatting sqref="D47">
    <cfRule type="cellIs" priority="5" dxfId="0" operator="greaterThan" stopIfTrue="1">
      <formula>$D$49</formula>
    </cfRule>
  </conditionalFormatting>
  <conditionalFormatting sqref="C47">
    <cfRule type="cellIs" priority="6" dxfId="0" operator="greaterThan" stopIfTrue="1">
      <formula>$C$49</formula>
    </cfRule>
  </conditionalFormatting>
  <conditionalFormatting sqref="C48 E48">
    <cfRule type="cellIs" priority="7"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oddFooter>&amp;Lrevised 8/21/08</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E53"/>
  <sheetViews>
    <sheetView zoomScalePageLayoutView="0" workbookViewId="0" topLeftCell="B1">
      <selection activeCell="E45" sqref="E45"/>
    </sheetView>
  </sheetViews>
  <sheetFormatPr defaultColWidth="8.796875" defaultRowHeight="15"/>
  <cols>
    <col min="1" max="1" width="27.8984375" style="0" customWidth="1"/>
    <col min="2" max="2" width="9.59765625" style="0" customWidth="1"/>
    <col min="3" max="4" width="15.796875" style="359" customWidth="1"/>
    <col min="5" max="5" width="16.59765625" style="0" customWidth="1"/>
  </cols>
  <sheetData>
    <row r="1" spans="1:5" ht="15.75">
      <c r="A1" s="72" t="str">
        <f>(inputPrYr!D2)</f>
        <v>City of Ellsworth</v>
      </c>
      <c r="B1" s="72"/>
      <c r="C1" s="377"/>
      <c r="D1" s="377"/>
      <c r="E1" s="141">
        <f>inputPrYr!$C$5</f>
        <v>2010</v>
      </c>
    </row>
    <row r="2" spans="1:5" ht="15.75">
      <c r="A2" s="21"/>
      <c r="B2" s="21"/>
      <c r="C2" s="377"/>
      <c r="D2" s="377"/>
      <c r="E2" s="24"/>
    </row>
    <row r="3" spans="1:5" ht="15.75">
      <c r="A3" s="90" t="s">
        <v>232</v>
      </c>
      <c r="B3" s="90"/>
      <c r="C3" s="378"/>
      <c r="D3" s="378"/>
      <c r="E3" s="194"/>
    </row>
    <row r="4" spans="1:5" ht="15.75">
      <c r="A4" s="25" t="s">
        <v>156</v>
      </c>
      <c r="B4" s="25"/>
      <c r="C4" s="367" t="s">
        <v>178</v>
      </c>
      <c r="D4" s="368" t="s">
        <v>314</v>
      </c>
      <c r="E4" s="33" t="s">
        <v>315</v>
      </c>
    </row>
    <row r="5" spans="1:5" ht="15.75">
      <c r="A5" s="137">
        <f>(inputPrYr!B48)</f>
        <v>0</v>
      </c>
      <c r="B5" s="137"/>
      <c r="C5" s="196">
        <f>E1-2</f>
        <v>2008</v>
      </c>
      <c r="D5" s="196">
        <f>E1-1</f>
        <v>2009</v>
      </c>
      <c r="E5" s="145">
        <f>inputPrYr!$C$5</f>
        <v>2010</v>
      </c>
    </row>
    <row r="6" spans="1:5" ht="15.75">
      <c r="A6" s="37" t="s">
        <v>287</v>
      </c>
      <c r="B6" s="301"/>
      <c r="C6" s="369"/>
      <c r="D6" s="370">
        <f>C48</f>
        <v>0</v>
      </c>
      <c r="E6" s="85">
        <f>D48</f>
        <v>0</v>
      </c>
    </row>
    <row r="7" spans="1:5" ht="15.75">
      <c r="A7" s="300" t="s">
        <v>289</v>
      </c>
      <c r="B7" s="301"/>
      <c r="C7" s="371"/>
      <c r="D7" s="371"/>
      <c r="E7" s="40"/>
    </row>
    <row r="8" spans="1:5" ht="15.75">
      <c r="A8" s="293"/>
      <c r="B8" s="302"/>
      <c r="C8" s="369"/>
      <c r="D8" s="369"/>
      <c r="E8" s="13"/>
    </row>
    <row r="9" spans="1:5" ht="15.75">
      <c r="A9" s="293"/>
      <c r="B9" s="302"/>
      <c r="C9" s="369"/>
      <c r="D9" s="369"/>
      <c r="E9" s="13"/>
    </row>
    <row r="10" spans="1:5" ht="15.75">
      <c r="A10" s="293"/>
      <c r="B10" s="302"/>
      <c r="C10" s="369"/>
      <c r="D10" s="369"/>
      <c r="E10" s="13"/>
    </row>
    <row r="11" spans="1:5" ht="15.75">
      <c r="A11" s="293"/>
      <c r="B11" s="302"/>
      <c r="C11" s="369"/>
      <c r="D11" s="369"/>
      <c r="E11" s="13"/>
    </row>
    <row r="12" spans="1:5" ht="15.75">
      <c r="A12" s="293"/>
      <c r="B12" s="302"/>
      <c r="C12" s="369"/>
      <c r="D12" s="369"/>
      <c r="E12" s="13"/>
    </row>
    <row r="13" spans="1:5" ht="15.75">
      <c r="A13" s="293"/>
      <c r="B13" s="302"/>
      <c r="C13" s="369"/>
      <c r="D13" s="369"/>
      <c r="E13" s="13"/>
    </row>
    <row r="14" spans="1:5" ht="15.75">
      <c r="A14" s="294"/>
      <c r="B14" s="302"/>
      <c r="C14" s="369"/>
      <c r="D14" s="369"/>
      <c r="E14" s="18"/>
    </row>
    <row r="15" spans="1:5" ht="15.75">
      <c r="A15" s="293"/>
      <c r="B15" s="302"/>
      <c r="C15" s="369"/>
      <c r="D15" s="369"/>
      <c r="E15" s="13"/>
    </row>
    <row r="16" spans="1:5" ht="15.75">
      <c r="A16" s="295" t="s">
        <v>162</v>
      </c>
      <c r="B16" s="302"/>
      <c r="C16" s="369"/>
      <c r="D16" s="369"/>
      <c r="E16" s="13"/>
    </row>
    <row r="17" spans="1:5" ht="15.75">
      <c r="A17" s="313" t="s">
        <v>26</v>
      </c>
      <c r="B17" s="309"/>
      <c r="C17" s="369"/>
      <c r="D17" s="369"/>
      <c r="E17" s="13"/>
    </row>
    <row r="18" spans="1:5" ht="15.75">
      <c r="A18" s="303" t="s">
        <v>28</v>
      </c>
      <c r="B18" s="309"/>
      <c r="C18" s="373">
        <f>IF(C19*0.1&lt;C17,"Exceed 10% Rule","")</f>
      </c>
      <c r="D18" s="373">
        <f>IF(D19*0.1&lt;D17,"Exceed 10% Rule","")</f>
      </c>
      <c r="E18" s="345">
        <f>IF(E19*0.1&lt;E17,"Exceed 10% Rule","")</f>
      </c>
    </row>
    <row r="19" spans="1:5" ht="15.75">
      <c r="A19" s="150" t="s">
        <v>163</v>
      </c>
      <c r="B19" s="301"/>
      <c r="C19" s="374">
        <f>SUM(C8:C17)</f>
        <v>0</v>
      </c>
      <c r="D19" s="374">
        <f>SUM(D8:D17)</f>
        <v>0</v>
      </c>
      <c r="E19" s="257">
        <f>SUM(E8:E17)</f>
        <v>0</v>
      </c>
    </row>
    <row r="20" spans="1:5" ht="15.75">
      <c r="A20" s="150" t="s">
        <v>164</v>
      </c>
      <c r="B20" s="301"/>
      <c r="C20" s="375">
        <f>C6+C19</f>
        <v>0</v>
      </c>
      <c r="D20" s="375">
        <f>D6+D19</f>
        <v>0</v>
      </c>
      <c r="E20" s="260">
        <f>E6+E19</f>
        <v>0</v>
      </c>
    </row>
    <row r="21" spans="1:5" ht="15.75">
      <c r="A21" s="37" t="s">
        <v>166</v>
      </c>
      <c r="B21" s="301"/>
      <c r="C21" s="371"/>
      <c r="D21" s="371"/>
      <c r="E21" s="40"/>
    </row>
    <row r="22" spans="1:5" ht="15.75">
      <c r="A22" s="293" t="s">
        <v>344</v>
      </c>
      <c r="B22" s="302"/>
      <c r="C22" s="369"/>
      <c r="D22" s="369"/>
      <c r="E22" s="13"/>
    </row>
    <row r="23" spans="1:5" ht="15.75">
      <c r="A23" s="293" t="s">
        <v>51</v>
      </c>
      <c r="B23" s="302"/>
      <c r="C23" s="369"/>
      <c r="D23" s="369"/>
      <c r="E23" s="13"/>
    </row>
    <row r="24" spans="1:5" ht="15.75">
      <c r="A24" s="293"/>
      <c r="B24" s="302"/>
      <c r="C24" s="369"/>
      <c r="D24" s="369"/>
      <c r="E24" s="18"/>
    </row>
    <row r="25" spans="1:5" ht="15.75">
      <c r="A25" s="293"/>
      <c r="B25" s="302"/>
      <c r="C25" s="369"/>
      <c r="D25" s="369"/>
      <c r="E25" s="18"/>
    </row>
    <row r="26" spans="1:5" ht="15.75">
      <c r="A26" s="293"/>
      <c r="B26" s="302"/>
      <c r="C26" s="369"/>
      <c r="D26" s="369"/>
      <c r="E26" s="18"/>
    </row>
    <row r="27" spans="1:5" ht="15.75">
      <c r="A27" s="293"/>
      <c r="B27" s="302"/>
      <c r="C27" s="369"/>
      <c r="D27" s="369"/>
      <c r="E27" s="18"/>
    </row>
    <row r="28" spans="1:5" ht="15.75">
      <c r="A28" s="293"/>
      <c r="B28" s="302"/>
      <c r="C28" s="369"/>
      <c r="D28" s="369"/>
      <c r="E28" s="18"/>
    </row>
    <row r="29" spans="1:5" ht="15.75">
      <c r="A29" s="293"/>
      <c r="B29" s="302"/>
      <c r="C29" s="369"/>
      <c r="D29" s="369"/>
      <c r="E29" s="18"/>
    </row>
    <row r="30" spans="1:5" ht="15.75">
      <c r="A30" s="293"/>
      <c r="B30" s="302"/>
      <c r="C30" s="369"/>
      <c r="D30" s="369"/>
      <c r="E30" s="18"/>
    </row>
    <row r="31" spans="1:5" ht="15.75">
      <c r="A31" s="293"/>
      <c r="B31" s="302"/>
      <c r="C31" s="369"/>
      <c r="D31" s="369"/>
      <c r="E31" s="18"/>
    </row>
    <row r="32" spans="1:5" ht="15.75">
      <c r="A32" s="293"/>
      <c r="B32" s="302"/>
      <c r="C32" s="369"/>
      <c r="D32" s="369"/>
      <c r="E32" s="18"/>
    </row>
    <row r="33" spans="1:5" ht="15.75">
      <c r="A33" s="293"/>
      <c r="B33" s="302"/>
      <c r="C33" s="369"/>
      <c r="D33" s="369"/>
      <c r="E33" s="18"/>
    </row>
    <row r="34" spans="1:5" ht="15.75">
      <c r="A34" s="293"/>
      <c r="B34" s="302"/>
      <c r="C34" s="369"/>
      <c r="D34" s="369"/>
      <c r="E34" s="18"/>
    </row>
    <row r="35" spans="1:5" ht="15.75">
      <c r="A35" s="293"/>
      <c r="B35" s="302"/>
      <c r="C35" s="369"/>
      <c r="D35" s="369"/>
      <c r="E35" s="13"/>
    </row>
    <row r="36" spans="1:5" ht="15.75">
      <c r="A36" s="293"/>
      <c r="B36" s="302"/>
      <c r="C36" s="369"/>
      <c r="D36" s="369"/>
      <c r="E36" s="13"/>
    </row>
    <row r="37" spans="1:5" ht="15.75">
      <c r="A37" s="293"/>
      <c r="B37" s="302"/>
      <c r="C37" s="369"/>
      <c r="D37" s="369"/>
      <c r="E37" s="13"/>
    </row>
    <row r="38" spans="1:5" ht="15.75">
      <c r="A38" s="293"/>
      <c r="B38" s="302"/>
      <c r="C38" s="369"/>
      <c r="D38" s="369"/>
      <c r="E38" s="13"/>
    </row>
    <row r="39" spans="1:5" ht="15.75">
      <c r="A39" s="293"/>
      <c r="B39" s="302"/>
      <c r="C39" s="369"/>
      <c r="D39" s="369"/>
      <c r="E39" s="13"/>
    </row>
    <row r="40" spans="1:5" ht="15.75">
      <c r="A40" s="293"/>
      <c r="B40" s="302"/>
      <c r="C40" s="369"/>
      <c r="D40" s="369"/>
      <c r="E40" s="13"/>
    </row>
    <row r="41" spans="1:5" ht="15.75">
      <c r="A41" s="293"/>
      <c r="B41" s="302"/>
      <c r="C41" s="369"/>
      <c r="D41" s="369"/>
      <c r="E41" s="13"/>
    </row>
    <row r="42" spans="1:5" ht="15.75">
      <c r="A42" s="293"/>
      <c r="B42" s="302"/>
      <c r="C42" s="369"/>
      <c r="D42" s="369"/>
      <c r="E42" s="13"/>
    </row>
    <row r="43" spans="1:5" ht="15.75">
      <c r="A43" s="293"/>
      <c r="B43" s="302"/>
      <c r="C43" s="369"/>
      <c r="D43" s="369"/>
      <c r="E43" s="13"/>
    </row>
    <row r="44" spans="1:5" ht="15.75">
      <c r="A44" s="293"/>
      <c r="B44" s="310"/>
      <c r="C44" s="369"/>
      <c r="D44" s="369"/>
      <c r="E44" s="13"/>
    </row>
    <row r="45" spans="1:5" ht="15.75">
      <c r="A45" s="311" t="s">
        <v>26</v>
      </c>
      <c r="B45" s="309"/>
      <c r="C45" s="369"/>
      <c r="D45" s="369"/>
      <c r="E45" s="13"/>
    </row>
    <row r="46" spans="1:5" ht="15.75">
      <c r="A46" s="311" t="s">
        <v>27</v>
      </c>
      <c r="B46" s="309"/>
      <c r="C46" s="373">
        <f>IF(C47*0.1&lt;C45,"Exceed 10% Rule","")</f>
      </c>
      <c r="D46" s="373">
        <f>IF(D47*0.1&lt;D45,"Exceed 10% Rule","")</f>
      </c>
      <c r="E46" s="379">
        <f>IF(E47*0.1&lt;E45,"Exceed 10% Rule","")</f>
      </c>
    </row>
    <row r="47" spans="1:5" ht="15.75">
      <c r="A47" s="150" t="s">
        <v>170</v>
      </c>
      <c r="B47" s="301"/>
      <c r="C47" s="374">
        <f>SUM(C22:C45)</f>
        <v>0</v>
      </c>
      <c r="D47" s="374">
        <f>SUM(D22:D45)</f>
        <v>0</v>
      </c>
      <c r="E47" s="257">
        <f>SUM(E22:E45)</f>
        <v>0</v>
      </c>
    </row>
    <row r="48" spans="1:5" ht="15.75">
      <c r="A48" s="37" t="s">
        <v>288</v>
      </c>
      <c r="B48" s="301"/>
      <c r="C48" s="372">
        <f>C20-C47</f>
        <v>0</v>
      </c>
      <c r="D48" s="372">
        <f>D20-D47</f>
        <v>0</v>
      </c>
      <c r="E48" s="259">
        <f>E20-E47</f>
        <v>0</v>
      </c>
    </row>
    <row r="49" spans="1:5" ht="15.75">
      <c r="A49" s="23" t="str">
        <f>CONCATENATE("",E1-2,"/",E1-1," Budget Authority Amount:")</f>
        <v>2008/2009 Budget Authority Amount:</v>
      </c>
      <c r="B49" s="328"/>
      <c r="C49" s="328">
        <f>inputOth!B86</f>
        <v>0</v>
      </c>
      <c r="D49" s="328">
        <f>inputPrYr!D48</f>
        <v>0</v>
      </c>
      <c r="E49" s="390">
        <f>IF(E48&lt;0,"Budget Violation","")</f>
      </c>
    </row>
    <row r="50" spans="1:5" ht="15.75">
      <c r="A50" s="23" t="str">
        <f>CONCATENATE("Violation of Budget Law for ",E1-2,"/",E1-1,":")</f>
        <v>Violation of Budget Law for 2008/2009:</v>
      </c>
      <c r="B50" s="329"/>
      <c r="C50" s="329" t="str">
        <f>IF(C47&gt;C49,"Yes","No")</f>
        <v>No</v>
      </c>
      <c r="D50" s="329" t="str">
        <f>IF(D47&gt;D49,"Yes","No")</f>
        <v>No</v>
      </c>
      <c r="E50" s="167"/>
    </row>
    <row r="51" spans="1:5" ht="15.75">
      <c r="A51" s="23" t="str">
        <f>CONCATENATE("Possible Cash Violation for ",E1-2,":")</f>
        <v>Possible Cash Violation for 2008:</v>
      </c>
      <c r="B51" s="329"/>
      <c r="C51" s="329" t="str">
        <f>IF(C48&lt;0,"Yes","No")</f>
        <v>No</v>
      </c>
      <c r="D51" s="329"/>
      <c r="E51" s="167"/>
    </row>
    <row r="52" spans="1:5" ht="15">
      <c r="A52" s="167"/>
      <c r="B52" s="167"/>
      <c r="C52" s="376"/>
      <c r="D52" s="376"/>
      <c r="E52" s="167"/>
    </row>
    <row r="53" spans="1:5" ht="15.75">
      <c r="A53" s="24"/>
      <c r="B53" s="24" t="s">
        <v>173</v>
      </c>
      <c r="C53" s="100"/>
      <c r="D53" s="376"/>
      <c r="E53" s="167"/>
    </row>
  </sheetData>
  <sheetProtection sheet="1" objects="1" scenarios="1"/>
  <conditionalFormatting sqref="E17">
    <cfRule type="cellIs" priority="1" dxfId="271" operator="greaterThan" stopIfTrue="1">
      <formula>$E$19*0.1</formula>
    </cfRule>
  </conditionalFormatting>
  <conditionalFormatting sqref="E45">
    <cfRule type="cellIs" priority="2" dxfId="271" operator="greaterThan" stopIfTrue="1">
      <formula>$E$47*0.1</formula>
    </cfRule>
  </conditionalFormatting>
  <conditionalFormatting sqref="E48 C48">
    <cfRule type="cellIs" priority="3" dxfId="0" operator="lessThan" stopIfTrue="1">
      <formula>0</formula>
    </cfRule>
  </conditionalFormatting>
  <conditionalFormatting sqref="D45">
    <cfRule type="cellIs" priority="4" dxfId="0" operator="greaterThan" stopIfTrue="1">
      <formula>$D$47*0.1</formula>
    </cfRule>
  </conditionalFormatting>
  <conditionalFormatting sqref="C45">
    <cfRule type="cellIs" priority="5" dxfId="0" operator="greaterThan" stopIfTrue="1">
      <formula>$C$47*0.1</formula>
    </cfRule>
  </conditionalFormatting>
  <conditionalFormatting sqref="D47">
    <cfRule type="cellIs" priority="6" dxfId="0" operator="greaterThan" stopIfTrue="1">
      <formula>$D$49</formula>
    </cfRule>
  </conditionalFormatting>
  <conditionalFormatting sqref="C47">
    <cfRule type="cellIs" priority="7" dxfId="0" operator="greaterThan" stopIfTrue="1">
      <formula>$C$49</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oddFooter>&amp;Lrevised 8/21/08</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6384" width="8.8984375" style="2" customWidth="1"/>
  </cols>
  <sheetData>
    <row r="1" spans="1:11" ht="15.75">
      <c r="A1" s="51" t="str">
        <f>inputPrYr!$D$2</f>
        <v>City of Ellsworth</v>
      </c>
      <c r="B1" s="151"/>
      <c r="C1" s="50"/>
      <c r="D1" s="50"/>
      <c r="E1" s="50"/>
      <c r="F1" s="52" t="s">
        <v>316</v>
      </c>
      <c r="G1" s="50"/>
      <c r="H1" s="50"/>
      <c r="I1" s="50"/>
      <c r="J1" s="50"/>
      <c r="K1" s="50">
        <f>inputPrYr!$C$5</f>
        <v>2010</v>
      </c>
    </row>
    <row r="2" spans="1:11" ht="15.75">
      <c r="A2" s="50"/>
      <c r="B2" s="50"/>
      <c r="C2" s="50"/>
      <c r="D2" s="50"/>
      <c r="E2" s="50"/>
      <c r="F2" s="357" t="str">
        <f>CONCATENATE("(Only the actual budget year for ",K1-2," is to be shown)")</f>
        <v>(Only the actual budget year for 2008 is to be shown)</v>
      </c>
      <c r="G2" s="50"/>
      <c r="H2" s="50"/>
      <c r="I2" s="50"/>
      <c r="J2" s="50"/>
      <c r="K2" s="50"/>
    </row>
    <row r="3" spans="1:11" ht="15.75">
      <c r="A3" s="50" t="s">
        <v>371</v>
      </c>
      <c r="B3" s="50"/>
      <c r="C3" s="50"/>
      <c r="D3" s="50"/>
      <c r="E3" s="50"/>
      <c r="F3" s="356"/>
      <c r="G3" s="50"/>
      <c r="H3" s="50"/>
      <c r="I3" s="50"/>
      <c r="J3" s="50"/>
      <c r="K3" s="50"/>
    </row>
    <row r="4" spans="1:11" ht="15.75">
      <c r="A4" s="50" t="s">
        <v>317</v>
      </c>
      <c r="B4" s="50"/>
      <c r="C4" s="50" t="s">
        <v>318</v>
      </c>
      <c r="D4" s="50"/>
      <c r="E4" s="50" t="s">
        <v>319</v>
      </c>
      <c r="F4" s="151"/>
      <c r="G4" s="50" t="s">
        <v>320</v>
      </c>
      <c r="H4" s="50"/>
      <c r="I4" s="50" t="s">
        <v>321</v>
      </c>
      <c r="J4" s="50"/>
      <c r="K4" s="50"/>
    </row>
    <row r="5" spans="1:11" ht="15.75">
      <c r="A5" s="509" t="str">
        <f>IF(inputPrYr!B51&gt;" ",(inputPrYr!B51)," ")</f>
        <v> </v>
      </c>
      <c r="B5" s="510"/>
      <c r="C5" s="509" t="str">
        <f>IF(inputPrYr!B52&gt;" ",(inputPrYr!B52)," ")</f>
        <v> </v>
      </c>
      <c r="D5" s="510"/>
      <c r="E5" s="509" t="str">
        <f>IF(inputPrYr!B53&gt;" ",(inputPrYr!B53)," ")</f>
        <v> </v>
      </c>
      <c r="F5" s="510"/>
      <c r="G5" s="509" t="str">
        <f>IF(inputPrYr!B54&gt;" ",(inputPrYr!B54)," ")</f>
        <v> </v>
      </c>
      <c r="H5" s="510"/>
      <c r="I5" s="509" t="str">
        <f>IF(inputPrYr!B55&gt;" ",(inputPrYr!B55)," ")</f>
        <v> </v>
      </c>
      <c r="J5" s="510"/>
      <c r="K5" s="152"/>
    </row>
    <row r="6" spans="1:11" ht="15.75">
      <c r="A6" s="153" t="s">
        <v>322</v>
      </c>
      <c r="B6" s="154"/>
      <c r="C6" s="155" t="s">
        <v>322</v>
      </c>
      <c r="D6" s="156"/>
      <c r="E6" s="155" t="s">
        <v>322</v>
      </c>
      <c r="F6" s="157"/>
      <c r="G6" s="155" t="s">
        <v>322</v>
      </c>
      <c r="H6" s="158"/>
      <c r="I6" s="155" t="s">
        <v>322</v>
      </c>
      <c r="J6" s="50"/>
      <c r="K6" s="159" t="s">
        <v>128</v>
      </c>
    </row>
    <row r="7" spans="1:11" ht="15.75">
      <c r="A7" s="160" t="s">
        <v>48</v>
      </c>
      <c r="B7" s="275"/>
      <c r="C7" s="161" t="s">
        <v>48</v>
      </c>
      <c r="D7" s="275"/>
      <c r="E7" s="161" t="s">
        <v>48</v>
      </c>
      <c r="F7" s="275"/>
      <c r="G7" s="161" t="s">
        <v>48</v>
      </c>
      <c r="H7" s="275"/>
      <c r="I7" s="161" t="s">
        <v>48</v>
      </c>
      <c r="J7" s="275"/>
      <c r="K7" s="261">
        <f>SUM(B7+D7+F7+H7+J7)</f>
        <v>0</v>
      </c>
    </row>
    <row r="8" spans="1:11" ht="15.75">
      <c r="A8" s="162" t="s">
        <v>289</v>
      </c>
      <c r="B8" s="163"/>
      <c r="C8" s="162" t="s">
        <v>289</v>
      </c>
      <c r="D8" s="164"/>
      <c r="E8" s="162" t="s">
        <v>289</v>
      </c>
      <c r="F8" s="151"/>
      <c r="G8" s="162" t="s">
        <v>289</v>
      </c>
      <c r="H8" s="50"/>
      <c r="I8" s="162" t="s">
        <v>289</v>
      </c>
      <c r="J8" s="50"/>
      <c r="K8" s="151"/>
    </row>
    <row r="9" spans="1:11" ht="15.75">
      <c r="A9" s="274"/>
      <c r="B9" s="275"/>
      <c r="C9" s="274"/>
      <c r="D9" s="275"/>
      <c r="E9" s="274"/>
      <c r="F9" s="275"/>
      <c r="G9" s="274"/>
      <c r="H9" s="275"/>
      <c r="I9" s="274"/>
      <c r="J9" s="275"/>
      <c r="K9" s="151"/>
    </row>
    <row r="10" spans="1:11" ht="15.75">
      <c r="A10" s="274"/>
      <c r="B10" s="275"/>
      <c r="C10" s="274"/>
      <c r="D10" s="275"/>
      <c r="E10" s="274"/>
      <c r="F10" s="275"/>
      <c r="G10" s="274"/>
      <c r="H10" s="275"/>
      <c r="I10" s="274"/>
      <c r="J10" s="275"/>
      <c r="K10" s="151"/>
    </row>
    <row r="11" spans="1:11" ht="15.75">
      <c r="A11" s="274"/>
      <c r="B11" s="275"/>
      <c r="C11" s="276"/>
      <c r="D11" s="275"/>
      <c r="E11" s="276"/>
      <c r="F11" s="275"/>
      <c r="G11" s="276"/>
      <c r="H11" s="275"/>
      <c r="I11" s="277"/>
      <c r="J11" s="275"/>
      <c r="K11" s="151"/>
    </row>
    <row r="12" spans="1:11" ht="15.75">
      <c r="A12" s="274"/>
      <c r="B12" s="275"/>
      <c r="C12" s="274"/>
      <c r="D12" s="275"/>
      <c r="E12" s="278"/>
      <c r="F12" s="275"/>
      <c r="G12" s="278"/>
      <c r="H12" s="275"/>
      <c r="I12" s="278"/>
      <c r="J12" s="275"/>
      <c r="K12" s="151"/>
    </row>
    <row r="13" spans="1:11" ht="15.75">
      <c r="A13" s="279"/>
      <c r="B13" s="275"/>
      <c r="C13" s="280"/>
      <c r="D13" s="275"/>
      <c r="E13" s="280"/>
      <c r="F13" s="275"/>
      <c r="G13" s="280"/>
      <c r="H13" s="275"/>
      <c r="I13" s="277"/>
      <c r="J13" s="275"/>
      <c r="K13" s="151"/>
    </row>
    <row r="14" spans="1:11" ht="15.75">
      <c r="A14" s="274"/>
      <c r="B14" s="275"/>
      <c r="C14" s="278"/>
      <c r="D14" s="275"/>
      <c r="E14" s="278"/>
      <c r="F14" s="275"/>
      <c r="G14" s="278"/>
      <c r="H14" s="275"/>
      <c r="I14" s="278"/>
      <c r="J14" s="275"/>
      <c r="K14" s="151"/>
    </row>
    <row r="15" spans="1:11" ht="15.75">
      <c r="A15" s="274"/>
      <c r="B15" s="275"/>
      <c r="C15" s="278"/>
      <c r="D15" s="275"/>
      <c r="E15" s="278"/>
      <c r="F15" s="275"/>
      <c r="G15" s="278"/>
      <c r="H15" s="275"/>
      <c r="I15" s="278"/>
      <c r="J15" s="275"/>
      <c r="K15" s="151"/>
    </row>
    <row r="16" spans="1:11" ht="15.75">
      <c r="A16" s="274"/>
      <c r="B16" s="275"/>
      <c r="C16" s="274"/>
      <c r="D16" s="275"/>
      <c r="E16" s="274"/>
      <c r="F16" s="275"/>
      <c r="G16" s="278"/>
      <c r="H16" s="275"/>
      <c r="I16" s="274"/>
      <c r="J16" s="275"/>
      <c r="K16" s="151"/>
    </row>
    <row r="17" spans="1:11" ht="15.75">
      <c r="A17" s="162" t="s">
        <v>163</v>
      </c>
      <c r="B17" s="261">
        <f>SUM(B9:B16)</f>
        <v>0</v>
      </c>
      <c r="C17" s="162" t="s">
        <v>163</v>
      </c>
      <c r="D17" s="262">
        <f>SUM(D9:D16)</f>
        <v>0</v>
      </c>
      <c r="E17" s="162" t="s">
        <v>163</v>
      </c>
      <c r="F17" s="263">
        <f>SUM(F9:F16)</f>
        <v>0</v>
      </c>
      <c r="G17" s="162" t="s">
        <v>163</v>
      </c>
      <c r="H17" s="262">
        <f>SUM(H9:H16)</f>
        <v>0</v>
      </c>
      <c r="I17" s="162" t="s">
        <v>163</v>
      </c>
      <c r="J17" s="262">
        <f>SUM(J9:J16)</f>
        <v>0</v>
      </c>
      <c r="K17" s="261">
        <f>SUM(B17+D17+F17+H17+J17)</f>
        <v>0</v>
      </c>
    </row>
    <row r="18" spans="1:11" ht="15.75">
      <c r="A18" s="162" t="s">
        <v>164</v>
      </c>
      <c r="B18" s="261">
        <f>SUM(B7+B17)</f>
        <v>0</v>
      </c>
      <c r="C18" s="162" t="s">
        <v>164</v>
      </c>
      <c r="D18" s="261">
        <f>SUM(D7+D17)</f>
        <v>0</v>
      </c>
      <c r="E18" s="162" t="s">
        <v>164</v>
      </c>
      <c r="F18" s="261">
        <f>SUM(F7+F17)</f>
        <v>0</v>
      </c>
      <c r="G18" s="162" t="s">
        <v>164</v>
      </c>
      <c r="H18" s="261">
        <f>SUM(H7+H17)</f>
        <v>0</v>
      </c>
      <c r="I18" s="162" t="s">
        <v>164</v>
      </c>
      <c r="J18" s="261">
        <f>SUM(J7+J17)</f>
        <v>0</v>
      </c>
      <c r="K18" s="261">
        <f>SUM(B18+D18+F18+H18+J18)</f>
        <v>0</v>
      </c>
    </row>
    <row r="19" spans="1:11" ht="15.75">
      <c r="A19" s="162" t="s">
        <v>166</v>
      </c>
      <c r="B19" s="163"/>
      <c r="C19" s="162" t="s">
        <v>166</v>
      </c>
      <c r="D19" s="164"/>
      <c r="E19" s="162" t="s">
        <v>166</v>
      </c>
      <c r="F19" s="151"/>
      <c r="G19" s="162" t="s">
        <v>166</v>
      </c>
      <c r="H19" s="50"/>
      <c r="I19" s="162" t="s">
        <v>166</v>
      </c>
      <c r="J19" s="50"/>
      <c r="K19" s="151"/>
    </row>
    <row r="20" spans="1:11" ht="15.75">
      <c r="A20" s="274"/>
      <c r="B20" s="275"/>
      <c r="C20" s="278"/>
      <c r="D20" s="275"/>
      <c r="E20" s="278"/>
      <c r="F20" s="275"/>
      <c r="G20" s="278"/>
      <c r="H20" s="275"/>
      <c r="I20" s="278"/>
      <c r="J20" s="275"/>
      <c r="K20" s="151"/>
    </row>
    <row r="21" spans="1:11" ht="15.75">
      <c r="A21" s="274"/>
      <c r="B21" s="275"/>
      <c r="C21" s="278"/>
      <c r="D21" s="275"/>
      <c r="E21" s="278"/>
      <c r="F21" s="275"/>
      <c r="G21" s="278"/>
      <c r="H21" s="275"/>
      <c r="I21" s="278"/>
      <c r="J21" s="275"/>
      <c r="K21" s="151"/>
    </row>
    <row r="22" spans="1:11" ht="15.75">
      <c r="A22" s="274"/>
      <c r="B22" s="275"/>
      <c r="C22" s="280"/>
      <c r="D22" s="275"/>
      <c r="E22" s="280"/>
      <c r="F22" s="275"/>
      <c r="G22" s="280"/>
      <c r="H22" s="275"/>
      <c r="I22" s="277"/>
      <c r="J22" s="275"/>
      <c r="K22" s="151"/>
    </row>
    <row r="23" spans="1:11" ht="15.75">
      <c r="A23" s="274"/>
      <c r="B23" s="275"/>
      <c r="C23" s="278"/>
      <c r="D23" s="275"/>
      <c r="E23" s="278"/>
      <c r="F23" s="275"/>
      <c r="G23" s="278"/>
      <c r="H23" s="275"/>
      <c r="I23" s="278"/>
      <c r="J23" s="275"/>
      <c r="K23" s="151"/>
    </row>
    <row r="24" spans="1:11" ht="15.75">
      <c r="A24" s="274"/>
      <c r="B24" s="275"/>
      <c r="C24" s="280"/>
      <c r="D24" s="275"/>
      <c r="E24" s="280"/>
      <c r="F24" s="275"/>
      <c r="G24" s="280"/>
      <c r="H24" s="275"/>
      <c r="I24" s="277"/>
      <c r="J24" s="275"/>
      <c r="K24" s="151"/>
    </row>
    <row r="25" spans="1:11" ht="15.75">
      <c r="A25" s="274"/>
      <c r="B25" s="275"/>
      <c r="C25" s="278"/>
      <c r="D25" s="275"/>
      <c r="E25" s="278"/>
      <c r="F25" s="275"/>
      <c r="G25" s="278"/>
      <c r="H25" s="275"/>
      <c r="I25" s="278"/>
      <c r="J25" s="275"/>
      <c r="K25" s="151"/>
    </row>
    <row r="26" spans="1:11" ht="15.75">
      <c r="A26" s="274"/>
      <c r="B26" s="275"/>
      <c r="C26" s="278"/>
      <c r="D26" s="275"/>
      <c r="E26" s="278"/>
      <c r="F26" s="275"/>
      <c r="G26" s="278"/>
      <c r="H26" s="275"/>
      <c r="I26" s="278"/>
      <c r="J26" s="275"/>
      <c r="K26" s="151"/>
    </row>
    <row r="27" spans="1:11" ht="15.75">
      <c r="A27" s="274"/>
      <c r="B27" s="275"/>
      <c r="C27" s="274"/>
      <c r="D27" s="275"/>
      <c r="E27" s="274"/>
      <c r="F27" s="275"/>
      <c r="G27" s="278"/>
      <c r="H27" s="275"/>
      <c r="I27" s="278"/>
      <c r="J27" s="275"/>
      <c r="K27" s="151"/>
    </row>
    <row r="28" spans="1:11" ht="15.75">
      <c r="A28" s="162" t="s">
        <v>170</v>
      </c>
      <c r="B28" s="261">
        <f>SUM(B20:B27)</f>
        <v>0</v>
      </c>
      <c r="C28" s="162" t="s">
        <v>170</v>
      </c>
      <c r="D28" s="262">
        <f>SUM(D20:D27)</f>
        <v>0</v>
      </c>
      <c r="E28" s="162" t="s">
        <v>170</v>
      </c>
      <c r="F28" s="263">
        <f>SUM(F20:F27)</f>
        <v>0</v>
      </c>
      <c r="G28" s="162" t="s">
        <v>170</v>
      </c>
      <c r="H28" s="263">
        <f>SUM(H20:H27)</f>
        <v>0</v>
      </c>
      <c r="I28" s="162" t="s">
        <v>170</v>
      </c>
      <c r="J28" s="262">
        <f>SUM(J20:J27)</f>
        <v>0</v>
      </c>
      <c r="K28" s="261">
        <f>SUM(B28+D28+F28+H28+J28)</f>
        <v>0</v>
      </c>
    </row>
    <row r="29" spans="1:12" ht="15.75">
      <c r="A29" s="162" t="s">
        <v>323</v>
      </c>
      <c r="B29" s="261">
        <f>SUM(B18-B28)</f>
        <v>0</v>
      </c>
      <c r="C29" s="162" t="s">
        <v>323</v>
      </c>
      <c r="D29" s="261">
        <f>SUM(D18-D28)</f>
        <v>0</v>
      </c>
      <c r="E29" s="162" t="s">
        <v>323</v>
      </c>
      <c r="F29" s="261">
        <f>SUM(F18-F28)</f>
        <v>0</v>
      </c>
      <c r="G29" s="162" t="s">
        <v>323</v>
      </c>
      <c r="H29" s="261">
        <f>SUM(H18-H28)</f>
        <v>0</v>
      </c>
      <c r="I29" s="162" t="s">
        <v>323</v>
      </c>
      <c r="J29" s="261">
        <f>SUM(J18-J28)</f>
        <v>0</v>
      </c>
      <c r="K29" s="264">
        <f>SUM(B29+D29+F29+H29+J29)</f>
        <v>0</v>
      </c>
      <c r="L29" s="2" t="s">
        <v>413</v>
      </c>
    </row>
    <row r="30" spans="1:12" ht="15.75">
      <c r="A30" s="162"/>
      <c r="B30" s="360">
        <f>IF(B29&lt;0,"Neg Bal","")</f>
      </c>
      <c r="C30" s="162"/>
      <c r="D30" s="360">
        <f>IF(D29&lt;0,"Neg Bal","")</f>
      </c>
      <c r="E30" s="162"/>
      <c r="F30" s="360">
        <f>IF(F29&lt;0,"Neg Bal","")</f>
      </c>
      <c r="G30" s="50"/>
      <c r="H30" s="360">
        <f>IF(H29&lt;0,"Neg Bal","")</f>
      </c>
      <c r="I30" s="50"/>
      <c r="J30" s="360">
        <f>IF(J29&lt;0,"Neg Bal","")</f>
      </c>
      <c r="K30" s="264">
        <f>SUM(K7+K17-K28)</f>
        <v>0</v>
      </c>
      <c r="L30" s="2" t="s">
        <v>413</v>
      </c>
    </row>
    <row r="31" spans="1:11" ht="15.75">
      <c r="A31" s="50"/>
      <c r="B31" s="55"/>
      <c r="C31" s="50"/>
      <c r="D31" s="151"/>
      <c r="E31" s="50"/>
      <c r="F31" s="50"/>
      <c r="G31" s="351" t="s">
        <v>415</v>
      </c>
      <c r="H31" s="351"/>
      <c r="I31" s="351"/>
      <c r="J31" s="351"/>
      <c r="K31" s="50"/>
    </row>
    <row r="32" spans="1:11" ht="15.75">
      <c r="A32" s="50"/>
      <c r="B32" s="55"/>
      <c r="C32" s="50"/>
      <c r="D32" s="50"/>
      <c r="E32" s="50"/>
      <c r="F32" s="50"/>
      <c r="G32" s="50"/>
      <c r="H32" s="50"/>
      <c r="I32" s="50"/>
      <c r="J32" s="50"/>
      <c r="K32" s="50"/>
    </row>
    <row r="33" spans="1:11" ht="15.75">
      <c r="A33" s="50"/>
      <c r="B33" s="55"/>
      <c r="C33" s="50"/>
      <c r="D33" s="50"/>
      <c r="E33" s="63" t="s">
        <v>173</v>
      </c>
      <c r="F33" s="100"/>
      <c r="G33" s="50"/>
      <c r="H33" s="50"/>
      <c r="I33" s="50"/>
      <c r="J33" s="50"/>
      <c r="K33" s="50"/>
    </row>
    <row r="34" ht="15.75">
      <c r="B34" s="165"/>
    </row>
    <row r="35" ht="15.75">
      <c r="B35" s="165"/>
    </row>
    <row r="36" ht="15.75">
      <c r="B36" s="165"/>
    </row>
    <row r="37" ht="15.75">
      <c r="B37" s="165"/>
    </row>
    <row r="38" ht="15.75">
      <c r="B38" s="165"/>
    </row>
    <row r="39" ht="15.75">
      <c r="B39" s="165"/>
    </row>
    <row r="40" ht="15.75">
      <c r="B40" s="165"/>
    </row>
    <row r="41" ht="15.75">
      <c r="B41" s="165"/>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7/01/08</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6384" width="8.8984375" style="2" customWidth="1"/>
  </cols>
  <sheetData>
    <row r="1" spans="1:11" ht="15.75">
      <c r="A1" s="51" t="str">
        <f>inputPrYr!$D$2</f>
        <v>City of Ellsworth</v>
      </c>
      <c r="B1" s="151"/>
      <c r="C1" s="50"/>
      <c r="D1" s="50"/>
      <c r="E1" s="50"/>
      <c r="F1" s="52" t="s">
        <v>324</v>
      </c>
      <c r="G1" s="50"/>
      <c r="H1" s="50"/>
      <c r="I1" s="50"/>
      <c r="J1" s="50"/>
      <c r="K1" s="50">
        <f>inputPrYr!$C$5</f>
        <v>2010</v>
      </c>
    </row>
    <row r="2" spans="1:11" ht="15.75">
      <c r="A2" s="50"/>
      <c r="B2" s="50"/>
      <c r="C2" s="50"/>
      <c r="D2" s="50"/>
      <c r="E2" s="50"/>
      <c r="F2" s="357" t="str">
        <f>CONCATENATE("(Only the actual budget year for ",K1-2," is to be shown)")</f>
        <v>(Only the actual budget year for 2008 is to be shown)</v>
      </c>
      <c r="G2" s="50"/>
      <c r="H2" s="50"/>
      <c r="I2" s="50"/>
      <c r="J2" s="50"/>
      <c r="K2" s="50"/>
    </row>
    <row r="3" spans="1:11" ht="15.75">
      <c r="A3" s="50" t="s">
        <v>370</v>
      </c>
      <c r="B3" s="50"/>
      <c r="C3" s="50"/>
      <c r="D3" s="50"/>
      <c r="E3" s="50"/>
      <c r="F3" s="151"/>
      <c r="G3" s="50"/>
      <c r="H3" s="50"/>
      <c r="I3" s="50"/>
      <c r="J3" s="50"/>
      <c r="K3" s="50"/>
    </row>
    <row r="4" spans="1:11" ht="15.75">
      <c r="A4" s="50" t="s">
        <v>317</v>
      </c>
      <c r="B4" s="50"/>
      <c r="C4" s="50" t="s">
        <v>318</v>
      </c>
      <c r="D4" s="50"/>
      <c r="E4" s="50" t="s">
        <v>319</v>
      </c>
      <c r="F4" s="151"/>
      <c r="G4" s="50" t="s">
        <v>320</v>
      </c>
      <c r="H4" s="50"/>
      <c r="I4" s="50" t="s">
        <v>321</v>
      </c>
      <c r="J4" s="50"/>
      <c r="K4" s="50"/>
    </row>
    <row r="5" spans="1:11" ht="15.75">
      <c r="A5" s="509" t="str">
        <f>IF(inputPrYr!B57&gt;" ",(inputPrYr!B57)," ")</f>
        <v> </v>
      </c>
      <c r="B5" s="510"/>
      <c r="C5" s="509" t="str">
        <f>IF(inputPrYr!B58&gt;" ",(inputPrYr!B58)," ")</f>
        <v> </v>
      </c>
      <c r="D5" s="510"/>
      <c r="E5" s="509" t="str">
        <f>IF(inputPrYr!B59&gt;" ",(inputPrYr!B59)," ")</f>
        <v> </v>
      </c>
      <c r="F5" s="510"/>
      <c r="G5" s="509" t="str">
        <f>IF(inputPrYr!B60&gt;" ",(inputPrYr!B60)," ")</f>
        <v> </v>
      </c>
      <c r="H5" s="510"/>
      <c r="I5" s="509" t="str">
        <f>IF(inputPrYr!B61&gt;" ",(inputPrYr!B61)," ")</f>
        <v> </v>
      </c>
      <c r="J5" s="510"/>
      <c r="K5" s="152"/>
    </row>
    <row r="6" spans="1:11" ht="15.75">
      <c r="A6" s="153" t="s">
        <v>322</v>
      </c>
      <c r="B6" s="154"/>
      <c r="C6" s="155" t="s">
        <v>322</v>
      </c>
      <c r="D6" s="156"/>
      <c r="E6" s="155" t="s">
        <v>322</v>
      </c>
      <c r="F6" s="157"/>
      <c r="G6" s="155" t="s">
        <v>322</v>
      </c>
      <c r="H6" s="158"/>
      <c r="I6" s="155" t="s">
        <v>322</v>
      </c>
      <c r="J6" s="50"/>
      <c r="K6" s="159" t="s">
        <v>128</v>
      </c>
    </row>
    <row r="7" spans="1:11" ht="15.75">
      <c r="A7" s="160" t="s">
        <v>48</v>
      </c>
      <c r="B7" s="275"/>
      <c r="C7" s="161" t="s">
        <v>48</v>
      </c>
      <c r="D7" s="275"/>
      <c r="E7" s="161" t="s">
        <v>48</v>
      </c>
      <c r="F7" s="275"/>
      <c r="G7" s="161" t="s">
        <v>48</v>
      </c>
      <c r="H7" s="275"/>
      <c r="I7" s="161" t="s">
        <v>48</v>
      </c>
      <c r="J7" s="275"/>
      <c r="K7" s="261">
        <f>SUM(B7+D7+F7+H7+J7)</f>
        <v>0</v>
      </c>
    </row>
    <row r="8" spans="1:11" ht="15.75">
      <c r="A8" s="162" t="s">
        <v>289</v>
      </c>
      <c r="B8" s="163"/>
      <c r="C8" s="162" t="s">
        <v>289</v>
      </c>
      <c r="D8" s="164"/>
      <c r="E8" s="162" t="s">
        <v>289</v>
      </c>
      <c r="F8" s="151"/>
      <c r="G8" s="162" t="s">
        <v>289</v>
      </c>
      <c r="H8" s="50"/>
      <c r="I8" s="162" t="s">
        <v>289</v>
      </c>
      <c r="J8" s="50"/>
      <c r="K8" s="151"/>
    </row>
    <row r="9" spans="1:11" ht="15.75">
      <c r="A9" s="274"/>
      <c r="B9" s="275"/>
      <c r="C9" s="274"/>
      <c r="D9" s="275"/>
      <c r="E9" s="274"/>
      <c r="F9" s="275"/>
      <c r="G9" s="274"/>
      <c r="H9" s="275"/>
      <c r="I9" s="274"/>
      <c r="J9" s="275"/>
      <c r="K9" s="151"/>
    </row>
    <row r="10" spans="1:11" ht="15.75">
      <c r="A10" s="274"/>
      <c r="B10" s="275"/>
      <c r="C10" s="274"/>
      <c r="D10" s="275"/>
      <c r="E10" s="274"/>
      <c r="F10" s="275"/>
      <c r="G10" s="274"/>
      <c r="H10" s="275"/>
      <c r="I10" s="274"/>
      <c r="J10" s="275"/>
      <c r="K10" s="151"/>
    </row>
    <row r="11" spans="1:11" ht="15.75">
      <c r="A11" s="274"/>
      <c r="B11" s="275"/>
      <c r="C11" s="276"/>
      <c r="D11" s="275"/>
      <c r="E11" s="276"/>
      <c r="F11" s="275"/>
      <c r="G11" s="276"/>
      <c r="H11" s="275"/>
      <c r="I11" s="277"/>
      <c r="J11" s="275"/>
      <c r="K11" s="151"/>
    </row>
    <row r="12" spans="1:11" ht="15.75">
      <c r="A12" s="274"/>
      <c r="B12" s="275"/>
      <c r="C12" s="274"/>
      <c r="D12" s="275"/>
      <c r="E12" s="278"/>
      <c r="F12" s="275"/>
      <c r="G12" s="278"/>
      <c r="H12" s="275"/>
      <c r="I12" s="278"/>
      <c r="J12" s="275"/>
      <c r="K12" s="151"/>
    </row>
    <row r="13" spans="1:11" ht="15.75">
      <c r="A13" s="279"/>
      <c r="B13" s="275"/>
      <c r="C13" s="280"/>
      <c r="D13" s="275"/>
      <c r="E13" s="280"/>
      <c r="F13" s="275"/>
      <c r="G13" s="280"/>
      <c r="H13" s="275"/>
      <c r="I13" s="277"/>
      <c r="J13" s="275"/>
      <c r="K13" s="151"/>
    </row>
    <row r="14" spans="1:11" ht="15.75">
      <c r="A14" s="274"/>
      <c r="B14" s="275"/>
      <c r="C14" s="278"/>
      <c r="D14" s="275"/>
      <c r="E14" s="278"/>
      <c r="F14" s="275"/>
      <c r="G14" s="278"/>
      <c r="H14" s="275"/>
      <c r="I14" s="278"/>
      <c r="J14" s="275"/>
      <c r="K14" s="151"/>
    </row>
    <row r="15" spans="1:11" ht="15.75">
      <c r="A15" s="274"/>
      <c r="B15" s="275"/>
      <c r="C15" s="278"/>
      <c r="D15" s="275"/>
      <c r="E15" s="278"/>
      <c r="F15" s="275"/>
      <c r="G15" s="278"/>
      <c r="H15" s="275"/>
      <c r="I15" s="278"/>
      <c r="J15" s="275"/>
      <c r="K15" s="151"/>
    </row>
    <row r="16" spans="1:11" ht="15.75">
      <c r="A16" s="274"/>
      <c r="B16" s="275"/>
      <c r="C16" s="274"/>
      <c r="D16" s="275"/>
      <c r="E16" s="274"/>
      <c r="F16" s="275"/>
      <c r="G16" s="278"/>
      <c r="H16" s="275"/>
      <c r="I16" s="274"/>
      <c r="J16" s="275"/>
      <c r="K16" s="151"/>
    </row>
    <row r="17" spans="1:11" ht="15.75">
      <c r="A17" s="162" t="s">
        <v>163</v>
      </c>
      <c r="B17" s="261">
        <f>SUM(B9:B16)</f>
        <v>0</v>
      </c>
      <c r="C17" s="162" t="s">
        <v>163</v>
      </c>
      <c r="D17" s="262">
        <f>SUM(D9:D16)</f>
        <v>0</v>
      </c>
      <c r="E17" s="162" t="s">
        <v>163</v>
      </c>
      <c r="F17" s="263">
        <f>SUM(F9:F16)</f>
        <v>0</v>
      </c>
      <c r="G17" s="162" t="s">
        <v>163</v>
      </c>
      <c r="H17" s="262">
        <f>SUM(H9:H16)</f>
        <v>0</v>
      </c>
      <c r="I17" s="162" t="s">
        <v>163</v>
      </c>
      <c r="J17" s="262">
        <f>SUM(J9:J16)</f>
        <v>0</v>
      </c>
      <c r="K17" s="261">
        <f>SUM(B17+D17+F17+H17+J17)</f>
        <v>0</v>
      </c>
    </row>
    <row r="18" spans="1:11" ht="15.75">
      <c r="A18" s="162" t="s">
        <v>164</v>
      </c>
      <c r="B18" s="261">
        <f>SUM(B7+B17)</f>
        <v>0</v>
      </c>
      <c r="C18" s="162" t="s">
        <v>164</v>
      </c>
      <c r="D18" s="261">
        <f>SUM(D7+D17)</f>
        <v>0</v>
      </c>
      <c r="E18" s="162" t="s">
        <v>164</v>
      </c>
      <c r="F18" s="261">
        <f>SUM(F7+F17)</f>
        <v>0</v>
      </c>
      <c r="G18" s="162" t="s">
        <v>164</v>
      </c>
      <c r="H18" s="261">
        <f>SUM(H7+H17)</f>
        <v>0</v>
      </c>
      <c r="I18" s="162" t="s">
        <v>164</v>
      </c>
      <c r="J18" s="261">
        <f>SUM(J7+J17)</f>
        <v>0</v>
      </c>
      <c r="K18" s="261">
        <f>SUM(B18+D18+F18+H18+J18)</f>
        <v>0</v>
      </c>
    </row>
    <row r="19" spans="1:11" ht="15.75">
      <c r="A19" s="162" t="s">
        <v>166</v>
      </c>
      <c r="B19" s="163"/>
      <c r="C19" s="162" t="s">
        <v>166</v>
      </c>
      <c r="D19" s="164"/>
      <c r="E19" s="162" t="s">
        <v>166</v>
      </c>
      <c r="F19" s="151"/>
      <c r="G19" s="162" t="s">
        <v>166</v>
      </c>
      <c r="H19" s="50"/>
      <c r="I19" s="162" t="s">
        <v>166</v>
      </c>
      <c r="J19" s="50"/>
      <c r="K19" s="151"/>
    </row>
    <row r="20" spans="1:11" ht="15.75">
      <c r="A20" s="274"/>
      <c r="B20" s="275"/>
      <c r="C20" s="278"/>
      <c r="D20" s="275"/>
      <c r="E20" s="278"/>
      <c r="F20" s="275"/>
      <c r="G20" s="278"/>
      <c r="H20" s="275"/>
      <c r="I20" s="278"/>
      <c r="J20" s="275"/>
      <c r="K20" s="151"/>
    </row>
    <row r="21" spans="1:11" ht="15.75">
      <c r="A21" s="274"/>
      <c r="B21" s="275"/>
      <c r="C21" s="278"/>
      <c r="D21" s="275"/>
      <c r="E21" s="278"/>
      <c r="F21" s="275"/>
      <c r="G21" s="278"/>
      <c r="H21" s="275"/>
      <c r="I21" s="278"/>
      <c r="J21" s="275"/>
      <c r="K21" s="151"/>
    </row>
    <row r="22" spans="1:11" ht="15.75">
      <c r="A22" s="274"/>
      <c r="B22" s="275"/>
      <c r="C22" s="280"/>
      <c r="D22" s="275"/>
      <c r="E22" s="280"/>
      <c r="F22" s="275"/>
      <c r="G22" s="280"/>
      <c r="H22" s="275"/>
      <c r="I22" s="277"/>
      <c r="J22" s="275"/>
      <c r="K22" s="151"/>
    </row>
    <row r="23" spans="1:11" ht="15.75">
      <c r="A23" s="274"/>
      <c r="B23" s="275"/>
      <c r="C23" s="278"/>
      <c r="D23" s="275"/>
      <c r="E23" s="278"/>
      <c r="F23" s="275"/>
      <c r="G23" s="278"/>
      <c r="H23" s="275"/>
      <c r="I23" s="278"/>
      <c r="J23" s="275"/>
      <c r="K23" s="151"/>
    </row>
    <row r="24" spans="1:11" ht="15.75">
      <c r="A24" s="274"/>
      <c r="B24" s="275"/>
      <c r="C24" s="280"/>
      <c r="D24" s="275"/>
      <c r="E24" s="280"/>
      <c r="F24" s="275"/>
      <c r="G24" s="280"/>
      <c r="H24" s="275"/>
      <c r="I24" s="277"/>
      <c r="J24" s="275"/>
      <c r="K24" s="151"/>
    </row>
    <row r="25" spans="1:11" ht="15.75">
      <c r="A25" s="274"/>
      <c r="B25" s="275"/>
      <c r="C25" s="278"/>
      <c r="D25" s="275"/>
      <c r="E25" s="278"/>
      <c r="F25" s="275"/>
      <c r="G25" s="278"/>
      <c r="H25" s="275"/>
      <c r="I25" s="278"/>
      <c r="J25" s="275"/>
      <c r="K25" s="151"/>
    </row>
    <row r="26" spans="1:11" ht="15.75">
      <c r="A26" s="274"/>
      <c r="B26" s="275"/>
      <c r="C26" s="278"/>
      <c r="D26" s="275"/>
      <c r="E26" s="278"/>
      <c r="F26" s="275"/>
      <c r="G26" s="278"/>
      <c r="H26" s="275"/>
      <c r="I26" s="278"/>
      <c r="J26" s="275"/>
      <c r="K26" s="151"/>
    </row>
    <row r="27" spans="1:11" ht="15.75">
      <c r="A27" s="274"/>
      <c r="B27" s="275"/>
      <c r="C27" s="274"/>
      <c r="D27" s="275"/>
      <c r="E27" s="274"/>
      <c r="F27" s="275"/>
      <c r="G27" s="278"/>
      <c r="H27" s="275"/>
      <c r="I27" s="278"/>
      <c r="J27" s="275"/>
      <c r="K27" s="151"/>
    </row>
    <row r="28" spans="1:11" ht="15.75">
      <c r="A28" s="162" t="s">
        <v>170</v>
      </c>
      <c r="B28" s="261">
        <f>SUM(B20:B27)</f>
        <v>0</v>
      </c>
      <c r="C28" s="162" t="s">
        <v>170</v>
      </c>
      <c r="D28" s="262">
        <f>SUM(D20:D27)</f>
        <v>0</v>
      </c>
      <c r="E28" s="162" t="s">
        <v>170</v>
      </c>
      <c r="F28" s="263">
        <f>SUM(F20:F27)</f>
        <v>0</v>
      </c>
      <c r="G28" s="162" t="s">
        <v>170</v>
      </c>
      <c r="H28" s="263">
        <f>SUM(H20:H27)</f>
        <v>0</v>
      </c>
      <c r="I28" s="162" t="s">
        <v>170</v>
      </c>
      <c r="J28" s="262">
        <f>SUM(J20:J27)</f>
        <v>0</v>
      </c>
      <c r="K28" s="261">
        <f>SUM(B28+D28+F28+H28+J28)</f>
        <v>0</v>
      </c>
    </row>
    <row r="29" spans="1:12" ht="15.75">
      <c r="A29" s="162" t="s">
        <v>323</v>
      </c>
      <c r="B29" s="261">
        <f>SUM(B18-B28)</f>
        <v>0</v>
      </c>
      <c r="C29" s="162" t="s">
        <v>323</v>
      </c>
      <c r="D29" s="261">
        <f>SUM(D18-D28)</f>
        <v>0</v>
      </c>
      <c r="E29" s="162" t="s">
        <v>323</v>
      </c>
      <c r="F29" s="261">
        <f>SUM(F18-F28)</f>
        <v>0</v>
      </c>
      <c r="G29" s="162" t="s">
        <v>323</v>
      </c>
      <c r="H29" s="261">
        <f>SUM(H18-H28)</f>
        <v>0</v>
      </c>
      <c r="I29" s="162" t="s">
        <v>323</v>
      </c>
      <c r="J29" s="261">
        <f>SUM(J18-J28)</f>
        <v>0</v>
      </c>
      <c r="K29" s="264">
        <f>SUM(B29+D29+F29+H29+J29)</f>
        <v>0</v>
      </c>
      <c r="L29" s="2" t="s">
        <v>413</v>
      </c>
    </row>
    <row r="30" spans="1:12" ht="15.75">
      <c r="A30" s="162"/>
      <c r="B30" s="360">
        <f>IF(B29&lt;0,"Neg Bal","")</f>
      </c>
      <c r="C30" s="162"/>
      <c r="D30" s="360">
        <f>IF(D29&lt;0,"Neg Bal","")</f>
      </c>
      <c r="E30" s="162"/>
      <c r="F30" s="360">
        <f>IF(F29&lt;0,"Neg Bal","")</f>
      </c>
      <c r="G30" s="50"/>
      <c r="H30" s="360">
        <f>IF(H29&lt;0,"Neg Bal","")</f>
      </c>
      <c r="I30" s="50"/>
      <c r="J30" s="360">
        <f>IF(J29&lt;0,"Neg Bal","")</f>
      </c>
      <c r="K30" s="264">
        <f>SUM(K7+K17-K28)</f>
        <v>0</v>
      </c>
      <c r="L30" s="2" t="s">
        <v>413</v>
      </c>
    </row>
    <row r="31" spans="1:11" ht="15.75">
      <c r="A31" s="50"/>
      <c r="B31" s="55"/>
      <c r="C31" s="50"/>
      <c r="D31" s="151"/>
      <c r="E31" s="50"/>
      <c r="F31" s="50"/>
      <c r="G31" s="351" t="s">
        <v>415</v>
      </c>
      <c r="H31" s="351"/>
      <c r="I31" s="351"/>
      <c r="J31" s="351"/>
      <c r="K31" s="50"/>
    </row>
    <row r="32" spans="1:11" ht="15.75">
      <c r="A32" s="50"/>
      <c r="B32" s="55"/>
      <c r="C32" s="50"/>
      <c r="D32" s="50"/>
      <c r="E32" s="50"/>
      <c r="F32" s="50"/>
      <c r="G32" s="50"/>
      <c r="H32" s="50"/>
      <c r="I32" s="50"/>
      <c r="J32" s="50"/>
      <c r="K32" s="50"/>
    </row>
    <row r="33" spans="1:11" ht="15.75">
      <c r="A33" s="50"/>
      <c r="B33" s="55"/>
      <c r="C33" s="50"/>
      <c r="D33" s="50"/>
      <c r="E33" s="63" t="s">
        <v>173</v>
      </c>
      <c r="F33" s="100"/>
      <c r="G33" s="50"/>
      <c r="H33" s="50"/>
      <c r="I33" s="50"/>
      <c r="J33" s="50"/>
      <c r="K33" s="50"/>
    </row>
    <row r="34" ht="15.75">
      <c r="B34" s="165"/>
    </row>
    <row r="35" ht="15.75">
      <c r="B35" s="165"/>
    </row>
    <row r="36" ht="15.75">
      <c r="B36" s="165"/>
    </row>
    <row r="37" ht="15.75">
      <c r="B37" s="165"/>
    </row>
    <row r="38" ht="15.75">
      <c r="B38" s="165"/>
    </row>
    <row r="39" ht="15.75">
      <c r="B39" s="165"/>
    </row>
    <row r="40" ht="15.75">
      <c r="B40" s="165"/>
    </row>
    <row r="41" ht="15.75">
      <c r="B41" s="165"/>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7/01/08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A70">
      <selection activeCell="A1" sqref="A1"/>
    </sheetView>
  </sheetViews>
  <sheetFormatPr defaultColWidth="8.796875" defaultRowHeight="15"/>
  <cols>
    <col min="1" max="1" width="15.796875" style="0" customWidth="1"/>
    <col min="2" max="2" width="20.796875" style="0" customWidth="1"/>
    <col min="3" max="3" width="9.796875" style="0" customWidth="1"/>
    <col min="4" max="4" width="15.09765625" style="0" customWidth="1"/>
    <col min="5" max="5" width="15.796875" style="0" customWidth="1"/>
  </cols>
  <sheetData>
    <row r="1" spans="1:5" ht="15">
      <c r="A1" s="166" t="str">
        <f>inputPrYr!$D$2</f>
        <v>City of Ellsworth</v>
      </c>
      <c r="B1" s="167"/>
      <c r="C1" s="167"/>
      <c r="D1" s="167"/>
      <c r="E1" s="167">
        <f>inputPrYr!C5</f>
        <v>2010</v>
      </c>
    </row>
    <row r="2" spans="1:5" ht="15">
      <c r="A2" s="167"/>
      <c r="B2" s="167"/>
      <c r="C2" s="167"/>
      <c r="D2" s="167"/>
      <c r="E2" s="167"/>
    </row>
    <row r="3" spans="1:5" ht="15">
      <c r="A3" s="428" t="s">
        <v>406</v>
      </c>
      <c r="B3" s="429"/>
      <c r="C3" s="429"/>
      <c r="D3" s="429"/>
      <c r="E3" s="429"/>
    </row>
    <row r="4" spans="1:5" ht="15">
      <c r="A4" s="167"/>
      <c r="B4" s="167"/>
      <c r="C4" s="167"/>
      <c r="D4" s="167"/>
      <c r="E4" s="167"/>
    </row>
    <row r="5" spans="1:5" ht="15.75">
      <c r="A5" s="122" t="str">
        <f>CONCATENATE("From the County Clerks ",E1," Budget Information:")</f>
        <v>From the County Clerks 2010 Budget Information:</v>
      </c>
      <c r="B5" s="123"/>
      <c r="C5" s="21"/>
      <c r="D5" s="21"/>
      <c r="E5" s="65"/>
    </row>
    <row r="6" spans="1:5" ht="15.75">
      <c r="A6" s="111" t="str">
        <f>CONCATENATE("Total Assessed Valuation for ",E1-1,"")</f>
        <v>Total Assessed Valuation for 2009</v>
      </c>
      <c r="B6" s="114"/>
      <c r="C6" s="114"/>
      <c r="D6" s="114"/>
      <c r="E6" s="9">
        <v>11362063</v>
      </c>
    </row>
    <row r="7" spans="1:5" ht="15.75">
      <c r="A7" s="111" t="str">
        <f>CONCATENATE("New Improvements for ",E1-1,"")</f>
        <v>New Improvements for 2009</v>
      </c>
      <c r="B7" s="114"/>
      <c r="C7" s="114"/>
      <c r="D7" s="114"/>
      <c r="E7" s="18">
        <v>163348</v>
      </c>
    </row>
    <row r="8" spans="1:5" ht="15.75">
      <c r="A8" s="111" t="str">
        <f>CONCATENATE("Personal Property excluding oil, gas, mobile homes - ",E1-1,"")</f>
        <v>Personal Property excluding oil, gas, mobile homes - 2009</v>
      </c>
      <c r="B8" s="114"/>
      <c r="C8" s="114"/>
      <c r="D8" s="114"/>
      <c r="E8" s="18">
        <v>643838</v>
      </c>
    </row>
    <row r="9" spans="1:5" ht="15.75">
      <c r="A9" s="112" t="s">
        <v>327</v>
      </c>
      <c r="B9" s="114"/>
      <c r="C9" s="114"/>
      <c r="D9" s="114"/>
      <c r="E9" s="40"/>
    </row>
    <row r="10" spans="1:5" ht="15.75">
      <c r="A10" s="111" t="s">
        <v>280</v>
      </c>
      <c r="B10" s="114"/>
      <c r="C10" s="114"/>
      <c r="D10" s="114"/>
      <c r="E10" s="18">
        <v>0</v>
      </c>
    </row>
    <row r="11" spans="1:5" ht="15.75">
      <c r="A11" s="111" t="s">
        <v>281</v>
      </c>
      <c r="B11" s="114"/>
      <c r="C11" s="114"/>
      <c r="D11" s="114"/>
      <c r="E11" s="18">
        <v>0</v>
      </c>
    </row>
    <row r="12" spans="1:5" ht="15.75">
      <c r="A12" s="111" t="s">
        <v>282</v>
      </c>
      <c r="B12" s="114"/>
      <c r="C12" s="114"/>
      <c r="D12" s="114"/>
      <c r="E12" s="18">
        <v>0</v>
      </c>
    </row>
    <row r="13" spans="1:5" ht="15.75">
      <c r="A13" s="111" t="str">
        <f>CONCATENATE("Property that has changed in use for ",E1-1,"")</f>
        <v>Property that has changed in use for 2009</v>
      </c>
      <c r="B13" s="114"/>
      <c r="C13" s="114"/>
      <c r="D13" s="114"/>
      <c r="E13" s="18">
        <v>40810</v>
      </c>
    </row>
    <row r="14" spans="1:5" ht="15.75">
      <c r="A14" s="111" t="str">
        <f>CONCATENATE("Personal Property  excluding oil, gas, mobile homes- ",E1-2,"")</f>
        <v>Personal Property  excluding oil, gas, mobile homes- 2008</v>
      </c>
      <c r="B14" s="114"/>
      <c r="C14" s="114"/>
      <c r="D14" s="114"/>
      <c r="E14" s="18">
        <v>814620</v>
      </c>
    </row>
    <row r="15" spans="1:5" ht="15.75">
      <c r="A15" s="111" t="str">
        <f>CONCATENATE("Gross earnings (intangible) tax estimate for ",E1,"")</f>
        <v>Gross earnings (intangible) tax estimate for 2010</v>
      </c>
      <c r="B15" s="114"/>
      <c r="C15" s="114"/>
      <c r="D15" s="38"/>
      <c r="E15" s="9">
        <v>0</v>
      </c>
    </row>
    <row r="16" spans="1:5" ht="15.75">
      <c r="A16" s="111" t="s">
        <v>328</v>
      </c>
      <c r="B16" s="114"/>
      <c r="C16" s="114"/>
      <c r="D16" s="114"/>
      <c r="E16" s="17">
        <v>33438</v>
      </c>
    </row>
    <row r="17" spans="1:5" ht="15.75">
      <c r="A17" s="129"/>
      <c r="B17" s="105"/>
      <c r="C17" s="105"/>
      <c r="D17" s="105"/>
      <c r="E17" s="168"/>
    </row>
    <row r="18" spans="1:5" ht="15.75">
      <c r="A18" s="129" t="str">
        <f>CONCATENATE("Actual Tax Rates for the ",E1-1," Budget:")</f>
        <v>Actual Tax Rates for the 2009 Budget:</v>
      </c>
      <c r="B18" s="105"/>
      <c r="C18" s="105"/>
      <c r="D18" s="105"/>
      <c r="E18" s="168"/>
    </row>
    <row r="19" spans="1:5" ht="15.75">
      <c r="A19" s="434" t="s">
        <v>142</v>
      </c>
      <c r="B19" s="435"/>
      <c r="C19" s="167"/>
      <c r="D19" s="169" t="s">
        <v>198</v>
      </c>
      <c r="E19" s="168"/>
    </row>
    <row r="20" spans="1:5" ht="15.75">
      <c r="A20" s="110" t="s">
        <v>126</v>
      </c>
      <c r="B20" s="20"/>
      <c r="C20" s="105"/>
      <c r="D20" s="285">
        <v>51.871</v>
      </c>
      <c r="E20" s="168"/>
    </row>
    <row r="21" spans="1:5" ht="15.75">
      <c r="A21" s="111" t="s">
        <v>329</v>
      </c>
      <c r="B21" s="114"/>
      <c r="C21" s="105"/>
      <c r="D21" s="286">
        <v>14.85</v>
      </c>
      <c r="E21" s="168"/>
    </row>
    <row r="22" spans="1:5" ht="15.75">
      <c r="A22" s="111" t="str">
        <f>IF(inputPrYr!B19&gt;" ",(inputPrYr!B19)," ")</f>
        <v>Library</v>
      </c>
      <c r="B22" s="114"/>
      <c r="C22" s="105"/>
      <c r="D22" s="286">
        <v>7.536</v>
      </c>
      <c r="E22" s="168"/>
    </row>
    <row r="23" spans="1:5" ht="15.75">
      <c r="A23" s="111" t="str">
        <f>IF(inputPrYr!B20&gt;" ",(inputPrYr!B20)," ")</f>
        <v>Fire/Police Equipment</v>
      </c>
      <c r="B23" s="114"/>
      <c r="C23" s="105"/>
      <c r="D23" s="286">
        <v>1.018</v>
      </c>
      <c r="E23" s="168"/>
    </row>
    <row r="24" spans="1:5" ht="15.75">
      <c r="A24" s="111" t="str">
        <f>IF(inputPrYr!B21&gt;" ",(inputPrYr!B21)," ")</f>
        <v> </v>
      </c>
      <c r="B24" s="114"/>
      <c r="C24" s="105"/>
      <c r="D24" s="286"/>
      <c r="E24" s="168"/>
    </row>
    <row r="25" spans="1:5" ht="15.75">
      <c r="A25" s="111" t="str">
        <f>IF(inputPrYr!B22&gt;" ",(inputPrYr!B22)," ")</f>
        <v> </v>
      </c>
      <c r="B25" s="205"/>
      <c r="C25" s="105"/>
      <c r="D25" s="287"/>
      <c r="E25" s="168"/>
    </row>
    <row r="26" spans="1:5" ht="15.75">
      <c r="A26" s="111" t="str">
        <f>IF(inputPrYr!B23&gt;" ",(inputPrYr!B23)," ")</f>
        <v> </v>
      </c>
      <c r="B26" s="205"/>
      <c r="C26" s="105"/>
      <c r="D26" s="287"/>
      <c r="E26" s="168"/>
    </row>
    <row r="27" spans="1:5" ht="15.75">
      <c r="A27" s="111" t="str">
        <f>IF(inputPrYr!B24&gt;" ",(inputPrYr!B24)," ")</f>
        <v> </v>
      </c>
      <c r="B27" s="205"/>
      <c r="C27" s="105"/>
      <c r="D27" s="287"/>
      <c r="E27" s="168"/>
    </row>
    <row r="28" spans="1:5" ht="15.75">
      <c r="A28" s="111" t="str">
        <f>IF(inputPrYr!B25&gt;" ",(inputPrYr!B25)," ")</f>
        <v> </v>
      </c>
      <c r="B28" s="205"/>
      <c r="C28" s="105"/>
      <c r="D28" s="287"/>
      <c r="E28" s="168"/>
    </row>
    <row r="29" spans="1:5" ht="15.75">
      <c r="A29" s="111" t="str">
        <f>IF(inputPrYr!B26&gt;" ",(inputPrYr!B26)," ")</f>
        <v> </v>
      </c>
      <c r="B29" s="205"/>
      <c r="C29" s="105"/>
      <c r="D29" s="287"/>
      <c r="E29" s="168"/>
    </row>
    <row r="30" spans="1:5" ht="15.75">
      <c r="A30" s="111" t="str">
        <f>IF(inputPrYr!B27&gt;" ",(inputPrYr!B27)," ")</f>
        <v> </v>
      </c>
      <c r="B30" s="205"/>
      <c r="C30" s="105"/>
      <c r="D30" s="287"/>
      <c r="E30" s="168"/>
    </row>
    <row r="31" spans="1:5" ht="15.75">
      <c r="A31" s="111" t="str">
        <f>IF(inputPrYr!B28&gt;" ",(inputPrYr!B28)," ")</f>
        <v> </v>
      </c>
      <c r="B31" s="205"/>
      <c r="C31" s="105"/>
      <c r="D31" s="287"/>
      <c r="E31" s="168"/>
    </row>
    <row r="32" spans="1:5" ht="15.75">
      <c r="A32" s="113"/>
      <c r="B32" s="42" t="s">
        <v>128</v>
      </c>
      <c r="C32" s="170"/>
      <c r="D32" s="130">
        <f>SUM(D20:D31)</f>
        <v>75.275</v>
      </c>
      <c r="E32" s="113"/>
    </row>
    <row r="33" spans="1:5" ht="15">
      <c r="A33" s="113"/>
      <c r="B33" s="113"/>
      <c r="C33" s="113"/>
      <c r="D33" s="113"/>
      <c r="E33" s="113"/>
    </row>
    <row r="34" spans="1:5" ht="15.75">
      <c r="A34" s="20" t="str">
        <f>CONCATENATE("Final Assessed Valuation from the November 1, ",E1-2," Abstract")</f>
        <v>Final Assessed Valuation from the November 1, 2008 Abstract</v>
      </c>
      <c r="B34" s="171"/>
      <c r="C34" s="171"/>
      <c r="D34" s="171"/>
      <c r="E34" s="17">
        <v>11290983</v>
      </c>
    </row>
    <row r="35" spans="1:5" ht="15">
      <c r="A35" s="113"/>
      <c r="B35" s="113"/>
      <c r="C35" s="113"/>
      <c r="D35" s="113"/>
      <c r="E35" s="113"/>
    </row>
    <row r="36" spans="1:5" ht="15.75">
      <c r="A36" s="124" t="str">
        <f>CONCATENATE("From the County Treasurer's Budget Information - ",E1," Budget Year Estimates:")</f>
        <v>From the County Treasurer's Budget Information - 2010 Budget Year Estimates:</v>
      </c>
      <c r="B36" s="125"/>
      <c r="C36" s="125"/>
      <c r="D36" s="126"/>
      <c r="E36" s="65"/>
    </row>
    <row r="37" spans="1:5" ht="15.75">
      <c r="A37" s="110" t="s">
        <v>129</v>
      </c>
      <c r="B37" s="20"/>
      <c r="C37" s="20"/>
      <c r="D37" s="117"/>
      <c r="E37" s="9">
        <v>144499</v>
      </c>
    </row>
    <row r="38" spans="1:5" ht="15.75">
      <c r="A38" s="111" t="s">
        <v>130</v>
      </c>
      <c r="B38" s="114"/>
      <c r="C38" s="114"/>
      <c r="D38" s="118"/>
      <c r="E38" s="9">
        <v>2418</v>
      </c>
    </row>
    <row r="39" spans="1:5" ht="15.75">
      <c r="A39" s="111" t="s">
        <v>330</v>
      </c>
      <c r="B39" s="114"/>
      <c r="C39" s="114"/>
      <c r="D39" s="118"/>
      <c r="E39" s="9">
        <v>1221</v>
      </c>
    </row>
    <row r="40" spans="1:5" ht="15.75">
      <c r="A40" s="111" t="s">
        <v>331</v>
      </c>
      <c r="B40" s="114"/>
      <c r="C40" s="114"/>
      <c r="D40" s="118"/>
      <c r="E40" s="9">
        <v>0</v>
      </c>
    </row>
    <row r="41" spans="1:5" ht="15.75">
      <c r="A41" s="111" t="s">
        <v>332</v>
      </c>
      <c r="B41" s="114"/>
      <c r="C41" s="114"/>
      <c r="D41" s="118"/>
      <c r="E41" s="9">
        <v>0</v>
      </c>
    </row>
    <row r="42" spans="1:5" ht="15.75">
      <c r="A42" s="110" t="s">
        <v>333</v>
      </c>
      <c r="B42" s="20"/>
      <c r="C42" s="20"/>
      <c r="D42" s="117"/>
      <c r="E42" s="9">
        <v>0</v>
      </c>
    </row>
    <row r="43" spans="1:5" ht="15.75">
      <c r="A43" s="21" t="s">
        <v>334</v>
      </c>
      <c r="B43" s="21"/>
      <c r="C43" s="21"/>
      <c r="D43" s="21"/>
      <c r="E43" s="21"/>
    </row>
    <row r="44" spans="1:5" ht="15.75">
      <c r="A44" s="22" t="s">
        <v>150</v>
      </c>
      <c r="B44" s="27"/>
      <c r="C44" s="27"/>
      <c r="D44" s="21"/>
      <c r="E44" s="21"/>
    </row>
    <row r="45" spans="1:5" ht="15.75">
      <c r="A45" s="129" t="str">
        <f>CONCATENATE("Actual Delinquency for ",E1-2," Tax")</f>
        <v>Actual Delinquency for 2008 Tax</v>
      </c>
      <c r="B45" s="105"/>
      <c r="C45" s="21"/>
      <c r="D45" s="21"/>
      <c r="E45" s="281"/>
    </row>
    <row r="46" spans="1:5" ht="15.75">
      <c r="A46" s="110" t="s">
        <v>335</v>
      </c>
      <c r="B46" s="110"/>
      <c r="C46" s="20"/>
      <c r="D46" s="20"/>
      <c r="E46" s="229">
        <v>0</v>
      </c>
    </row>
    <row r="47" spans="1:5" ht="15.75">
      <c r="A47" s="21"/>
      <c r="B47" s="21"/>
      <c r="C47" s="21"/>
      <c r="D47" s="21"/>
      <c r="E47" s="21"/>
    </row>
    <row r="48" spans="1:5" ht="15.75">
      <c r="A48" s="172" t="s">
        <v>7</v>
      </c>
      <c r="B48" s="173"/>
      <c r="C48" s="174"/>
      <c r="D48" s="174"/>
      <c r="E48" s="174"/>
    </row>
    <row r="49" spans="1:5" ht="15.75">
      <c r="A49" s="152" t="str">
        <f>CONCATENATE("",E1," State Distribution for Kansas Gas Tax")</f>
        <v>2010 State Distribution for Kansas Gas Tax</v>
      </c>
      <c r="B49" s="175"/>
      <c r="C49" s="175"/>
      <c r="D49" s="176"/>
      <c r="E49" s="17">
        <v>60000</v>
      </c>
    </row>
    <row r="50" spans="1:5" ht="15.75">
      <c r="A50" s="177" t="str">
        <f>CONCATENATE("",E1," County Transfers for Gas**")</f>
        <v>2010 County Transfers for Gas**</v>
      </c>
      <c r="B50" s="178"/>
      <c r="C50" s="178"/>
      <c r="D50" s="179"/>
      <c r="E50" s="17">
        <v>0</v>
      </c>
    </row>
    <row r="51" spans="1:5" ht="15.75">
      <c r="A51" s="177" t="str">
        <f>CONCATENATE("Adjusted ",E1-1," State Distribution for Kansas Gas Tax")</f>
        <v>Adjusted 2009 State Distribution for Kansas Gas Tax</v>
      </c>
      <c r="B51" s="178"/>
      <c r="C51" s="178"/>
      <c r="D51" s="179"/>
      <c r="E51" s="17">
        <v>67000</v>
      </c>
    </row>
    <row r="52" spans="1:5" ht="15.75">
      <c r="A52" s="177" t="str">
        <f>CONCATENATE("Adjusted ",E1-1," County Transfers for Gas**")</f>
        <v>Adjusted 2009 County Transfers for Gas**</v>
      </c>
      <c r="B52" s="178"/>
      <c r="C52" s="178"/>
      <c r="D52" s="179"/>
      <c r="E52" s="17">
        <v>0</v>
      </c>
    </row>
    <row r="53" spans="1:5" ht="15.75">
      <c r="A53" s="436" t="s">
        <v>401</v>
      </c>
      <c r="B53" s="437"/>
      <c r="C53" s="437"/>
      <c r="D53" s="437"/>
      <c r="E53" s="437"/>
    </row>
    <row r="54" spans="1:5" ht="15">
      <c r="A54" s="180" t="s">
        <v>402</v>
      </c>
      <c r="B54" s="180"/>
      <c r="C54" s="180"/>
      <c r="D54" s="180"/>
      <c r="E54" s="180"/>
    </row>
    <row r="55" spans="1:5" ht="15">
      <c r="A55" s="167"/>
      <c r="B55" s="167"/>
      <c r="C55" s="167"/>
      <c r="D55" s="167"/>
      <c r="E55" s="167"/>
    </row>
    <row r="56" spans="1:5" ht="15.75">
      <c r="A56" s="438" t="str">
        <f>CONCATENATE("From the ",E1-2," Budget Certificate Page")</f>
        <v>From the 2008 Budget Certificate Page</v>
      </c>
      <c r="B56" s="439"/>
      <c r="C56" s="167"/>
      <c r="D56" s="167"/>
      <c r="E56" s="167"/>
    </row>
    <row r="57" spans="1:5" ht="15.75">
      <c r="A57" s="322"/>
      <c r="B57" s="322" t="str">
        <f>CONCATENATE("",E1-2," Expenditure Amounts")</f>
        <v>2008 Expenditure Amounts</v>
      </c>
      <c r="C57" s="432" t="str">
        <f>CONCATENATE("Note: If the ",E1-2," budget was amended, then the")</f>
        <v>Note: If the 2008 budget was amended, then the</v>
      </c>
      <c r="D57" s="433"/>
      <c r="E57" s="433"/>
    </row>
    <row r="58" spans="1:5" ht="15.75">
      <c r="A58" s="323" t="s">
        <v>15</v>
      </c>
      <c r="B58" s="323" t="s">
        <v>16</v>
      </c>
      <c r="C58" s="324" t="s">
        <v>17</v>
      </c>
      <c r="D58" s="325"/>
      <c r="E58" s="325"/>
    </row>
    <row r="59" spans="1:5" ht="15.75">
      <c r="A59" s="326" t="str">
        <f>inputPrYr!B16</f>
        <v>General</v>
      </c>
      <c r="B59" s="17">
        <v>1805623</v>
      </c>
      <c r="C59" s="324" t="s">
        <v>18</v>
      </c>
      <c r="D59" s="327"/>
      <c r="E59" s="327"/>
    </row>
    <row r="60" spans="1:5" ht="15.75">
      <c r="A60" s="326" t="str">
        <f>inputPrYr!B17</f>
        <v>Debt Service</v>
      </c>
      <c r="B60" s="17">
        <v>471552</v>
      </c>
      <c r="C60" s="324"/>
      <c r="D60" s="327"/>
      <c r="E60" s="327"/>
    </row>
    <row r="61" spans="1:5" ht="15.75">
      <c r="A61" s="326" t="str">
        <f>inputPrYr!B19</f>
        <v>Library</v>
      </c>
      <c r="B61" s="17">
        <v>100919</v>
      </c>
      <c r="C61" s="167"/>
      <c r="D61" s="167"/>
      <c r="E61" s="167"/>
    </row>
    <row r="62" spans="1:5" ht="15.75">
      <c r="A62" s="326" t="str">
        <f>inputPrYr!B20</f>
        <v>Fire/Police Equipment</v>
      </c>
      <c r="B62" s="17">
        <v>28007</v>
      </c>
      <c r="C62" s="167"/>
      <c r="D62" s="167"/>
      <c r="E62" s="167"/>
    </row>
    <row r="63" spans="1:5" ht="15.75">
      <c r="A63" s="326">
        <f>inputPrYr!B21</f>
        <v>0</v>
      </c>
      <c r="B63" s="17"/>
      <c r="C63" s="167"/>
      <c r="D63" s="167"/>
      <c r="E63" s="167"/>
    </row>
    <row r="64" spans="1:5" ht="15.75">
      <c r="A64" s="326">
        <f>inputPrYr!B22</f>
        <v>0</v>
      </c>
      <c r="B64" s="17"/>
      <c r="C64" s="167"/>
      <c r="D64" s="167"/>
      <c r="E64" s="167"/>
    </row>
    <row r="65" spans="1:5" ht="15.75">
      <c r="A65" s="326">
        <f>inputPrYr!B23</f>
        <v>0</v>
      </c>
      <c r="B65" s="17"/>
      <c r="C65" s="167"/>
      <c r="D65" s="167"/>
      <c r="E65" s="167"/>
    </row>
    <row r="66" spans="1:5" ht="15.75">
      <c r="A66" s="326">
        <f>inputPrYr!B24</f>
        <v>0</v>
      </c>
      <c r="B66" s="17"/>
      <c r="C66" s="167"/>
      <c r="D66" s="167"/>
      <c r="E66" s="167"/>
    </row>
    <row r="67" spans="1:5" ht="15.75">
      <c r="A67" s="326">
        <f>inputPrYr!B25</f>
        <v>0</v>
      </c>
      <c r="B67" s="17"/>
      <c r="C67" s="167"/>
      <c r="D67" s="167"/>
      <c r="E67" s="167"/>
    </row>
    <row r="68" spans="1:5" ht="15.75">
      <c r="A68" s="326">
        <f>inputPrYr!B26</f>
        <v>0</v>
      </c>
      <c r="B68" s="17"/>
      <c r="C68" s="167"/>
      <c r="D68" s="167"/>
      <c r="E68" s="167"/>
    </row>
    <row r="69" spans="1:5" ht="15.75">
      <c r="A69" s="326">
        <f>inputPrYr!B27</f>
        <v>0</v>
      </c>
      <c r="B69" s="17"/>
      <c r="C69" s="167"/>
      <c r="D69" s="167"/>
      <c r="E69" s="167"/>
    </row>
    <row r="70" spans="1:5" ht="15.75">
      <c r="A70" s="326">
        <f>inputPrYr!B28</f>
        <v>0</v>
      </c>
      <c r="B70" s="17"/>
      <c r="C70" s="167"/>
      <c r="D70" s="167"/>
      <c r="E70" s="167"/>
    </row>
    <row r="71" spans="1:5" ht="15.75">
      <c r="A71" s="326" t="str">
        <f>inputPrYr!B32</f>
        <v>Special Highway</v>
      </c>
      <c r="B71" s="17">
        <v>100596</v>
      </c>
      <c r="C71" s="167"/>
      <c r="D71" s="167"/>
      <c r="E71" s="167"/>
    </row>
    <row r="72" spans="1:5" ht="15.75">
      <c r="A72" s="326" t="str">
        <f>inputPrYr!B33</f>
        <v>Special Parks &amp; Recreation</v>
      </c>
      <c r="B72" s="17">
        <v>6020</v>
      </c>
      <c r="C72" s="167"/>
      <c r="D72" s="167"/>
      <c r="E72" s="167"/>
    </row>
    <row r="73" spans="1:5" ht="15.75">
      <c r="A73" s="326" t="str">
        <f>inputPrYr!B34</f>
        <v>Solid Waste</v>
      </c>
      <c r="B73" s="17">
        <v>152001</v>
      </c>
      <c r="C73" s="167"/>
      <c r="D73" s="167"/>
      <c r="E73" s="167"/>
    </row>
    <row r="74" spans="1:5" ht="15.75">
      <c r="A74" s="326" t="str">
        <f>inputPrYr!B35</f>
        <v>Capital Improvements</v>
      </c>
      <c r="B74" s="17">
        <v>514357</v>
      </c>
      <c r="C74" s="167"/>
      <c r="D74" s="167"/>
      <c r="E74" s="167"/>
    </row>
    <row r="75" spans="1:5" ht="15.75">
      <c r="A75" s="326" t="str">
        <f>inputPrYr!B36</f>
        <v>Municipal Equipment</v>
      </c>
      <c r="B75" s="17">
        <v>603546</v>
      </c>
      <c r="C75" s="167"/>
      <c r="D75" s="167"/>
      <c r="E75" s="167"/>
    </row>
    <row r="76" spans="1:5" ht="15.75">
      <c r="A76" s="326" t="str">
        <f>inputPrYr!B37</f>
        <v>Tourism &amp; Convention</v>
      </c>
      <c r="B76" s="17">
        <v>24300</v>
      </c>
      <c r="C76" s="167"/>
      <c r="D76" s="167"/>
      <c r="E76" s="167"/>
    </row>
    <row r="77" spans="1:5" ht="15.75">
      <c r="A77" s="326" t="str">
        <f>inputPrYr!B38</f>
        <v>Transportaion District</v>
      </c>
      <c r="B77" s="17">
        <v>1141850</v>
      </c>
      <c r="C77" s="167"/>
      <c r="D77" s="167"/>
      <c r="E77" s="167"/>
    </row>
    <row r="78" spans="1:5" ht="15.75">
      <c r="A78" s="326" t="str">
        <f>inputPrYr!B39</f>
        <v>W/S Emergency Depreciation</v>
      </c>
      <c r="B78" s="17">
        <v>111848</v>
      </c>
      <c r="C78" s="167"/>
      <c r="D78" s="167"/>
      <c r="E78" s="167"/>
    </row>
    <row r="79" spans="1:5" ht="15.75">
      <c r="A79" s="326" t="str">
        <f>inputPrYr!B40</f>
        <v>W/S Improvenment</v>
      </c>
      <c r="B79" s="17">
        <v>502871</v>
      </c>
      <c r="C79" s="167"/>
      <c r="D79" s="167"/>
      <c r="E79" s="167"/>
    </row>
    <row r="80" spans="1:5" ht="15.75">
      <c r="A80" s="326" t="str">
        <f>inputPrYr!B41</f>
        <v>WWTP Improvement</v>
      </c>
      <c r="B80" s="17">
        <v>1345000</v>
      </c>
      <c r="C80" s="167"/>
      <c r="D80" s="167"/>
      <c r="E80" s="167"/>
    </row>
    <row r="81" spans="1:5" ht="15.75">
      <c r="A81" s="326">
        <f>inputPrYr!B42</f>
        <v>0</v>
      </c>
      <c r="B81" s="17"/>
      <c r="C81" s="167"/>
      <c r="D81" s="167"/>
      <c r="E81" s="167"/>
    </row>
    <row r="82" spans="1:5" ht="15.75">
      <c r="A82" s="326">
        <f>inputPrYr!B43</f>
        <v>0</v>
      </c>
      <c r="B82" s="17"/>
      <c r="C82" s="167"/>
      <c r="D82" s="167"/>
      <c r="E82" s="167"/>
    </row>
    <row r="83" spans="1:5" ht="15.75">
      <c r="A83" s="326" t="str">
        <f>inputPrYr!B45</f>
        <v>Water/Sewer</v>
      </c>
      <c r="B83" s="17">
        <v>1173735</v>
      </c>
      <c r="C83" s="167"/>
      <c r="D83" s="167"/>
      <c r="E83" s="167"/>
    </row>
    <row r="84" spans="1:5" ht="15.75">
      <c r="A84" s="326" t="str">
        <f>inputPrYr!B46</f>
        <v>Recreation &amp; Pool</v>
      </c>
      <c r="B84" s="17">
        <v>184442</v>
      </c>
      <c r="C84" s="167"/>
      <c r="D84" s="167"/>
      <c r="E84" s="167"/>
    </row>
    <row r="85" spans="1:5" ht="15.75">
      <c r="A85" s="326">
        <f>inputPrYr!B47</f>
        <v>0</v>
      </c>
      <c r="B85" s="17"/>
      <c r="C85" s="167"/>
      <c r="D85" s="167"/>
      <c r="E85" s="167"/>
    </row>
    <row r="86" spans="1:5" ht="15.75">
      <c r="A86" s="326">
        <f>inputPrYr!B48</f>
        <v>0</v>
      </c>
      <c r="B86" s="17"/>
      <c r="C86" s="167"/>
      <c r="D86" s="167"/>
      <c r="E86" s="167"/>
    </row>
  </sheetData>
  <sheetProtection sheet="1" objects="1" scenarios="1"/>
  <mergeCells count="5">
    <mergeCell ref="C57:E57"/>
    <mergeCell ref="A19:B19"/>
    <mergeCell ref="A53:E53"/>
    <mergeCell ref="A3:E3"/>
    <mergeCell ref="A56:B56"/>
  </mergeCells>
  <printOptions/>
  <pageMargins left="0.75" right="0.75" top="1" bottom="1" header="0.5" footer="0.5"/>
  <pageSetup blackAndWhite="1" fitToHeight="1" fitToWidth="1" horizontalDpi="600" verticalDpi="600" orientation="portrait" scale="48" r:id="rId1"/>
  <headerFooter alignWithMargins="0">
    <oddFooter>&amp;Lrevised 2/23/09</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6384" width="8.8984375" style="2" customWidth="1"/>
  </cols>
  <sheetData>
    <row r="1" spans="1:11" ht="15.75">
      <c r="A1" s="51" t="str">
        <f>inputPrYr!$D$2</f>
        <v>City of Ellsworth</v>
      </c>
      <c r="B1" s="151"/>
      <c r="C1" s="50"/>
      <c r="D1" s="50"/>
      <c r="E1" s="50"/>
      <c r="F1" s="52" t="s">
        <v>325</v>
      </c>
      <c r="G1" s="50"/>
      <c r="H1" s="50"/>
      <c r="I1" s="50"/>
      <c r="J1" s="50"/>
      <c r="K1" s="50">
        <f>inputPrYr!$C$5</f>
        <v>2010</v>
      </c>
    </row>
    <row r="2" spans="1:11" ht="15.75">
      <c r="A2" s="50"/>
      <c r="B2" s="50"/>
      <c r="C2" s="50"/>
      <c r="D2" s="50"/>
      <c r="E2" s="50"/>
      <c r="F2" s="357" t="str">
        <f>CONCATENATE("(Only the actual budget year for ",K1-2," is to be shown)")</f>
        <v>(Only the actual budget year for 2008 is to be shown)</v>
      </c>
      <c r="G2" s="50"/>
      <c r="H2" s="50"/>
      <c r="I2" s="50"/>
      <c r="J2" s="50"/>
      <c r="K2" s="50"/>
    </row>
    <row r="3" spans="1:11" ht="15.75">
      <c r="A3" s="50" t="s">
        <v>368</v>
      </c>
      <c r="B3" s="50"/>
      <c r="C3" s="50"/>
      <c r="D3" s="50"/>
      <c r="E3" s="50"/>
      <c r="F3" s="151"/>
      <c r="G3" s="50"/>
      <c r="H3" s="50"/>
      <c r="I3" s="50"/>
      <c r="J3" s="50"/>
      <c r="K3" s="50"/>
    </row>
    <row r="4" spans="1:11" ht="15.75">
      <c r="A4" s="50" t="s">
        <v>317</v>
      </c>
      <c r="B4" s="50"/>
      <c r="C4" s="50" t="s">
        <v>318</v>
      </c>
      <c r="D4" s="50"/>
      <c r="E4" s="50" t="s">
        <v>319</v>
      </c>
      <c r="F4" s="151"/>
      <c r="G4" s="50" t="s">
        <v>320</v>
      </c>
      <c r="H4" s="50"/>
      <c r="I4" s="50" t="s">
        <v>321</v>
      </c>
      <c r="J4" s="50"/>
      <c r="K4" s="50"/>
    </row>
    <row r="5" spans="1:11" ht="15.75">
      <c r="A5" s="509" t="str">
        <f>IF(inputPrYr!B63&gt;" ",(inputPrYr!B63)," ")</f>
        <v> </v>
      </c>
      <c r="B5" s="510"/>
      <c r="C5" s="509" t="str">
        <f>IF(inputPrYr!B64&gt;" ",(inputPrYr!B64)," ")</f>
        <v> </v>
      </c>
      <c r="D5" s="510"/>
      <c r="E5" s="509" t="str">
        <f>IF(inputPrYr!B65&gt;" ",(inputPrYr!B65)," ")</f>
        <v> </v>
      </c>
      <c r="F5" s="510"/>
      <c r="G5" s="509" t="str">
        <f>IF(inputPrYr!B66&gt;" ",(inputPrYr!B66)," ")</f>
        <v> </v>
      </c>
      <c r="H5" s="510"/>
      <c r="I5" s="509" t="str">
        <f>IF(inputPrYr!B67&gt;" ",(inputPrYr!B67)," ")</f>
        <v> </v>
      </c>
      <c r="J5" s="510"/>
      <c r="K5" s="152"/>
    </row>
    <row r="6" spans="1:11" ht="15.75">
      <c r="A6" s="153" t="s">
        <v>322</v>
      </c>
      <c r="B6" s="154"/>
      <c r="C6" s="155" t="s">
        <v>322</v>
      </c>
      <c r="D6" s="156"/>
      <c r="E6" s="155" t="s">
        <v>322</v>
      </c>
      <c r="F6" s="157"/>
      <c r="G6" s="155" t="s">
        <v>322</v>
      </c>
      <c r="H6" s="158"/>
      <c r="I6" s="155" t="s">
        <v>322</v>
      </c>
      <c r="J6" s="50"/>
      <c r="K6" s="159" t="s">
        <v>128</v>
      </c>
    </row>
    <row r="7" spans="1:11" ht="15.75">
      <c r="A7" s="160" t="s">
        <v>48</v>
      </c>
      <c r="B7" s="275"/>
      <c r="C7" s="161" t="s">
        <v>48</v>
      </c>
      <c r="D7" s="275"/>
      <c r="E7" s="161" t="s">
        <v>48</v>
      </c>
      <c r="F7" s="275"/>
      <c r="G7" s="161" t="s">
        <v>48</v>
      </c>
      <c r="H7" s="275"/>
      <c r="I7" s="161" t="s">
        <v>48</v>
      </c>
      <c r="J7" s="275"/>
      <c r="K7" s="261">
        <f>SUM(B7+D7+F7+H7+J7)</f>
        <v>0</v>
      </c>
    </row>
    <row r="8" spans="1:11" ht="15.75">
      <c r="A8" s="162" t="s">
        <v>289</v>
      </c>
      <c r="B8" s="163"/>
      <c r="C8" s="162" t="s">
        <v>289</v>
      </c>
      <c r="D8" s="164"/>
      <c r="E8" s="162" t="s">
        <v>289</v>
      </c>
      <c r="F8" s="151"/>
      <c r="G8" s="162" t="s">
        <v>289</v>
      </c>
      <c r="H8" s="50"/>
      <c r="I8" s="162" t="s">
        <v>289</v>
      </c>
      <c r="J8" s="50"/>
      <c r="K8" s="151"/>
    </row>
    <row r="9" spans="1:11" ht="15.75">
      <c r="A9" s="274"/>
      <c r="B9" s="275"/>
      <c r="C9" s="274"/>
      <c r="D9" s="275"/>
      <c r="E9" s="274"/>
      <c r="F9" s="275"/>
      <c r="G9" s="274"/>
      <c r="H9" s="275"/>
      <c r="I9" s="274"/>
      <c r="J9" s="275"/>
      <c r="K9" s="151"/>
    </row>
    <row r="10" spans="1:11" ht="15.75">
      <c r="A10" s="274"/>
      <c r="B10" s="275"/>
      <c r="C10" s="274"/>
      <c r="D10" s="275"/>
      <c r="E10" s="274"/>
      <c r="F10" s="275"/>
      <c r="G10" s="274"/>
      <c r="H10" s="275"/>
      <c r="I10" s="274"/>
      <c r="J10" s="275"/>
      <c r="K10" s="151"/>
    </row>
    <row r="11" spans="1:11" ht="15.75">
      <c r="A11" s="274"/>
      <c r="B11" s="275"/>
      <c r="C11" s="276"/>
      <c r="D11" s="275"/>
      <c r="E11" s="276"/>
      <c r="F11" s="275"/>
      <c r="G11" s="276"/>
      <c r="H11" s="275"/>
      <c r="I11" s="277"/>
      <c r="J11" s="275"/>
      <c r="K11" s="151"/>
    </row>
    <row r="12" spans="1:11" ht="15.75">
      <c r="A12" s="274"/>
      <c r="B12" s="275"/>
      <c r="C12" s="274"/>
      <c r="D12" s="275"/>
      <c r="E12" s="278"/>
      <c r="F12" s="275"/>
      <c r="G12" s="278"/>
      <c r="H12" s="275"/>
      <c r="I12" s="278"/>
      <c r="J12" s="275"/>
      <c r="K12" s="151"/>
    </row>
    <row r="13" spans="1:11" ht="15.75">
      <c r="A13" s="279"/>
      <c r="B13" s="275"/>
      <c r="C13" s="280"/>
      <c r="D13" s="275"/>
      <c r="E13" s="280"/>
      <c r="F13" s="275"/>
      <c r="G13" s="280"/>
      <c r="H13" s="275"/>
      <c r="I13" s="277"/>
      <c r="J13" s="275"/>
      <c r="K13" s="151"/>
    </row>
    <row r="14" spans="1:11" ht="15.75">
      <c r="A14" s="274"/>
      <c r="B14" s="275"/>
      <c r="C14" s="278"/>
      <c r="D14" s="275"/>
      <c r="E14" s="278"/>
      <c r="F14" s="275"/>
      <c r="G14" s="278"/>
      <c r="H14" s="275"/>
      <c r="I14" s="278"/>
      <c r="J14" s="275"/>
      <c r="K14" s="151"/>
    </row>
    <row r="15" spans="1:11" ht="15.75">
      <c r="A15" s="274"/>
      <c r="B15" s="275"/>
      <c r="C15" s="278"/>
      <c r="D15" s="275"/>
      <c r="E15" s="278"/>
      <c r="F15" s="275"/>
      <c r="G15" s="278"/>
      <c r="H15" s="275"/>
      <c r="I15" s="278"/>
      <c r="J15" s="275"/>
      <c r="K15" s="151"/>
    </row>
    <row r="16" spans="1:11" ht="15.75">
      <c r="A16" s="274"/>
      <c r="B16" s="275"/>
      <c r="C16" s="274"/>
      <c r="D16" s="275"/>
      <c r="E16" s="274"/>
      <c r="F16" s="275"/>
      <c r="G16" s="278"/>
      <c r="H16" s="275"/>
      <c r="I16" s="274"/>
      <c r="J16" s="275"/>
      <c r="K16" s="151"/>
    </row>
    <row r="17" spans="1:11" ht="15.75">
      <c r="A17" s="162" t="s">
        <v>163</v>
      </c>
      <c r="B17" s="261">
        <f>SUM(B9:B16)</f>
        <v>0</v>
      </c>
      <c r="C17" s="162" t="s">
        <v>163</v>
      </c>
      <c r="D17" s="262">
        <f>SUM(D9:D16)</f>
        <v>0</v>
      </c>
      <c r="E17" s="162" t="s">
        <v>163</v>
      </c>
      <c r="F17" s="263">
        <f>SUM(F9:F16)</f>
        <v>0</v>
      </c>
      <c r="G17" s="162" t="s">
        <v>163</v>
      </c>
      <c r="H17" s="262">
        <f>SUM(H9:H16)</f>
        <v>0</v>
      </c>
      <c r="I17" s="162" t="s">
        <v>163</v>
      </c>
      <c r="J17" s="262">
        <f>SUM(J9:J16)</f>
        <v>0</v>
      </c>
      <c r="K17" s="261">
        <f>SUM(B17+D17+F17+H17+J17)</f>
        <v>0</v>
      </c>
    </row>
    <row r="18" spans="1:11" ht="15.75">
      <c r="A18" s="162" t="s">
        <v>164</v>
      </c>
      <c r="B18" s="261">
        <f>SUM(B7+B17)</f>
        <v>0</v>
      </c>
      <c r="C18" s="162" t="s">
        <v>164</v>
      </c>
      <c r="D18" s="261">
        <f>SUM(D7+D17)</f>
        <v>0</v>
      </c>
      <c r="E18" s="162" t="s">
        <v>164</v>
      </c>
      <c r="F18" s="261">
        <f>SUM(F7+F17)</f>
        <v>0</v>
      </c>
      <c r="G18" s="162" t="s">
        <v>164</v>
      </c>
      <c r="H18" s="261">
        <f>SUM(H7+H17)</f>
        <v>0</v>
      </c>
      <c r="I18" s="162" t="s">
        <v>164</v>
      </c>
      <c r="J18" s="261">
        <f>SUM(J7+J17)</f>
        <v>0</v>
      </c>
      <c r="K18" s="261">
        <f>SUM(B18+D18+F18+H18+J18)</f>
        <v>0</v>
      </c>
    </row>
    <row r="19" spans="1:11" ht="15.75">
      <c r="A19" s="162" t="s">
        <v>166</v>
      </c>
      <c r="B19" s="163"/>
      <c r="C19" s="162" t="s">
        <v>166</v>
      </c>
      <c r="D19" s="164"/>
      <c r="E19" s="162" t="s">
        <v>166</v>
      </c>
      <c r="F19" s="151"/>
      <c r="G19" s="162" t="s">
        <v>166</v>
      </c>
      <c r="H19" s="50"/>
      <c r="I19" s="162" t="s">
        <v>166</v>
      </c>
      <c r="J19" s="50"/>
      <c r="K19" s="151"/>
    </row>
    <row r="20" spans="1:11" ht="15.75">
      <c r="A20" s="274"/>
      <c r="B20" s="275"/>
      <c r="C20" s="278"/>
      <c r="D20" s="275"/>
      <c r="E20" s="278"/>
      <c r="F20" s="275"/>
      <c r="G20" s="278"/>
      <c r="H20" s="275"/>
      <c r="I20" s="278"/>
      <c r="J20" s="275"/>
      <c r="K20" s="151"/>
    </row>
    <row r="21" spans="1:11" ht="15.75">
      <c r="A21" s="274"/>
      <c r="B21" s="275"/>
      <c r="C21" s="278"/>
      <c r="D21" s="275"/>
      <c r="E21" s="278"/>
      <c r="F21" s="275"/>
      <c r="G21" s="278"/>
      <c r="H21" s="275"/>
      <c r="I21" s="278"/>
      <c r="J21" s="275"/>
      <c r="K21" s="151"/>
    </row>
    <row r="22" spans="1:11" ht="15.75">
      <c r="A22" s="274"/>
      <c r="B22" s="275"/>
      <c r="C22" s="280"/>
      <c r="D22" s="275"/>
      <c r="E22" s="280"/>
      <c r="F22" s="275"/>
      <c r="G22" s="280"/>
      <c r="H22" s="275"/>
      <c r="I22" s="277"/>
      <c r="J22" s="275"/>
      <c r="K22" s="151"/>
    </row>
    <row r="23" spans="1:11" ht="15.75">
      <c r="A23" s="274"/>
      <c r="B23" s="275"/>
      <c r="C23" s="278"/>
      <c r="D23" s="275"/>
      <c r="E23" s="278"/>
      <c r="F23" s="275"/>
      <c r="G23" s="278"/>
      <c r="H23" s="275"/>
      <c r="I23" s="278"/>
      <c r="J23" s="275"/>
      <c r="K23" s="151"/>
    </row>
    <row r="24" spans="1:11" ht="15.75">
      <c r="A24" s="274"/>
      <c r="B24" s="275"/>
      <c r="C24" s="280"/>
      <c r="D24" s="275"/>
      <c r="E24" s="280"/>
      <c r="F24" s="275"/>
      <c r="G24" s="280"/>
      <c r="H24" s="275"/>
      <c r="I24" s="277"/>
      <c r="J24" s="275"/>
      <c r="K24" s="151"/>
    </row>
    <row r="25" spans="1:11" ht="15.75">
      <c r="A25" s="274"/>
      <c r="B25" s="275"/>
      <c r="C25" s="278"/>
      <c r="D25" s="275"/>
      <c r="E25" s="278"/>
      <c r="F25" s="275"/>
      <c r="G25" s="278"/>
      <c r="H25" s="275"/>
      <c r="I25" s="278"/>
      <c r="J25" s="275"/>
      <c r="K25" s="151"/>
    </row>
    <row r="26" spans="1:11" ht="15.75">
      <c r="A26" s="274"/>
      <c r="B26" s="275"/>
      <c r="C26" s="278"/>
      <c r="D26" s="275"/>
      <c r="E26" s="278"/>
      <c r="F26" s="275"/>
      <c r="G26" s="278"/>
      <c r="H26" s="275"/>
      <c r="I26" s="278"/>
      <c r="J26" s="275"/>
      <c r="K26" s="151"/>
    </row>
    <row r="27" spans="1:11" ht="15.75">
      <c r="A27" s="274"/>
      <c r="B27" s="275"/>
      <c r="C27" s="274"/>
      <c r="D27" s="275"/>
      <c r="E27" s="274"/>
      <c r="F27" s="275"/>
      <c r="G27" s="278"/>
      <c r="H27" s="275"/>
      <c r="I27" s="278"/>
      <c r="J27" s="275"/>
      <c r="K27" s="151"/>
    </row>
    <row r="28" spans="1:11" ht="15.75">
      <c r="A28" s="162" t="s">
        <v>170</v>
      </c>
      <c r="B28" s="261">
        <f>SUM(B20:B27)</f>
        <v>0</v>
      </c>
      <c r="C28" s="162" t="s">
        <v>170</v>
      </c>
      <c r="D28" s="262">
        <f>SUM(D20:D27)</f>
        <v>0</v>
      </c>
      <c r="E28" s="162" t="s">
        <v>170</v>
      </c>
      <c r="F28" s="263">
        <f>SUM(F20:F27)</f>
        <v>0</v>
      </c>
      <c r="G28" s="162" t="s">
        <v>170</v>
      </c>
      <c r="H28" s="263">
        <f>SUM(H20:H27)</f>
        <v>0</v>
      </c>
      <c r="I28" s="162" t="s">
        <v>170</v>
      </c>
      <c r="J28" s="262">
        <f>SUM(J20:J27)</f>
        <v>0</v>
      </c>
      <c r="K28" s="261">
        <f>SUM(B28+D28+F28+H28+J28)</f>
        <v>0</v>
      </c>
    </row>
    <row r="29" spans="1:12" ht="15.75">
      <c r="A29" s="162" t="s">
        <v>323</v>
      </c>
      <c r="B29" s="261">
        <f>SUM(B18-B28)</f>
        <v>0</v>
      </c>
      <c r="C29" s="162" t="s">
        <v>323</v>
      </c>
      <c r="D29" s="261">
        <f>SUM(D18-D28)</f>
        <v>0</v>
      </c>
      <c r="E29" s="162" t="s">
        <v>323</v>
      </c>
      <c r="F29" s="261">
        <f>SUM(F18-F28)</f>
        <v>0</v>
      </c>
      <c r="G29" s="162" t="s">
        <v>323</v>
      </c>
      <c r="H29" s="261">
        <f>SUM(H18-H28)</f>
        <v>0</v>
      </c>
      <c r="I29" s="162" t="s">
        <v>323</v>
      </c>
      <c r="J29" s="261">
        <f>SUM(J18-J28)</f>
        <v>0</v>
      </c>
      <c r="K29" s="264">
        <f>SUM(B29+D29+F29+H29+J29)</f>
        <v>0</v>
      </c>
      <c r="L29" s="2" t="s">
        <v>413</v>
      </c>
    </row>
    <row r="30" spans="1:12" ht="15.75">
      <c r="A30" s="162"/>
      <c r="B30" s="360">
        <f>IF(B29&lt;0,"Neg Bal","")</f>
      </c>
      <c r="C30" s="162"/>
      <c r="D30" s="360">
        <f>IF(D29&lt;0,"Neg Bal","")</f>
      </c>
      <c r="E30" s="162"/>
      <c r="F30" s="360">
        <f>IF(F29&lt;0,"Neg Bal","")</f>
      </c>
      <c r="G30" s="50"/>
      <c r="H30" s="360">
        <f>IF(H29&lt;0,"Neg Bal","")</f>
      </c>
      <c r="I30" s="50"/>
      <c r="J30" s="360">
        <f>IF(J29&lt;0,"Neg Bal","")</f>
      </c>
      <c r="K30" s="264">
        <f>SUM(K7+K17-K28)</f>
        <v>0</v>
      </c>
      <c r="L30" s="2" t="s">
        <v>413</v>
      </c>
    </row>
    <row r="31" spans="1:11" ht="15.75">
      <c r="A31" s="50"/>
      <c r="B31" s="55"/>
      <c r="C31" s="50"/>
      <c r="D31" s="151"/>
      <c r="E31" s="50"/>
      <c r="F31" s="50"/>
      <c r="G31" s="351" t="s">
        <v>415</v>
      </c>
      <c r="H31" s="351"/>
      <c r="I31" s="351"/>
      <c r="J31" s="351"/>
      <c r="K31" s="50"/>
    </row>
    <row r="32" spans="1:11" ht="15.75">
      <c r="A32" s="50"/>
      <c r="B32" s="55"/>
      <c r="C32" s="50"/>
      <c r="D32" s="50"/>
      <c r="E32" s="50"/>
      <c r="F32" s="50"/>
      <c r="G32" s="265"/>
      <c r="H32" s="50"/>
      <c r="I32" s="50"/>
      <c r="J32" s="50"/>
      <c r="K32" s="50"/>
    </row>
    <row r="33" spans="1:11" ht="15.75">
      <c r="A33" s="50"/>
      <c r="B33" s="55"/>
      <c r="C33" s="50"/>
      <c r="D33" s="50"/>
      <c r="E33" s="63" t="s">
        <v>173</v>
      </c>
      <c r="F33" s="100"/>
      <c r="G33" s="50"/>
      <c r="H33" s="50"/>
      <c r="I33" s="50"/>
      <c r="J33" s="50"/>
      <c r="K33" s="50"/>
    </row>
    <row r="34" ht="15.75">
      <c r="B34" s="165"/>
    </row>
    <row r="35" ht="15.75">
      <c r="B35" s="165"/>
    </row>
    <row r="36" ht="15.75">
      <c r="B36" s="165"/>
    </row>
    <row r="37" ht="15.75">
      <c r="B37" s="165"/>
    </row>
    <row r="38" ht="15.75">
      <c r="B38" s="165"/>
    </row>
    <row r="39" ht="15.75">
      <c r="B39" s="165"/>
    </row>
    <row r="40" ht="15.75">
      <c r="B40" s="165"/>
    </row>
    <row r="41" ht="15.75">
      <c r="B41" s="165"/>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7/01/08</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6384" width="8.8984375" style="2" customWidth="1"/>
  </cols>
  <sheetData>
    <row r="1" spans="1:11" ht="15.75">
      <c r="A1" s="51" t="str">
        <f>inputPrYr!$D$2</f>
        <v>City of Ellsworth</v>
      </c>
      <c r="B1" s="151"/>
      <c r="C1" s="50"/>
      <c r="D1" s="50"/>
      <c r="E1" s="50"/>
      <c r="F1" s="52" t="s">
        <v>326</v>
      </c>
      <c r="G1" s="50"/>
      <c r="H1" s="50"/>
      <c r="I1" s="50"/>
      <c r="J1" s="50"/>
      <c r="K1" s="50">
        <f>inputPrYr!$C$5</f>
        <v>2010</v>
      </c>
    </row>
    <row r="2" spans="1:11" ht="15.75">
      <c r="A2" s="50"/>
      <c r="B2" s="50"/>
      <c r="C2" s="50"/>
      <c r="D2" s="50"/>
      <c r="E2" s="50"/>
      <c r="F2" s="357" t="str">
        <f>CONCATENATE("(Only the actual budget year for ",K1-2," is to be shown)")</f>
        <v>(Only the actual budget year for 2008 is to be shown)</v>
      </c>
      <c r="G2" s="50"/>
      <c r="H2" s="50"/>
      <c r="I2" s="50"/>
      <c r="J2" s="50"/>
      <c r="K2" s="50"/>
    </row>
    <row r="3" spans="1:11" ht="15.75">
      <c r="A3" s="50" t="s">
        <v>369</v>
      </c>
      <c r="B3" s="50"/>
      <c r="C3" s="50"/>
      <c r="D3" s="50"/>
      <c r="E3" s="50"/>
      <c r="F3" s="151"/>
      <c r="G3" s="50"/>
      <c r="H3" s="50"/>
      <c r="I3" s="50"/>
      <c r="J3" s="50"/>
      <c r="K3" s="50"/>
    </row>
    <row r="4" spans="1:11" ht="15.75">
      <c r="A4" s="50" t="s">
        <v>317</v>
      </c>
      <c r="B4" s="50"/>
      <c r="C4" s="50" t="s">
        <v>318</v>
      </c>
      <c r="D4" s="50"/>
      <c r="E4" s="50" t="s">
        <v>319</v>
      </c>
      <c r="F4" s="151"/>
      <c r="G4" s="50" t="s">
        <v>320</v>
      </c>
      <c r="H4" s="50"/>
      <c r="I4" s="50" t="s">
        <v>321</v>
      </c>
      <c r="J4" s="50"/>
      <c r="K4" s="50"/>
    </row>
    <row r="5" spans="1:11" ht="15.75">
      <c r="A5" s="509" t="str">
        <f>IF(inputPrYr!B69&gt;" ",(inputPrYr!B69)," ")</f>
        <v> </v>
      </c>
      <c r="B5" s="510"/>
      <c r="C5" s="509" t="str">
        <f>IF(inputPrYr!B70&gt;" ",(inputPrYr!B70)," ")</f>
        <v> </v>
      </c>
      <c r="D5" s="510"/>
      <c r="E5" s="509" t="str">
        <f>IF(inputPrYr!B71&gt;" ",(inputPrYr!B71)," ")</f>
        <v> </v>
      </c>
      <c r="F5" s="510"/>
      <c r="G5" s="509" t="str">
        <f>IF(inputPrYr!B72&gt;" ",(inputPrYr!B72)," ")</f>
        <v> </v>
      </c>
      <c r="H5" s="510"/>
      <c r="I5" s="509" t="str">
        <f>IF(inputPrYr!B73&gt;" ",(inputPrYr!B73)," ")</f>
        <v> </v>
      </c>
      <c r="J5" s="510"/>
      <c r="K5" s="152"/>
    </row>
    <row r="6" spans="1:11" ht="15.75">
      <c r="A6" s="153" t="s">
        <v>322</v>
      </c>
      <c r="B6" s="154"/>
      <c r="C6" s="155" t="s">
        <v>322</v>
      </c>
      <c r="D6" s="156"/>
      <c r="E6" s="155" t="s">
        <v>322</v>
      </c>
      <c r="F6" s="157"/>
      <c r="G6" s="155" t="s">
        <v>322</v>
      </c>
      <c r="H6" s="158"/>
      <c r="I6" s="155" t="s">
        <v>322</v>
      </c>
      <c r="J6" s="50"/>
      <c r="K6" s="159" t="s">
        <v>128</v>
      </c>
    </row>
    <row r="7" spans="1:11" ht="15.75">
      <c r="A7" s="160" t="s">
        <v>48</v>
      </c>
      <c r="B7" s="275"/>
      <c r="C7" s="161" t="s">
        <v>48</v>
      </c>
      <c r="D7" s="275"/>
      <c r="E7" s="161" t="s">
        <v>48</v>
      </c>
      <c r="F7" s="275"/>
      <c r="G7" s="161" t="s">
        <v>48</v>
      </c>
      <c r="H7" s="275"/>
      <c r="I7" s="161" t="s">
        <v>48</v>
      </c>
      <c r="J7" s="275"/>
      <c r="K7" s="261">
        <f>SUM(B7+D7+F7+H7+J7)</f>
        <v>0</v>
      </c>
    </row>
    <row r="8" spans="1:11" ht="15.75">
      <c r="A8" s="162" t="s">
        <v>289</v>
      </c>
      <c r="B8" s="163"/>
      <c r="C8" s="162" t="s">
        <v>289</v>
      </c>
      <c r="D8" s="164"/>
      <c r="E8" s="162" t="s">
        <v>289</v>
      </c>
      <c r="F8" s="151"/>
      <c r="G8" s="162" t="s">
        <v>289</v>
      </c>
      <c r="H8" s="50"/>
      <c r="I8" s="162" t="s">
        <v>289</v>
      </c>
      <c r="J8" s="50"/>
      <c r="K8" s="151"/>
    </row>
    <row r="9" spans="1:11" ht="15.75">
      <c r="A9" s="274"/>
      <c r="B9" s="275"/>
      <c r="C9" s="274"/>
      <c r="D9" s="275"/>
      <c r="E9" s="274"/>
      <c r="F9" s="275"/>
      <c r="G9" s="274"/>
      <c r="H9" s="275"/>
      <c r="I9" s="274"/>
      <c r="J9" s="275"/>
      <c r="K9" s="151"/>
    </row>
    <row r="10" spans="1:11" ht="15.75">
      <c r="A10" s="274"/>
      <c r="B10" s="275"/>
      <c r="C10" s="274"/>
      <c r="D10" s="275"/>
      <c r="E10" s="274"/>
      <c r="F10" s="275"/>
      <c r="G10" s="274"/>
      <c r="H10" s="275"/>
      <c r="I10" s="274"/>
      <c r="J10" s="275"/>
      <c r="K10" s="151"/>
    </row>
    <row r="11" spans="1:11" ht="15.75">
      <c r="A11" s="274"/>
      <c r="B11" s="275"/>
      <c r="C11" s="276"/>
      <c r="D11" s="275"/>
      <c r="E11" s="276"/>
      <c r="F11" s="275"/>
      <c r="G11" s="276"/>
      <c r="H11" s="275"/>
      <c r="I11" s="277"/>
      <c r="J11" s="275"/>
      <c r="K11" s="151"/>
    </row>
    <row r="12" spans="1:11" ht="15.75">
      <c r="A12" s="274"/>
      <c r="B12" s="275"/>
      <c r="C12" s="274"/>
      <c r="D12" s="275"/>
      <c r="E12" s="278"/>
      <c r="F12" s="275"/>
      <c r="G12" s="278"/>
      <c r="H12" s="275"/>
      <c r="I12" s="278"/>
      <c r="J12" s="275"/>
      <c r="K12" s="151"/>
    </row>
    <row r="13" spans="1:11" ht="15.75">
      <c r="A13" s="279"/>
      <c r="B13" s="275"/>
      <c r="C13" s="280"/>
      <c r="D13" s="275"/>
      <c r="E13" s="280"/>
      <c r="F13" s="275"/>
      <c r="G13" s="280"/>
      <c r="H13" s="275"/>
      <c r="I13" s="277"/>
      <c r="J13" s="275"/>
      <c r="K13" s="151"/>
    </row>
    <row r="14" spans="1:11" ht="15.75">
      <c r="A14" s="274"/>
      <c r="B14" s="275"/>
      <c r="C14" s="278"/>
      <c r="D14" s="275"/>
      <c r="E14" s="278"/>
      <c r="F14" s="275"/>
      <c r="G14" s="278"/>
      <c r="H14" s="275"/>
      <c r="I14" s="278"/>
      <c r="J14" s="275"/>
      <c r="K14" s="151"/>
    </row>
    <row r="15" spans="1:11" ht="15.75">
      <c r="A15" s="274"/>
      <c r="B15" s="275"/>
      <c r="C15" s="278"/>
      <c r="D15" s="275"/>
      <c r="E15" s="278"/>
      <c r="F15" s="275"/>
      <c r="G15" s="278"/>
      <c r="H15" s="275"/>
      <c r="I15" s="278"/>
      <c r="J15" s="275"/>
      <c r="K15" s="151"/>
    </row>
    <row r="16" spans="1:11" ht="15.75">
      <c r="A16" s="274"/>
      <c r="B16" s="275"/>
      <c r="C16" s="274"/>
      <c r="D16" s="275"/>
      <c r="E16" s="274"/>
      <c r="F16" s="275"/>
      <c r="G16" s="278"/>
      <c r="H16" s="275"/>
      <c r="I16" s="274"/>
      <c r="J16" s="275"/>
      <c r="K16" s="151"/>
    </row>
    <row r="17" spans="1:11" ht="15.75">
      <c r="A17" s="162" t="s">
        <v>163</v>
      </c>
      <c r="B17" s="261">
        <f>SUM(B9:B16)</f>
        <v>0</v>
      </c>
      <c r="C17" s="162" t="s">
        <v>163</v>
      </c>
      <c r="D17" s="262">
        <f>SUM(D9:D16)</f>
        <v>0</v>
      </c>
      <c r="E17" s="162" t="s">
        <v>163</v>
      </c>
      <c r="F17" s="263">
        <f>SUM(F9:F16)</f>
        <v>0</v>
      </c>
      <c r="G17" s="162" t="s">
        <v>163</v>
      </c>
      <c r="H17" s="262">
        <f>SUM(H9:H16)</f>
        <v>0</v>
      </c>
      <c r="I17" s="162" t="s">
        <v>163</v>
      </c>
      <c r="J17" s="262">
        <f>SUM(J9:J16)</f>
        <v>0</v>
      </c>
      <c r="K17" s="261">
        <f>SUM(B17+D17+F17+H17+J17)</f>
        <v>0</v>
      </c>
    </row>
    <row r="18" spans="1:11" ht="15.75">
      <c r="A18" s="162" t="s">
        <v>164</v>
      </c>
      <c r="B18" s="261">
        <f>SUM(B7+B17)</f>
        <v>0</v>
      </c>
      <c r="C18" s="162" t="s">
        <v>164</v>
      </c>
      <c r="D18" s="261">
        <f>SUM(D7+D17)</f>
        <v>0</v>
      </c>
      <c r="E18" s="162" t="s">
        <v>164</v>
      </c>
      <c r="F18" s="261">
        <f>SUM(F7+F17)</f>
        <v>0</v>
      </c>
      <c r="G18" s="162" t="s">
        <v>164</v>
      </c>
      <c r="H18" s="261">
        <f>SUM(H7+H17)</f>
        <v>0</v>
      </c>
      <c r="I18" s="162" t="s">
        <v>164</v>
      </c>
      <c r="J18" s="261">
        <f>SUM(J7+J17)</f>
        <v>0</v>
      </c>
      <c r="K18" s="261">
        <f>SUM(B18+D18+F18+H18+J18)</f>
        <v>0</v>
      </c>
    </row>
    <row r="19" spans="1:11" ht="15.75">
      <c r="A19" s="162" t="s">
        <v>166</v>
      </c>
      <c r="B19" s="163"/>
      <c r="C19" s="162" t="s">
        <v>166</v>
      </c>
      <c r="D19" s="164"/>
      <c r="E19" s="162" t="s">
        <v>166</v>
      </c>
      <c r="F19" s="151"/>
      <c r="G19" s="162" t="s">
        <v>166</v>
      </c>
      <c r="H19" s="50"/>
      <c r="I19" s="162" t="s">
        <v>166</v>
      </c>
      <c r="J19" s="50"/>
      <c r="K19" s="151"/>
    </row>
    <row r="20" spans="1:11" ht="15.75">
      <c r="A20" s="274"/>
      <c r="B20" s="275"/>
      <c r="C20" s="278"/>
      <c r="D20" s="275"/>
      <c r="E20" s="278"/>
      <c r="F20" s="275"/>
      <c r="G20" s="278"/>
      <c r="H20" s="275"/>
      <c r="I20" s="278"/>
      <c r="J20" s="275"/>
      <c r="K20" s="151"/>
    </row>
    <row r="21" spans="1:11" ht="15.75">
      <c r="A21" s="274"/>
      <c r="B21" s="275"/>
      <c r="C21" s="278"/>
      <c r="D21" s="275"/>
      <c r="E21" s="278"/>
      <c r="F21" s="275"/>
      <c r="G21" s="278"/>
      <c r="H21" s="275"/>
      <c r="I21" s="278"/>
      <c r="J21" s="275"/>
      <c r="K21" s="151"/>
    </row>
    <row r="22" spans="1:11" ht="15.75">
      <c r="A22" s="274"/>
      <c r="B22" s="275"/>
      <c r="C22" s="280"/>
      <c r="D22" s="275"/>
      <c r="E22" s="280"/>
      <c r="F22" s="275"/>
      <c r="G22" s="280"/>
      <c r="H22" s="275"/>
      <c r="I22" s="277"/>
      <c r="J22" s="275"/>
      <c r="K22" s="151"/>
    </row>
    <row r="23" spans="1:11" ht="15.75">
      <c r="A23" s="274"/>
      <c r="B23" s="275"/>
      <c r="C23" s="278"/>
      <c r="D23" s="275"/>
      <c r="E23" s="278"/>
      <c r="F23" s="275"/>
      <c r="G23" s="278"/>
      <c r="H23" s="275"/>
      <c r="I23" s="278"/>
      <c r="J23" s="275"/>
      <c r="K23" s="151"/>
    </row>
    <row r="24" spans="1:11" ht="15.75">
      <c r="A24" s="274"/>
      <c r="B24" s="275"/>
      <c r="C24" s="280"/>
      <c r="D24" s="275"/>
      <c r="E24" s="280"/>
      <c r="F24" s="275"/>
      <c r="G24" s="280"/>
      <c r="H24" s="275"/>
      <c r="I24" s="277"/>
      <c r="J24" s="275"/>
      <c r="K24" s="151"/>
    </row>
    <row r="25" spans="1:11" ht="15.75">
      <c r="A25" s="274"/>
      <c r="B25" s="275"/>
      <c r="C25" s="278"/>
      <c r="D25" s="275"/>
      <c r="E25" s="278"/>
      <c r="F25" s="275"/>
      <c r="G25" s="278"/>
      <c r="H25" s="275"/>
      <c r="I25" s="278"/>
      <c r="J25" s="275"/>
      <c r="K25" s="151"/>
    </row>
    <row r="26" spans="1:11" ht="15.75">
      <c r="A26" s="274"/>
      <c r="B26" s="275"/>
      <c r="C26" s="278"/>
      <c r="D26" s="275"/>
      <c r="E26" s="278"/>
      <c r="F26" s="275"/>
      <c r="G26" s="278"/>
      <c r="H26" s="275"/>
      <c r="I26" s="278"/>
      <c r="J26" s="275"/>
      <c r="K26" s="151"/>
    </row>
    <row r="27" spans="1:11" ht="15.75">
      <c r="A27" s="274"/>
      <c r="B27" s="275"/>
      <c r="C27" s="274"/>
      <c r="D27" s="275"/>
      <c r="E27" s="274"/>
      <c r="F27" s="275"/>
      <c r="G27" s="278"/>
      <c r="H27" s="275"/>
      <c r="I27" s="278"/>
      <c r="J27" s="275"/>
      <c r="K27" s="151"/>
    </row>
    <row r="28" spans="1:11" ht="15.75">
      <c r="A28" s="162" t="s">
        <v>170</v>
      </c>
      <c r="B28" s="261">
        <f>SUM(B20:B27)</f>
        <v>0</v>
      </c>
      <c r="C28" s="162" t="s">
        <v>170</v>
      </c>
      <c r="D28" s="262">
        <f>SUM(D20:D27)</f>
        <v>0</v>
      </c>
      <c r="E28" s="162" t="s">
        <v>170</v>
      </c>
      <c r="F28" s="263">
        <f>SUM(F20:F27)</f>
        <v>0</v>
      </c>
      <c r="G28" s="162" t="s">
        <v>170</v>
      </c>
      <c r="H28" s="263">
        <f>SUM(H20:H27)</f>
        <v>0</v>
      </c>
      <c r="I28" s="162" t="s">
        <v>170</v>
      </c>
      <c r="J28" s="262">
        <f>SUM(J20:J27)</f>
        <v>0</v>
      </c>
      <c r="K28" s="261">
        <f>SUM(B28+D28+F28+H28+J28)</f>
        <v>0</v>
      </c>
    </row>
    <row r="29" spans="1:12" ht="15.75">
      <c r="A29" s="162" t="s">
        <v>323</v>
      </c>
      <c r="B29" s="261">
        <f>SUM(B18-B28)</f>
        <v>0</v>
      </c>
      <c r="C29" s="162" t="s">
        <v>323</v>
      </c>
      <c r="D29" s="261">
        <f>SUM(D18-D28)</f>
        <v>0</v>
      </c>
      <c r="E29" s="162" t="s">
        <v>323</v>
      </c>
      <c r="F29" s="261">
        <f>SUM(F18-F28)</f>
        <v>0</v>
      </c>
      <c r="G29" s="162" t="s">
        <v>323</v>
      </c>
      <c r="H29" s="261">
        <f>SUM(H18-H28)</f>
        <v>0</v>
      </c>
      <c r="I29" s="162" t="s">
        <v>323</v>
      </c>
      <c r="J29" s="261">
        <f>SUM(J18-J28)</f>
        <v>0</v>
      </c>
      <c r="K29" s="264">
        <f>SUM(B29+D29+F29+H29+J29)</f>
        <v>0</v>
      </c>
      <c r="L29" s="2" t="s">
        <v>413</v>
      </c>
    </row>
    <row r="30" spans="1:12" ht="15.75">
      <c r="A30" s="162"/>
      <c r="B30" s="360">
        <f>IF(B29&lt;0,"Neg Bal","")</f>
      </c>
      <c r="C30" s="162"/>
      <c r="D30" s="360">
        <f>IF(D29&lt;0,"Neg Bal","")</f>
      </c>
      <c r="E30" s="162"/>
      <c r="F30" s="360">
        <f>IF(F29&lt;0,"Neg Bal","")</f>
      </c>
      <c r="G30" s="50"/>
      <c r="H30" s="360">
        <f>IF(H29&lt;0,"Neg Bal","")</f>
      </c>
      <c r="I30" s="50"/>
      <c r="J30" s="360">
        <f>IF(J29&lt;0,"Neg Bal","")</f>
      </c>
      <c r="K30" s="264">
        <f>SUM(K7+K17-K28)</f>
        <v>0</v>
      </c>
      <c r="L30" s="2" t="s">
        <v>413</v>
      </c>
    </row>
    <row r="31" spans="1:11" ht="15.75">
      <c r="A31" s="50"/>
      <c r="B31" s="55"/>
      <c r="C31" s="50"/>
      <c r="D31" s="151"/>
      <c r="E31" s="50"/>
      <c r="F31" s="50"/>
      <c r="G31" s="351" t="s">
        <v>414</v>
      </c>
      <c r="H31" s="351"/>
      <c r="I31" s="351"/>
      <c r="J31" s="351"/>
      <c r="K31" s="50"/>
    </row>
    <row r="32" spans="1:11" ht="15.75">
      <c r="A32" s="50"/>
      <c r="B32" s="55"/>
      <c r="C32" s="50"/>
      <c r="D32" s="50"/>
      <c r="E32" s="50"/>
      <c r="F32" s="50"/>
      <c r="G32" s="50"/>
      <c r="H32" s="50"/>
      <c r="I32" s="50"/>
      <c r="J32" s="50"/>
      <c r="K32" s="50"/>
    </row>
    <row r="33" spans="1:11" ht="15.75">
      <c r="A33" s="50"/>
      <c r="B33" s="55"/>
      <c r="C33" s="50"/>
      <c r="D33" s="50"/>
      <c r="E33" s="63" t="s">
        <v>173</v>
      </c>
      <c r="F33" s="100"/>
      <c r="G33" s="50"/>
      <c r="H33" s="50"/>
      <c r="I33" s="50"/>
      <c r="J33" s="50"/>
      <c r="K33" s="50"/>
    </row>
    <row r="34" ht="15.75">
      <c r="B34" s="165"/>
    </row>
    <row r="35" ht="15.75">
      <c r="B35" s="165"/>
    </row>
    <row r="36" ht="15.75">
      <c r="B36" s="165"/>
    </row>
    <row r="37" ht="15.75">
      <c r="B37" s="165"/>
    </row>
    <row r="38" ht="15.75">
      <c r="B38" s="165"/>
    </row>
    <row r="39" ht="15.75">
      <c r="B39" s="165"/>
    </row>
    <row r="40" ht="15.75">
      <c r="B40" s="165"/>
    </row>
    <row r="41" ht="15.75">
      <c r="B41" s="165"/>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7/01/08</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I53"/>
  <sheetViews>
    <sheetView zoomScale="75" zoomScaleNormal="75" zoomScalePageLayoutView="0" workbookViewId="0" topLeftCell="A1">
      <selection activeCell="D53" sqref="D53"/>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796875" style="2" customWidth="1"/>
    <col min="7" max="7" width="12.796875" style="2" customWidth="1"/>
    <col min="8" max="8" width="10.796875" style="2" customWidth="1"/>
    <col min="9" max="16384" width="8.8984375" style="2" customWidth="1"/>
  </cols>
  <sheetData>
    <row r="1" spans="1:9" ht="15.75">
      <c r="A1" s="449" t="s">
        <v>228</v>
      </c>
      <c r="B1" s="449"/>
      <c r="C1" s="449"/>
      <c r="D1" s="449"/>
      <c r="E1" s="449"/>
      <c r="F1" s="449"/>
      <c r="G1" s="449"/>
      <c r="H1" s="449"/>
      <c r="I1" s="12"/>
    </row>
    <row r="2" spans="1:8" ht="18" customHeight="1">
      <c r="A2" s="21"/>
      <c r="B2" s="21"/>
      <c r="C2" s="21"/>
      <c r="D2" s="21"/>
      <c r="E2" s="21"/>
      <c r="F2" s="21"/>
      <c r="G2" s="21"/>
      <c r="H2" s="21">
        <f>inputPrYr!$C$5</f>
        <v>2010</v>
      </c>
    </row>
    <row r="3" spans="1:8" ht="18" customHeight="1">
      <c r="A3" s="443" t="s">
        <v>176</v>
      </c>
      <c r="B3" s="443"/>
      <c r="C3" s="443"/>
      <c r="D3" s="443"/>
      <c r="E3" s="443"/>
      <c r="F3" s="443"/>
      <c r="G3" s="443"/>
      <c r="H3" s="443"/>
    </row>
    <row r="4" spans="1:8" ht="15.75">
      <c r="A4" s="443" t="str">
        <f>inputPrYr!D2</f>
        <v>City of Ellsworth</v>
      </c>
      <c r="B4" s="443"/>
      <c r="C4" s="443"/>
      <c r="D4" s="443"/>
      <c r="E4" s="443"/>
      <c r="F4" s="443"/>
      <c r="G4" s="443"/>
      <c r="H4" s="443"/>
    </row>
    <row r="5" spans="1:8" ht="18" customHeight="1">
      <c r="A5" s="513" t="s">
        <v>639</v>
      </c>
      <c r="B5" s="513"/>
      <c r="C5" s="513"/>
      <c r="D5" s="513"/>
      <c r="E5" s="513"/>
      <c r="F5" s="513"/>
      <c r="G5" s="513"/>
      <c r="H5" s="513"/>
    </row>
    <row r="6" spans="1:8" ht="16.5" customHeight="1">
      <c r="A6" s="443" t="s">
        <v>239</v>
      </c>
      <c r="B6" s="443"/>
      <c r="C6" s="443"/>
      <c r="D6" s="443"/>
      <c r="E6" s="443"/>
      <c r="F6" s="443"/>
      <c r="G6" s="443"/>
      <c r="H6" s="443"/>
    </row>
    <row r="7" spans="1:8" ht="16.5" customHeight="1">
      <c r="A7" s="21"/>
      <c r="B7" s="21"/>
      <c r="C7" s="21"/>
      <c r="D7" s="21"/>
      <c r="E7" s="21"/>
      <c r="F7" s="21"/>
      <c r="G7" s="21"/>
      <c r="H7" s="21"/>
    </row>
    <row r="8" spans="1:8" ht="16.5" customHeight="1">
      <c r="A8" s="513" t="s">
        <v>640</v>
      </c>
      <c r="B8" s="513"/>
      <c r="C8" s="513"/>
      <c r="D8" s="513"/>
      <c r="E8" s="513"/>
      <c r="F8" s="513"/>
      <c r="G8" s="513"/>
      <c r="H8" s="513"/>
    </row>
    <row r="9" spans="1:8" ht="16.5" customHeight="1">
      <c r="A9" s="443" t="s">
        <v>177</v>
      </c>
      <c r="B9" s="443"/>
      <c r="C9" s="443"/>
      <c r="D9" s="443"/>
      <c r="E9" s="443"/>
      <c r="F9" s="443"/>
      <c r="G9" s="443"/>
      <c r="H9" s="443"/>
    </row>
    <row r="10" spans="1:8" ht="15.75">
      <c r="A10" s="49"/>
      <c r="B10" s="49"/>
      <c r="C10" s="49"/>
      <c r="D10" s="49"/>
      <c r="E10" s="49"/>
      <c r="F10" s="49"/>
      <c r="G10" s="49"/>
      <c r="H10" s="49"/>
    </row>
    <row r="11" spans="1:8" ht="15.75">
      <c r="A11" s="102" t="s">
        <v>229</v>
      </c>
      <c r="B11" s="27"/>
      <c r="C11" s="27"/>
      <c r="D11" s="27"/>
      <c r="E11" s="27"/>
      <c r="F11" s="27"/>
      <c r="G11" s="27"/>
      <c r="H11" s="27"/>
    </row>
    <row r="12" spans="1:8" ht="15.75">
      <c r="A12" s="26" t="str">
        <f>CONCATENATE("Proposed Budget ",H2," Expenditures and Amount of ",H2-1," Ad Valorem Tax establish the maximum limits of the ",H2," budget.")</f>
        <v>Proposed Budget 2010 Expenditures and Amount of 2009 Ad Valorem Tax establish the maximum limits of the 2010 budget.</v>
      </c>
      <c r="B12" s="27"/>
      <c r="C12" s="27"/>
      <c r="D12" s="27"/>
      <c r="E12" s="27"/>
      <c r="F12" s="27"/>
      <c r="G12" s="27"/>
      <c r="H12" s="27"/>
    </row>
    <row r="13" spans="1:8" ht="15.75">
      <c r="A13" s="26" t="s">
        <v>294</v>
      </c>
      <c r="B13" s="27"/>
      <c r="C13" s="27"/>
      <c r="D13" s="27"/>
      <c r="E13" s="27"/>
      <c r="F13" s="27"/>
      <c r="G13" s="27"/>
      <c r="H13" s="27"/>
    </row>
    <row r="14" spans="1:8" ht="15.75">
      <c r="A14" s="21"/>
      <c r="B14" s="96"/>
      <c r="C14" s="96"/>
      <c r="D14" s="96"/>
      <c r="E14" s="96"/>
      <c r="F14" s="96"/>
      <c r="G14" s="96"/>
      <c r="H14" s="96"/>
    </row>
    <row r="15" spans="1:8" ht="15.75">
      <c r="A15" s="21"/>
      <c r="B15" s="103" t="str">
        <f>CONCATENATE("Prior Year Actual for ",H2-2,"")</f>
        <v>Prior Year Actual for 2008</v>
      </c>
      <c r="C15" s="30"/>
      <c r="D15" s="103" t="str">
        <f>CONCATENATE("Current Year Estimate for ",H2-1,"")</f>
        <v>Current Year Estimate for 2009</v>
      </c>
      <c r="E15" s="30"/>
      <c r="F15" s="28" t="str">
        <f>CONCATENATE("Proposed Budget for ",H2,"")</f>
        <v>Proposed Budget for 2010</v>
      </c>
      <c r="G15" s="29"/>
      <c r="H15" s="30"/>
    </row>
    <row r="16" spans="1:8" ht="21" customHeight="1">
      <c r="A16" s="21"/>
      <c r="B16" s="93"/>
      <c r="C16" s="33" t="s">
        <v>179</v>
      </c>
      <c r="D16" s="33"/>
      <c r="E16" s="33" t="s">
        <v>179</v>
      </c>
      <c r="F16" s="33"/>
      <c r="G16" s="33" t="str">
        <f>CONCATENATE("Amount of ",H2-1,"")</f>
        <v>Amount of 2009</v>
      </c>
      <c r="H16" s="33" t="s">
        <v>372</v>
      </c>
    </row>
    <row r="17" spans="1:8" ht="15.75">
      <c r="A17" s="44" t="s">
        <v>180</v>
      </c>
      <c r="B17" s="36" t="s">
        <v>181</v>
      </c>
      <c r="C17" s="36" t="s">
        <v>182</v>
      </c>
      <c r="D17" s="36" t="s">
        <v>181</v>
      </c>
      <c r="E17" s="36" t="s">
        <v>182</v>
      </c>
      <c r="F17" s="36" t="s">
        <v>183</v>
      </c>
      <c r="G17" s="189" t="s">
        <v>157</v>
      </c>
      <c r="H17" s="36" t="s">
        <v>182</v>
      </c>
    </row>
    <row r="18" spans="1:8" ht="15.75">
      <c r="A18" s="40" t="str">
        <f>inputPrYr!B16</f>
        <v>General</v>
      </c>
      <c r="B18" s="40">
        <f>IF(general!$C$92&lt;&gt;0,general!$C$92,"  ")</f>
        <v>1700780</v>
      </c>
      <c r="C18" s="104">
        <f>IF(inputPrYr!D78&gt;0,inputPrYr!D78,"  ")</f>
        <v>51.738</v>
      </c>
      <c r="D18" s="40">
        <f>IF(general!$E$92&lt;&gt;0,general!$E$92,"  ")</f>
        <v>1769750</v>
      </c>
      <c r="E18" s="104">
        <f>IF(inputOth!D20&gt;0,inputOth!D20,"  ")</f>
        <v>51.871</v>
      </c>
      <c r="F18" s="40">
        <f>IF(general!$G$92&lt;&gt;0,general!$G$92,"  ")</f>
        <v>2100806</v>
      </c>
      <c r="G18" s="40">
        <f>IF(general!$G$98&lt;&gt;0,general!$G$98,"  ")</f>
        <v>542500</v>
      </c>
      <c r="H18" s="104">
        <f>IF(general!G98&gt;0,ROUND(G18/$F$39*1000,3),"  ")</f>
        <v>47.747</v>
      </c>
    </row>
    <row r="19" spans="1:8" ht="15.75">
      <c r="A19" s="40" t="str">
        <f>inputPrYr!B17</f>
        <v>Debt Service</v>
      </c>
      <c r="B19" s="40">
        <f>IF(DebtService!$C$33&lt;&gt;0,DebtService!$C$33,"  ")</f>
        <v>373318</v>
      </c>
      <c r="C19" s="104">
        <f>IF(inputPrYr!D79&gt;0,inputPrYr!D79,"  ")</f>
        <v>14.113</v>
      </c>
      <c r="D19" s="40">
        <f>IF(DebtService!$E$33&lt;&gt;0,DebtService!$E$33,"  ")</f>
        <v>373000</v>
      </c>
      <c r="E19" s="104">
        <f>IF(inputOth!D21&gt;0,inputOth!D21,"  ")</f>
        <v>14.85</v>
      </c>
      <c r="F19" s="40">
        <f>IF(DebtService!$G$33&lt;&gt;0,DebtService!$G$33,"  ")</f>
        <v>410000</v>
      </c>
      <c r="G19" s="40">
        <f>IF(DebtService!$G$39&lt;&gt;0,DebtService!$G$39,"  ")</f>
        <v>215000</v>
      </c>
      <c r="H19" s="104">
        <f>IF(DebtService!G39&gt;0,ROUND(G19/$F$39*1000,3),"  ")</f>
        <v>18.923</v>
      </c>
    </row>
    <row r="20" spans="1:8" ht="15.75">
      <c r="A20" s="40" t="str">
        <f>IF(inputPrYr!$B19&gt;"  ",(inputPrYr!$B19),"  ")</f>
        <v>Library</v>
      </c>
      <c r="B20" s="40">
        <f>IF('levy page9'!$C$25&gt;0,'levy page9'!$C$25,"  ")</f>
        <v>96916</v>
      </c>
      <c r="C20" s="104">
        <f>IF(inputPrYr!D80&gt;0,inputPrYr!D80,"  ")</f>
        <v>7.68</v>
      </c>
      <c r="D20" s="40">
        <f>IF('levy page9'!$E$25&gt;0,'levy page9'!$E$25,"  ")</f>
        <v>99190</v>
      </c>
      <c r="E20" s="104">
        <f>IF(inputOth!D22&gt;0,inputOth!D22,"  ")</f>
        <v>7.536</v>
      </c>
      <c r="F20" s="40">
        <f>IF('levy page9'!$G$25&gt;0,'levy page9'!$G$25,"  ")</f>
        <v>102322</v>
      </c>
      <c r="G20" s="40">
        <f>IF('levy page9'!$G$31&lt;&gt;0,'levy page9'!$G$31,"  ")</f>
        <v>86955</v>
      </c>
      <c r="H20" s="104">
        <f>IF('levy page9'!G31&lt;&gt;0,ROUND(G20/$F$39*1000,3),"  ")</f>
        <v>7.653</v>
      </c>
    </row>
    <row r="21" spans="1:8" ht="15.75">
      <c r="A21" s="40" t="str">
        <f>IF(inputPrYr!$B20&gt;"  ",(inputPrYr!$B20),"  ")</f>
        <v>Fire/Police Equipment</v>
      </c>
      <c r="B21" s="40">
        <f>IF('levy page9'!$C$55&gt;0,'levy page9'!$C$55,"  ")</f>
        <v>24745</v>
      </c>
      <c r="C21" s="104">
        <f>IF(inputPrYr!D81&gt;0,inputPrYr!D81,"  ")</f>
        <v>2.071</v>
      </c>
      <c r="D21" s="40">
        <f>IF('levy page9'!$E$55&gt;0,'levy page9'!$E$55,"  ")</f>
        <v>16605</v>
      </c>
      <c r="E21" s="104">
        <f>IF(inputOth!D23&gt;0,inputOth!D23,"  ")</f>
        <v>1.018</v>
      </c>
      <c r="F21" s="40">
        <f>IF('levy page9'!$G$55&gt;0,'levy page9'!$G$55,"  ")</f>
        <v>17500</v>
      </c>
      <c r="G21" s="40">
        <f>IF('levy page9'!$G$61&lt;&gt;0,'levy page9'!$G$61,"  ")</f>
        <v>14580</v>
      </c>
      <c r="H21" s="104">
        <f>IF('levy page9'!G61&lt;&gt;0,ROUND(G21/$F$39*1000,3),"  ")</f>
        <v>1.283</v>
      </c>
    </row>
    <row r="22" spans="1:8" ht="15.75">
      <c r="A22" s="40" t="str">
        <f>IF(inputPrYr!$B32&gt;"  ",(inputPrYr!$B32),"  ")</f>
        <v>Special Highway</v>
      </c>
      <c r="B22" s="40">
        <f>IF('Sp Hiway'!$C$30&gt;0,'Sp Hiway'!$C$30,"  ")</f>
        <v>89228</v>
      </c>
      <c r="C22" s="42"/>
      <c r="D22" s="40">
        <f>IF('Sp Hiway'!$D$30&gt;0,'Sp Hiway'!$D$30,"  ")</f>
        <v>14897</v>
      </c>
      <c r="E22" s="42"/>
      <c r="F22" s="40">
        <f>IF('Sp Hiway'!$E$30&gt;0,'Sp Hiway'!$E$30,"  ")</f>
        <v>116665</v>
      </c>
      <c r="G22" s="40"/>
      <c r="H22" s="104"/>
    </row>
    <row r="23" spans="1:8" ht="15.75">
      <c r="A23" s="40" t="str">
        <f>IF(inputPrYr!$B33&gt;"  ",(inputPrYr!$B33),"  ")</f>
        <v>Special Parks &amp; Recreation</v>
      </c>
      <c r="B23" s="40">
        <f>IF('Sp Hiway'!$C$61&gt;0,'Sp Hiway'!$C$61,"  ")</f>
        <v>3421</v>
      </c>
      <c r="C23" s="42"/>
      <c r="D23" s="40">
        <f>IF('Sp Hiway'!$D$61&gt;0,'Sp Hiway'!$D$61,"  ")</f>
        <v>3600</v>
      </c>
      <c r="E23" s="42"/>
      <c r="F23" s="40">
        <f>IF('Sp Hiway'!$E$61&gt;0,'Sp Hiway'!$E$61,"  ")</f>
        <v>5377</v>
      </c>
      <c r="G23" s="40"/>
      <c r="H23" s="104"/>
    </row>
    <row r="24" spans="1:8" ht="15.75">
      <c r="A24" s="40" t="str">
        <f>IF(inputPrYr!$B34&gt;"  ",(inputPrYr!$B34),"  ")</f>
        <v>Solid Waste</v>
      </c>
      <c r="B24" s="40">
        <f>IF('no levy page15'!$C$21&gt;0,'no levy page15'!$C$21,"  ")</f>
        <v>146911</v>
      </c>
      <c r="C24" s="42"/>
      <c r="D24" s="40">
        <f>IF('no levy page15'!$D$21&gt;0,'no levy page15'!$D$21,"  ")</f>
        <v>133650</v>
      </c>
      <c r="E24" s="42"/>
      <c r="F24" s="40">
        <f>IF('no levy page15'!$E$21&gt;0,'no levy page15'!$E$21,"  ")</f>
        <v>154000</v>
      </c>
      <c r="G24" s="40"/>
      <c r="H24" s="104"/>
    </row>
    <row r="25" spans="1:8" ht="15.75">
      <c r="A25" s="40" t="str">
        <f>IF(inputPrYr!$B35&gt;"  ",(inputPrYr!$B35),"  ")</f>
        <v>Capital Improvements</v>
      </c>
      <c r="B25" s="40">
        <f>IF('no levy page15'!$C$61&gt;0,'no levy page15'!$C$61,"  ")</f>
        <v>464805</v>
      </c>
      <c r="C25" s="42"/>
      <c r="D25" s="40">
        <f>IF('no levy page15'!$D$61&gt;0,'no levy page15'!$D$61,"  ")</f>
        <v>386580</v>
      </c>
      <c r="E25" s="42"/>
      <c r="F25" s="40">
        <f>IF('no levy page15'!$E$61&gt;0,'no levy page15'!$E$61,"  ")</f>
        <v>589011</v>
      </c>
      <c r="G25" s="40"/>
      <c r="H25" s="104"/>
    </row>
    <row r="26" spans="1:8" ht="15.75">
      <c r="A26" s="40" t="str">
        <f>IF(inputPrYr!$B36&gt;"  ",(inputPrYr!$B36),"  ")</f>
        <v>Municipal Equipment</v>
      </c>
      <c r="B26" s="40">
        <f>IF('no levy page16'!$C$34&gt;0,'no levy page16'!$C$34,"  ")</f>
        <v>222994</v>
      </c>
      <c r="C26" s="42"/>
      <c r="D26" s="40">
        <f>IF('no levy page16'!$D$34&gt;0,'no levy page16'!$D$34,"  ")</f>
        <v>291000</v>
      </c>
      <c r="E26" s="42"/>
      <c r="F26" s="40">
        <f>IF('no levy page16'!$E$34&gt;0,'no levy page16'!$E$34,"  ")</f>
        <v>393268</v>
      </c>
      <c r="G26" s="42"/>
      <c r="H26" s="42"/>
    </row>
    <row r="27" spans="1:8" ht="15.75">
      <c r="A27" s="40" t="str">
        <f>IF(inputPrYr!$B37&gt;"  ",(inputPrYr!$B37),"  ")</f>
        <v>Tourism &amp; Convention</v>
      </c>
      <c r="B27" s="40">
        <f>IF('no levy page16'!$C$62&gt;0,'no levy page16'!$C$62,"  ")</f>
        <v>14310</v>
      </c>
      <c r="C27" s="42"/>
      <c r="D27" s="40">
        <f>IF('no levy page16'!$D$62&gt;0,'no levy page16'!$D$62,"  ")</f>
        <v>25985</v>
      </c>
      <c r="E27" s="42"/>
      <c r="F27" s="40">
        <f>IF('no levy page16'!$E$62&gt;0,'no levy page16'!$E$62,"  ")</f>
        <v>16676</v>
      </c>
      <c r="G27" s="42"/>
      <c r="H27" s="42"/>
    </row>
    <row r="28" spans="1:8" ht="15.75">
      <c r="A28" s="40" t="str">
        <f>IF(inputPrYr!$B38&gt;"  ",(inputPrYr!$B38),"  ")</f>
        <v>Transportaion District</v>
      </c>
      <c r="B28" s="40">
        <f>IF('no levy page17'!$C$25&gt;0,'no levy page17'!$C$25,"  ")</f>
        <v>96760</v>
      </c>
      <c r="C28" s="42"/>
      <c r="D28" s="40">
        <f>IF('no levy page17'!$D$25&gt;0,'no levy page17'!$D$25,"  ")</f>
        <v>81600</v>
      </c>
      <c r="E28" s="42"/>
      <c r="F28" s="40">
        <f>IF('no levy page17'!$E$25&gt;0,'no levy page17'!$E$25,"  ")</f>
        <v>140946</v>
      </c>
      <c r="G28" s="42"/>
      <c r="H28" s="42"/>
    </row>
    <row r="29" spans="1:8" ht="15.75">
      <c r="A29" s="40" t="str">
        <f>IF(inputPrYr!$B39&gt;"  ",(inputPrYr!$B39),"  ")</f>
        <v>W/S Emergency Depreciation</v>
      </c>
      <c r="B29" s="40">
        <f>IF('no levy page17'!$C$53&gt;0,'no levy page17'!$C$53,"  ")</f>
        <v>6310</v>
      </c>
      <c r="C29" s="42"/>
      <c r="D29" s="40">
        <f>IF('no levy page17'!$D$53&gt;0,'no levy page17'!$D$53,"  ")</f>
        <v>13654</v>
      </c>
      <c r="E29" s="42"/>
      <c r="F29" s="40">
        <f>IF('no levy page17'!$E$53&gt;0,'no levy page17'!$E$53,"  ")</f>
        <v>105954</v>
      </c>
      <c r="G29" s="42"/>
      <c r="H29" s="42"/>
    </row>
    <row r="30" spans="1:8" ht="15.75">
      <c r="A30" s="40" t="str">
        <f>IF(inputPrYr!$B40&gt;"  ",(inputPrYr!$B40),"  ")</f>
        <v>W/S Improvenment</v>
      </c>
      <c r="B30" s="40">
        <f>IF('no levy page18'!$C$25&gt;0,'no levy page18'!$C$25,"  ")</f>
        <v>153356</v>
      </c>
      <c r="C30" s="42"/>
      <c r="D30" s="40">
        <f>IF('no levy page18'!$D$25&gt;0,'no levy page18'!$D$25,"  ")</f>
        <v>154996</v>
      </c>
      <c r="E30" s="42"/>
      <c r="F30" s="40">
        <f>IF('no levy page18'!$E$25&gt;0,'no levy page18'!$E$25,"  ")</f>
        <v>696738</v>
      </c>
      <c r="G30" s="42"/>
      <c r="H30" s="42"/>
    </row>
    <row r="31" spans="1:8" ht="15.75">
      <c r="A31" s="40" t="str">
        <f>IF(inputPrYr!$B41&gt;"  ",(inputPrYr!$B41),"  ")</f>
        <v>WWTP Improvement</v>
      </c>
      <c r="B31" s="40">
        <f>IF('no levy page18'!$C$56&gt;0,'no levy page18'!$C$56,"  ")</f>
        <v>99275</v>
      </c>
      <c r="C31" s="42"/>
      <c r="D31" s="40">
        <f>IF('no levy page18'!$D$56&gt;0,'no levy page18'!$D$56,"  ")</f>
        <v>1345000</v>
      </c>
      <c r="E31" s="42"/>
      <c r="F31" s="40">
        <v>0</v>
      </c>
      <c r="G31" s="42"/>
      <c r="H31" s="42"/>
    </row>
    <row r="32" spans="1:8" ht="15.75">
      <c r="A32" s="40" t="str">
        <f>IF(inputPrYr!$B45&gt;"  ",(inputPrYr!$B45),"  ")</f>
        <v>Water/Sewer</v>
      </c>
      <c r="B32" s="40">
        <f>IF(SinNoLevy20!$C$71&gt;0,SinNoLevy20!$C$71,"  ")</f>
        <v>1021482</v>
      </c>
      <c r="C32" s="42"/>
      <c r="D32" s="40">
        <f>IF(SinNoLevy20!$D$71&gt;0,SinNoLevy20!$D$71,"  ")</f>
        <v>1142795</v>
      </c>
      <c r="E32" s="42"/>
      <c r="F32" s="40">
        <f>IF(SinNoLevy20!$E$71&gt;0,SinNoLevy20!$E$71,"  ")</f>
        <v>1182850</v>
      </c>
      <c r="G32" s="42"/>
      <c r="H32" s="42"/>
    </row>
    <row r="33" spans="1:8" ht="15.75">
      <c r="A33" s="40" t="str">
        <f>IF(inputPrYr!$B46&gt;"  ",(inputPrYr!$B46),"  ")</f>
        <v>Recreation &amp; Pool</v>
      </c>
      <c r="B33" s="40">
        <f>IF(SinNoLevy21!$C$51&gt;0,SinNoLevy21!$C$51,"  ")</f>
        <v>157950</v>
      </c>
      <c r="C33" s="42"/>
      <c r="D33" s="40">
        <f>IF(SinNoLevy21!$D$51&gt;0,SinNoLevy21!$D$51,"  ")</f>
        <v>175683</v>
      </c>
      <c r="E33" s="42"/>
      <c r="F33" s="40">
        <f>IF(SinNoLevy21!$E$51&gt;0,SinNoLevy21!$E$51,"  ")</f>
        <v>217975</v>
      </c>
      <c r="G33" s="42"/>
      <c r="H33" s="42"/>
    </row>
    <row r="34" spans="1:8" ht="15.75">
      <c r="A34" s="44" t="s">
        <v>144</v>
      </c>
      <c r="B34" s="40">
        <f>SUM(B18:B33)</f>
        <v>4672561</v>
      </c>
      <c r="C34" s="104">
        <f>SUM(C18:C21)</f>
        <v>75.602</v>
      </c>
      <c r="D34" s="40">
        <f>SUM(D18:D33)</f>
        <v>6027985</v>
      </c>
      <c r="E34" s="104">
        <f>SUM(E18:E21)</f>
        <v>75.275</v>
      </c>
      <c r="F34" s="40">
        <f>SUM(F18:F33)</f>
        <v>6250088</v>
      </c>
      <c r="G34" s="40">
        <f>SUM(G18:G33)</f>
        <v>859035</v>
      </c>
      <c r="H34" s="104">
        <f>SUM(H18:H21)</f>
        <v>75.60600000000001</v>
      </c>
    </row>
    <row r="35" spans="1:8" ht="15.75">
      <c r="A35" s="25" t="s">
        <v>184</v>
      </c>
      <c r="B35" s="119">
        <f>transfers!C43</f>
        <v>759600</v>
      </c>
      <c r="C35" s="72"/>
      <c r="D35" s="119">
        <f>transfers!D43</f>
        <v>830600</v>
      </c>
      <c r="E35" s="72"/>
      <c r="F35" s="119">
        <f>transfers!E43</f>
        <v>897876</v>
      </c>
      <c r="G35" s="21"/>
      <c r="H35" s="21"/>
    </row>
    <row r="36" spans="1:8" ht="16.5" thickBot="1">
      <c r="A36" s="25" t="s">
        <v>185</v>
      </c>
      <c r="B36" s="73">
        <f>B34-B35</f>
        <v>3912961</v>
      </c>
      <c r="C36" s="21"/>
      <c r="D36" s="73">
        <f>D34-D35</f>
        <v>5197385</v>
      </c>
      <c r="E36" s="94"/>
      <c r="F36" s="73">
        <f>F34-F35</f>
        <v>5352212</v>
      </c>
      <c r="G36" s="21"/>
      <c r="H36" s="21"/>
    </row>
    <row r="37" spans="1:8" ht="16.5" thickTop="1">
      <c r="A37" s="25" t="s">
        <v>186</v>
      </c>
      <c r="B37" s="119">
        <f>inputPrYr!E92</f>
        <v>818324</v>
      </c>
      <c r="C37" s="105"/>
      <c r="D37" s="119">
        <f>inputPrYr!E29</f>
        <v>849923</v>
      </c>
      <c r="E37" s="105"/>
      <c r="F37" s="120" t="s">
        <v>145</v>
      </c>
      <c r="G37" s="21"/>
      <c r="H37" s="21"/>
    </row>
    <row r="38" spans="1:8" ht="15.75">
      <c r="A38" s="25" t="s">
        <v>187</v>
      </c>
      <c r="B38" s="39"/>
      <c r="C38" s="21"/>
      <c r="D38" s="39"/>
      <c r="E38" s="21"/>
      <c r="F38" s="39"/>
      <c r="G38" s="21"/>
      <c r="H38" s="21"/>
    </row>
    <row r="39" spans="1:8" ht="15.75">
      <c r="A39" s="25" t="s">
        <v>188</v>
      </c>
      <c r="B39" s="119">
        <f>inputPrYr!E93</f>
        <v>11114219</v>
      </c>
      <c r="C39" s="21"/>
      <c r="D39" s="119">
        <f>inputOth!E34</f>
        <v>11290983</v>
      </c>
      <c r="E39" s="21"/>
      <c r="F39" s="119">
        <f>inputOth!E6</f>
        <v>11362063</v>
      </c>
      <c r="G39" s="21"/>
      <c r="H39" s="21"/>
    </row>
    <row r="40" spans="1:8" ht="13.5" customHeight="1">
      <c r="A40" s="21"/>
      <c r="B40" s="21"/>
      <c r="C40" s="21"/>
      <c r="D40" s="21"/>
      <c r="E40" s="21"/>
      <c r="F40" s="21"/>
      <c r="G40" s="21"/>
      <c r="H40" s="21"/>
    </row>
    <row r="41" spans="1:8" ht="15.75">
      <c r="A41" s="25" t="s">
        <v>189</v>
      </c>
      <c r="B41" s="21"/>
      <c r="C41" s="21"/>
      <c r="D41" s="21"/>
      <c r="E41" s="21"/>
      <c r="F41" s="21"/>
      <c r="G41" s="21"/>
      <c r="H41" s="21"/>
    </row>
    <row r="42" spans="1:8" ht="18.75" customHeight="1">
      <c r="A42" s="25" t="s">
        <v>190</v>
      </c>
      <c r="B42" s="106">
        <f>H2-3</f>
        <v>2007</v>
      </c>
      <c r="C42" s="21"/>
      <c r="D42" s="106">
        <f>H2-2</f>
        <v>2008</v>
      </c>
      <c r="E42" s="21"/>
      <c r="F42" s="106">
        <f>H2-1</f>
        <v>2009</v>
      </c>
      <c r="G42" s="21"/>
      <c r="H42" s="21"/>
    </row>
    <row r="43" spans="1:8" ht="18.75" customHeight="1">
      <c r="A43" s="25" t="s">
        <v>191</v>
      </c>
      <c r="B43" s="190">
        <f>inputPrYr!D97</f>
        <v>2654000</v>
      </c>
      <c r="C43" s="132"/>
      <c r="D43" s="190">
        <f>inputPrYr!E97</f>
        <v>2374600</v>
      </c>
      <c r="E43" s="132"/>
      <c r="F43" s="190">
        <f>debt!F20</f>
        <v>2090100</v>
      </c>
      <c r="G43" s="21"/>
      <c r="H43" s="21"/>
    </row>
    <row r="44" spans="1:8" ht="18.75" customHeight="1">
      <c r="A44" s="25" t="s">
        <v>192</v>
      </c>
      <c r="B44" s="190">
        <f>inputPrYr!D98</f>
        <v>0</v>
      </c>
      <c r="C44" s="132"/>
      <c r="D44" s="190">
        <f>inputPrYr!E98</f>
        <v>0</v>
      </c>
      <c r="E44" s="132"/>
      <c r="F44" s="191">
        <f>debt!F32</f>
        <v>0</v>
      </c>
      <c r="G44" s="21"/>
      <c r="H44" s="21"/>
    </row>
    <row r="45" spans="1:8" ht="18.75" customHeight="1">
      <c r="A45" s="21" t="s">
        <v>211</v>
      </c>
      <c r="B45" s="190">
        <f>inputPrYr!D99</f>
        <v>1770652</v>
      </c>
      <c r="C45" s="132"/>
      <c r="D45" s="190">
        <f>inputPrYr!E99</f>
        <v>1695488</v>
      </c>
      <c r="E45" s="132"/>
      <c r="F45" s="191">
        <f>debt!F42</f>
        <v>3195488</v>
      </c>
      <c r="G45" s="21"/>
      <c r="H45" s="21"/>
    </row>
    <row r="46" spans="1:8" ht="18" customHeight="1">
      <c r="A46" s="25" t="s">
        <v>295</v>
      </c>
      <c r="B46" s="190">
        <f>inputPrYr!D100</f>
        <v>287821</v>
      </c>
      <c r="C46" s="132"/>
      <c r="D46" s="190">
        <f>inputPrYr!E100</f>
        <v>233431</v>
      </c>
      <c r="E46" s="132"/>
      <c r="F46" s="191">
        <f>lpform!F28</f>
        <v>169842</v>
      </c>
      <c r="G46" s="21"/>
      <c r="H46" s="21"/>
    </row>
    <row r="47" spans="1:8" ht="19.5" customHeight="1" thickBot="1">
      <c r="A47" s="25" t="s">
        <v>193</v>
      </c>
      <c r="B47" s="192">
        <f>SUM(B43:B46)</f>
        <v>4712473</v>
      </c>
      <c r="C47" s="132"/>
      <c r="D47" s="192">
        <f>SUM(D43:D46)</f>
        <v>4303519</v>
      </c>
      <c r="E47" s="132"/>
      <c r="F47" s="192">
        <f>SUM(F43:F46)</f>
        <v>5455430</v>
      </c>
      <c r="G47" s="21"/>
      <c r="H47" s="21"/>
    </row>
    <row r="48" spans="1:8" ht="18.75" customHeight="1" thickTop="1">
      <c r="A48" s="25" t="s">
        <v>194</v>
      </c>
      <c r="B48" s="21"/>
      <c r="C48" s="21"/>
      <c r="D48" s="21"/>
      <c r="E48" s="21"/>
      <c r="F48" s="21"/>
      <c r="G48" s="21"/>
      <c r="H48" s="21"/>
    </row>
    <row r="49" spans="1:8" ht="15.75">
      <c r="A49" s="21"/>
      <c r="B49" s="21"/>
      <c r="C49" s="21"/>
      <c r="D49" s="21"/>
      <c r="E49" s="21"/>
      <c r="F49" s="21"/>
      <c r="G49" s="21"/>
      <c r="H49" s="21"/>
    </row>
    <row r="50" spans="1:8" ht="15.75">
      <c r="A50" s="31"/>
      <c r="B50" s="31"/>
      <c r="C50" s="20"/>
      <c r="D50" s="21"/>
      <c r="E50" s="21"/>
      <c r="F50" s="21"/>
      <c r="G50" s="21"/>
      <c r="H50" s="21"/>
    </row>
    <row r="51" spans="1:8" ht="15.75">
      <c r="A51" s="24" t="s">
        <v>343</v>
      </c>
      <c r="B51" s="511" t="s">
        <v>303</v>
      </c>
      <c r="C51" s="512"/>
      <c r="D51" s="21"/>
      <c r="E51" s="21"/>
      <c r="F51" s="21"/>
      <c r="G51" s="21"/>
      <c r="H51" s="21"/>
    </row>
    <row r="52" spans="1:8" ht="15.75">
      <c r="A52" s="21"/>
      <c r="B52" s="21"/>
      <c r="C52" s="21"/>
      <c r="D52" s="21"/>
      <c r="E52" s="21"/>
      <c r="F52" s="21"/>
      <c r="G52" s="21"/>
      <c r="H52" s="21"/>
    </row>
    <row r="53" spans="1:8" ht="15.75">
      <c r="A53" s="21"/>
      <c r="B53" s="21"/>
      <c r="C53" s="23" t="s">
        <v>165</v>
      </c>
      <c r="D53" s="100">
        <v>17</v>
      </c>
      <c r="E53" s="21"/>
      <c r="F53" s="21"/>
      <c r="G53" s="21"/>
      <c r="H53" s="21"/>
    </row>
  </sheetData>
  <sheetProtection/>
  <mergeCells count="8">
    <mergeCell ref="B51:C51"/>
    <mergeCell ref="A1:H1"/>
    <mergeCell ref="A4:H4"/>
    <mergeCell ref="A5:H5"/>
    <mergeCell ref="A6:H6"/>
    <mergeCell ref="A8:H8"/>
    <mergeCell ref="A9:H9"/>
    <mergeCell ref="A3:H3"/>
  </mergeCells>
  <printOptions/>
  <pageMargins left="0.5" right="0.5" top="1" bottom="0.5" header="0.5" footer="0.5"/>
  <pageSetup blackAndWhite="1" fitToHeight="1" fitToWidth="1" horizontalDpi="120" verticalDpi="120" orientation="portrait" scale="71" r:id="rId1"/>
  <headerFooter alignWithMargins="0">
    <oddHeader>&amp;RState of Kansas
City</oddHeader>
    <oddFooter>&amp;Lrevised 5/08/08</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6">
      <selection activeCell="C35" sqref="C35"/>
    </sheetView>
  </sheetViews>
  <sheetFormatPr defaultColWidth="8.796875" defaultRowHeight="15"/>
  <cols>
    <col min="1" max="1" width="10.09765625" style="0" customWidth="1"/>
    <col min="2" max="2" width="16.296875" style="0" customWidth="1"/>
    <col min="3" max="3" width="11.796875" style="0" customWidth="1"/>
    <col min="4" max="4" width="12.796875" style="0" customWidth="1"/>
    <col min="5" max="5" width="11.796875" style="0" customWidth="1"/>
  </cols>
  <sheetData>
    <row r="1" spans="1:6" ht="15.75">
      <c r="A1" s="72" t="str">
        <f>inputPrYr!D2</f>
        <v>City of Ellsworth</v>
      </c>
      <c r="B1" s="21"/>
      <c r="C1" s="21"/>
      <c r="D1" s="21"/>
      <c r="E1" s="21"/>
      <c r="F1" s="21">
        <f>inputPrYr!C5</f>
        <v>2010</v>
      </c>
    </row>
    <row r="2" spans="1:6" ht="15.75">
      <c r="A2" s="21"/>
      <c r="B2" s="21"/>
      <c r="C2" s="21"/>
      <c r="D2" s="21"/>
      <c r="E2" s="21"/>
      <c r="F2" s="21"/>
    </row>
    <row r="3" spans="1:6" ht="15.75">
      <c r="A3" s="21"/>
      <c r="B3" s="453" t="str">
        <f>CONCATENATE("",F1," Neighborhood Revitalization Rebate")</f>
        <v>2010 Neighborhood Revitalization Rebate</v>
      </c>
      <c r="C3" s="514"/>
      <c r="D3" s="514"/>
      <c r="E3" s="514"/>
      <c r="F3" s="21"/>
    </row>
    <row r="4" spans="1:6" ht="15.75">
      <c r="A4" s="21"/>
      <c r="B4" s="21"/>
      <c r="C4" s="21"/>
      <c r="D4" s="21"/>
      <c r="E4" s="21"/>
      <c r="F4" s="21"/>
    </row>
    <row r="5" spans="1:6" ht="51" customHeight="1">
      <c r="A5" s="21"/>
      <c r="B5" s="330" t="str">
        <f>CONCATENATE("Budgeted Funds         for ",F1-1,"")</f>
        <v>Budgeted Funds         for 2009</v>
      </c>
      <c r="C5" s="330" t="str">
        <f>CONCATENATE("",F1-1," Ad Valorem before Rebate")</f>
        <v>2009 Ad Valorem before Rebate</v>
      </c>
      <c r="D5" s="331" t="str">
        <f>CONCATENATE("",F1-1," Mil Rate before Rebate")</f>
        <v>2009 Mil Rate before Rebate</v>
      </c>
      <c r="E5" s="332" t="str">
        <f>CONCATENATE("Estimate ",F1," NR Rebate")</f>
        <v>Estimate 2010 NR Rebate</v>
      </c>
      <c r="F5" s="136"/>
    </row>
    <row r="6" spans="1:6" ht="15.75">
      <c r="A6" s="21"/>
      <c r="B6" s="44" t="str">
        <f>inputPrYr!B16</f>
        <v>General</v>
      </c>
      <c r="C6" s="349">
        <v>542500</v>
      </c>
      <c r="D6" s="333">
        <f>IF(C6&gt;0,C6/$D$23,"")</f>
        <v>47.88754151540898</v>
      </c>
      <c r="E6" s="210">
        <f aca="true" t="shared" si="0" ref="E6:E17">IF(C6&gt;0,ROUND(D6*$D$27,0),"")</f>
        <v>1601</v>
      </c>
      <c r="F6" s="136"/>
    </row>
    <row r="7" spans="1:6" ht="15.75">
      <c r="A7" s="21"/>
      <c r="B7" s="44" t="str">
        <f>inputPrYr!B17</f>
        <v>Debt Service</v>
      </c>
      <c r="C7" s="349">
        <v>215000</v>
      </c>
      <c r="D7" s="333">
        <f aca="true" t="shared" si="1" ref="D7:D17">IF(C7&gt;0,C7/$D$23,"")</f>
        <v>18.978472674309547</v>
      </c>
      <c r="E7" s="210">
        <f t="shared" si="0"/>
        <v>635</v>
      </c>
      <c r="F7" s="136"/>
    </row>
    <row r="8" spans="1:6" ht="15.75">
      <c r="A8" s="21"/>
      <c r="B8" s="40" t="str">
        <f>inputPrYr!B19</f>
        <v>Library</v>
      </c>
      <c r="C8" s="349">
        <v>86955</v>
      </c>
      <c r="D8" s="333">
        <f t="shared" si="1"/>
        <v>7.675688797184124</v>
      </c>
      <c r="E8" s="210">
        <f t="shared" si="0"/>
        <v>257</v>
      </c>
      <c r="F8" s="136"/>
    </row>
    <row r="9" spans="1:6" ht="15.75">
      <c r="A9" s="21"/>
      <c r="B9" s="40" t="str">
        <f>inputPrYr!B20</f>
        <v>Fire/Police Equipment</v>
      </c>
      <c r="C9" s="349">
        <v>14580</v>
      </c>
      <c r="D9" s="333">
        <f t="shared" si="1"/>
        <v>1.2870052632159683</v>
      </c>
      <c r="E9" s="210">
        <f t="shared" si="0"/>
        <v>43</v>
      </c>
      <c r="F9" s="136"/>
    </row>
    <row r="10" spans="1:6" ht="15.75">
      <c r="A10" s="21"/>
      <c r="B10" s="40">
        <f>inputPrYr!B21</f>
        <v>0</v>
      </c>
      <c r="C10" s="349"/>
      <c r="D10" s="333">
        <f t="shared" si="1"/>
      </c>
      <c r="E10" s="210">
        <f t="shared" si="0"/>
      </c>
      <c r="F10" s="136"/>
    </row>
    <row r="11" spans="1:6" ht="15.75">
      <c r="A11" s="21"/>
      <c r="B11" s="40">
        <f>inputPrYr!B22</f>
        <v>0</v>
      </c>
      <c r="C11" s="349"/>
      <c r="D11" s="333">
        <f t="shared" si="1"/>
      </c>
      <c r="E11" s="210">
        <f t="shared" si="0"/>
      </c>
      <c r="F11" s="136"/>
    </row>
    <row r="12" spans="1:6" ht="15.75">
      <c r="A12" s="21"/>
      <c r="B12" s="40">
        <f>inputPrYr!B23</f>
        <v>0</v>
      </c>
      <c r="C12" s="350"/>
      <c r="D12" s="333">
        <f t="shared" si="1"/>
      </c>
      <c r="E12" s="210">
        <f t="shared" si="0"/>
      </c>
      <c r="F12" s="136"/>
    </row>
    <row r="13" spans="1:6" ht="15.75">
      <c r="A13" s="21"/>
      <c r="B13" s="40">
        <f>inputPrYr!B24</f>
        <v>0</v>
      </c>
      <c r="C13" s="350"/>
      <c r="D13" s="333">
        <f t="shared" si="1"/>
      </c>
      <c r="E13" s="210">
        <f t="shared" si="0"/>
      </c>
      <c r="F13" s="136"/>
    </row>
    <row r="14" spans="1:6" ht="15.75">
      <c r="A14" s="21"/>
      <c r="B14" s="40">
        <f>inputPrYr!B25</f>
        <v>0</v>
      </c>
      <c r="C14" s="350"/>
      <c r="D14" s="333">
        <f t="shared" si="1"/>
      </c>
      <c r="E14" s="210">
        <f t="shared" si="0"/>
      </c>
      <c r="F14" s="136"/>
    </row>
    <row r="15" spans="1:6" ht="15.75">
      <c r="A15" s="21"/>
      <c r="B15" s="40">
        <f>inputPrYr!B26</f>
        <v>0</v>
      </c>
      <c r="C15" s="350"/>
      <c r="D15" s="333">
        <f t="shared" si="1"/>
      </c>
      <c r="E15" s="210">
        <f t="shared" si="0"/>
      </c>
      <c r="F15" s="136"/>
    </row>
    <row r="16" spans="1:6" ht="15.75">
      <c r="A16" s="21"/>
      <c r="B16" s="40">
        <f>inputPrYr!B27</f>
        <v>0</v>
      </c>
      <c r="C16" s="350"/>
      <c r="D16" s="333">
        <f t="shared" si="1"/>
      </c>
      <c r="E16" s="210">
        <f t="shared" si="0"/>
      </c>
      <c r="F16" s="136"/>
    </row>
    <row r="17" spans="1:6" ht="15.75">
      <c r="A17" s="21"/>
      <c r="B17" s="40">
        <f>inputPrYr!B28</f>
        <v>0</v>
      </c>
      <c r="C17" s="350"/>
      <c r="D17" s="333">
        <f t="shared" si="1"/>
      </c>
      <c r="E17" s="210">
        <f t="shared" si="0"/>
      </c>
      <c r="F17" s="136"/>
    </row>
    <row r="18" spans="1:6" ht="16.5" thickBot="1">
      <c r="A18" s="21"/>
      <c r="B18" s="42" t="s">
        <v>151</v>
      </c>
      <c r="C18" s="334">
        <f>SUM(C6:C17)</f>
        <v>859035</v>
      </c>
      <c r="D18" s="335">
        <f>SUM(D6:D17)</f>
        <v>75.82870825011862</v>
      </c>
      <c r="E18" s="334">
        <f>SUM(E6:E17)</f>
        <v>2536</v>
      </c>
      <c r="F18" s="136"/>
    </row>
    <row r="19" spans="1:6" ht="16.5" thickTop="1">
      <c r="A19" s="21"/>
      <c r="B19" s="21"/>
      <c r="C19" s="21"/>
      <c r="D19" s="21"/>
      <c r="E19" s="21"/>
      <c r="F19" s="136"/>
    </row>
    <row r="20" spans="1:6" ht="15.75">
      <c r="A20" s="21"/>
      <c r="B20" s="21"/>
      <c r="C20" s="21"/>
      <c r="D20" s="21"/>
      <c r="E20" s="21"/>
      <c r="F20" s="136"/>
    </row>
    <row r="21" spans="1:6" ht="15.75">
      <c r="A21" s="515" t="str">
        <f>CONCATENATE("",F1-1," Net Valuation (July 1 less NR Valuation)")</f>
        <v>2009 Net Valuation (July 1 less NR Valuation)</v>
      </c>
      <c r="B21" s="471"/>
      <c r="C21" s="515"/>
      <c r="D21" s="190">
        <f>inputOth!E6-inputOth!E16</f>
        <v>11328625</v>
      </c>
      <c r="E21" s="21"/>
      <c r="F21" s="136"/>
    </row>
    <row r="22" spans="1:6" ht="15.75">
      <c r="A22" s="21"/>
      <c r="B22" s="21"/>
      <c r="C22" s="21"/>
      <c r="D22" s="21"/>
      <c r="E22" s="21"/>
      <c r="F22" s="136"/>
    </row>
    <row r="23" spans="1:6" ht="15.75">
      <c r="A23" s="21"/>
      <c r="B23" s="515" t="s">
        <v>22</v>
      </c>
      <c r="C23" s="515"/>
      <c r="D23" s="336">
        <f>IF(D21&gt;0,(D21*0.001),"")</f>
        <v>11328.625</v>
      </c>
      <c r="E23" s="21"/>
      <c r="F23" s="136"/>
    </row>
    <row r="24" spans="1:6" ht="15.75">
      <c r="A24" s="21"/>
      <c r="B24" s="23"/>
      <c r="C24" s="23"/>
      <c r="D24" s="337"/>
      <c r="E24" s="21"/>
      <c r="F24" s="136"/>
    </row>
    <row r="25" spans="1:6" ht="15.75">
      <c r="A25" s="478" t="s">
        <v>23</v>
      </c>
      <c r="B25" s="516"/>
      <c r="C25" s="516"/>
      <c r="D25" s="338">
        <f>inputOth!E16</f>
        <v>33438</v>
      </c>
      <c r="E25" s="167"/>
      <c r="F25" s="167"/>
    </row>
    <row r="26" spans="1:6" ht="15">
      <c r="A26" s="167"/>
      <c r="B26" s="167"/>
      <c r="C26" s="167"/>
      <c r="D26" s="339"/>
      <c r="E26" s="167"/>
      <c r="F26" s="167"/>
    </row>
    <row r="27" spans="1:6" ht="15.75">
      <c r="A27" s="167"/>
      <c r="B27" s="478" t="s">
        <v>24</v>
      </c>
      <c r="C27" s="471"/>
      <c r="D27" s="348">
        <f>IF(D25&gt;0,(D25*0.001),"")</f>
        <v>33.438</v>
      </c>
      <c r="E27" s="167"/>
      <c r="F27" s="167"/>
    </row>
    <row r="28" spans="1:6" ht="15">
      <c r="A28" s="167"/>
      <c r="B28" s="167"/>
      <c r="C28" s="167"/>
      <c r="D28" s="167"/>
      <c r="E28" s="167"/>
      <c r="F28" s="167"/>
    </row>
    <row r="29" spans="1:6" ht="15">
      <c r="A29" s="167"/>
      <c r="B29" s="167"/>
      <c r="C29" s="167"/>
      <c r="D29" s="167"/>
      <c r="E29" s="167"/>
      <c r="F29" s="167"/>
    </row>
    <row r="30" spans="1:6" ht="15">
      <c r="A30" s="167"/>
      <c r="B30" s="167"/>
      <c r="C30" s="167"/>
      <c r="D30" s="167"/>
      <c r="E30" s="167"/>
      <c r="F30" s="167"/>
    </row>
    <row r="31" spans="1:6" ht="15">
      <c r="A31" s="167"/>
      <c r="B31" s="167"/>
      <c r="C31" s="167"/>
      <c r="D31" s="167"/>
      <c r="E31" s="167"/>
      <c r="F31" s="167"/>
    </row>
    <row r="32" spans="1:6" ht="15">
      <c r="A32" s="167"/>
      <c r="B32" s="167"/>
      <c r="C32" s="167"/>
      <c r="D32" s="167"/>
      <c r="E32" s="167"/>
      <c r="F32" s="167"/>
    </row>
    <row r="33" spans="1:6" ht="15">
      <c r="A33" s="167"/>
      <c r="B33" s="167"/>
      <c r="C33" s="167"/>
      <c r="D33" s="167"/>
      <c r="E33" s="167"/>
      <c r="F33" s="167"/>
    </row>
    <row r="34" spans="1:6" ht="15.75">
      <c r="A34" s="167"/>
      <c r="B34" s="63" t="s">
        <v>173</v>
      </c>
      <c r="C34" s="100">
        <v>18</v>
      </c>
      <c r="D34" s="167"/>
      <c r="E34" s="167"/>
      <c r="F34" s="167"/>
    </row>
    <row r="35" spans="1:6" ht="15.75">
      <c r="A35" s="136"/>
      <c r="B35" s="21"/>
      <c r="C35" s="21"/>
      <c r="D35" s="340"/>
      <c r="E35" s="136"/>
      <c r="F35" s="136"/>
    </row>
  </sheetData>
  <sheetProtection sheet="1" objects="1" scenarios="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r:id="rId1"/>
  <headerFooter alignWithMargins="0">
    <oddHeader>&amp;RState of  Kansas
City</oddHeader>
    <oddFooter>&amp;Lrevised 8/21/08</oddFooter>
  </headerFooter>
</worksheet>
</file>

<file path=xl/worksheets/sheet34.xml><?xml version="1.0" encoding="utf-8"?>
<worksheet xmlns="http://schemas.openxmlformats.org/spreadsheetml/2006/main" xmlns:r="http://schemas.openxmlformats.org/officeDocument/2006/relationships">
  <dimension ref="A1:N40"/>
  <sheetViews>
    <sheetView zoomScalePageLayoutView="0" workbookViewId="0" topLeftCell="A1">
      <selection activeCell="H10" sqref="H10"/>
    </sheetView>
  </sheetViews>
  <sheetFormatPr defaultColWidth="8.796875" defaultRowHeight="15"/>
  <cols>
    <col min="1" max="16384" width="8.8984375" style="2" customWidth="1"/>
  </cols>
  <sheetData>
    <row r="1" spans="1:7" ht="16.5" customHeight="1">
      <c r="A1" s="520" t="s">
        <v>298</v>
      </c>
      <c r="B1" s="520"/>
      <c r="C1" s="520"/>
      <c r="D1" s="520"/>
      <c r="E1" s="520"/>
      <c r="F1" s="520"/>
      <c r="G1" s="520"/>
    </row>
    <row r="2" spans="1:7" ht="16.5" customHeight="1">
      <c r="A2" s="520"/>
      <c r="B2" s="520"/>
      <c r="C2" s="520"/>
      <c r="D2" s="520"/>
      <c r="E2" s="520"/>
      <c r="F2" s="520"/>
      <c r="G2" s="520"/>
    </row>
    <row r="3" spans="1:7" ht="16.5" customHeight="1">
      <c r="A3" s="521"/>
      <c r="B3" s="521"/>
      <c r="C3" s="521"/>
      <c r="D3" s="521"/>
      <c r="E3" s="521"/>
      <c r="F3" s="521"/>
      <c r="G3" s="521"/>
    </row>
    <row r="4" spans="1:7" ht="16.5" customHeight="1">
      <c r="A4" s="518" t="str">
        <f>CONCATENATE("AN ORDINANCE ATTESTING TO AN INCREASE IN TAX REVENUES FOR BUDGET YEAR ",inputPrYr!C5," FOR THE ",(inputPrYr!$D$2))</f>
        <v>AN ORDINANCE ATTESTING TO AN INCREASE IN TAX REVENUES FOR BUDGET YEAR 2010 FOR THE City of Ellsworth</v>
      </c>
      <c r="B4" s="518"/>
      <c r="C4" s="518"/>
      <c r="D4" s="518"/>
      <c r="E4" s="518"/>
      <c r="F4" s="518"/>
      <c r="G4" s="518"/>
    </row>
    <row r="5" spans="1:7" ht="16.5" customHeight="1">
      <c r="A5" s="518"/>
      <c r="B5" s="518"/>
      <c r="C5" s="518"/>
      <c r="D5" s="518"/>
      <c r="E5" s="518"/>
      <c r="F5" s="518"/>
      <c r="G5" s="518"/>
    </row>
    <row r="6" spans="1:7" ht="16.5" customHeight="1">
      <c r="A6" s="520"/>
      <c r="B6" s="520"/>
      <c r="C6" s="520"/>
      <c r="D6" s="520"/>
      <c r="E6" s="520"/>
      <c r="F6" s="520"/>
      <c r="G6" s="520"/>
    </row>
    <row r="7" spans="1:14" ht="16.5" customHeight="1">
      <c r="A7" s="518" t="str">
        <f>CONCATENATE("WHEREAS, the ",(inputPrYr!$D$2)," must continue to provide services to protect the health, safety, and welfare of the citizens of this community; and")</f>
        <v>WHEREAS, the City of Ellsworth must continue to provide services to protect the health, safety, and welfare of the citizens of this community; and</v>
      </c>
      <c r="B7" s="518"/>
      <c r="C7" s="518"/>
      <c r="D7" s="518"/>
      <c r="E7" s="518"/>
      <c r="F7" s="518"/>
      <c r="G7" s="518"/>
      <c r="H7" s="230"/>
      <c r="I7" s="230"/>
      <c r="J7" s="230"/>
      <c r="K7" s="230"/>
      <c r="L7" s="230"/>
      <c r="M7" s="230"/>
      <c r="N7" s="230"/>
    </row>
    <row r="8" spans="1:14" ht="16.5" customHeight="1">
      <c r="A8" s="518"/>
      <c r="B8" s="518"/>
      <c r="C8" s="518"/>
      <c r="D8" s="518"/>
      <c r="E8" s="518"/>
      <c r="F8" s="518"/>
      <c r="G8" s="518"/>
      <c r="H8" s="230"/>
      <c r="I8" s="230"/>
      <c r="J8" s="230"/>
      <c r="K8" s="230"/>
      <c r="L8" s="230"/>
      <c r="M8" s="230"/>
      <c r="N8" s="230"/>
    </row>
    <row r="9" spans="1:7" ht="16.5" customHeight="1">
      <c r="A9" s="231"/>
      <c r="B9" s="231"/>
      <c r="C9" s="231"/>
      <c r="D9" s="231"/>
      <c r="E9" s="231"/>
      <c r="F9" s="231"/>
      <c r="G9" s="231"/>
    </row>
    <row r="10" spans="1:7" ht="16.5" customHeight="1">
      <c r="A10" s="518" t="s">
        <v>299</v>
      </c>
      <c r="B10" s="518"/>
      <c r="C10" s="518"/>
      <c r="D10" s="518"/>
      <c r="E10" s="518"/>
      <c r="F10" s="518"/>
      <c r="G10" s="518"/>
    </row>
    <row r="11" spans="1:7" ht="16.5" customHeight="1">
      <c r="A11" s="518"/>
      <c r="B11" s="518"/>
      <c r="C11" s="518"/>
      <c r="D11" s="518"/>
      <c r="E11" s="518"/>
      <c r="F11" s="518"/>
      <c r="G11" s="518"/>
    </row>
    <row r="12" spans="1:7" ht="16.5" customHeight="1">
      <c r="A12" s="231"/>
      <c r="B12" s="231"/>
      <c r="C12" s="231"/>
      <c r="D12" s="231"/>
      <c r="E12" s="231"/>
      <c r="F12" s="231"/>
      <c r="G12" s="231"/>
    </row>
    <row r="13" spans="1:14" ht="16.5" customHeight="1">
      <c r="A13" s="518" t="str">
        <f>CONCATENATE("NOW THEREFORE, be it ordained by the Governing Body of the ",(inputPrYr!$D$2),":")</f>
        <v>NOW THEREFORE, be it ordained by the Governing Body of the City of Ellsworth:</v>
      </c>
      <c r="B13" s="518"/>
      <c r="C13" s="518"/>
      <c r="D13" s="518"/>
      <c r="E13" s="518"/>
      <c r="F13" s="518"/>
      <c r="G13" s="518"/>
      <c r="H13" s="230"/>
      <c r="I13" s="230"/>
      <c r="J13" s="230"/>
      <c r="K13" s="230"/>
      <c r="L13" s="230"/>
      <c r="M13" s="230"/>
      <c r="N13" s="230"/>
    </row>
    <row r="14" spans="1:14" ht="16.5" customHeight="1">
      <c r="A14" s="518"/>
      <c r="B14" s="518"/>
      <c r="C14" s="518"/>
      <c r="D14" s="518"/>
      <c r="E14" s="518"/>
      <c r="F14" s="518"/>
      <c r="G14" s="518"/>
      <c r="H14" s="230"/>
      <c r="I14" s="230"/>
      <c r="J14" s="230"/>
      <c r="K14" s="230"/>
      <c r="L14" s="230"/>
      <c r="M14" s="230"/>
      <c r="N14" s="230"/>
    </row>
    <row r="15" spans="1:14" ht="16.5" customHeight="1">
      <c r="A15" s="51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Ellsworth  has scheduled a public hearing and has prepared the proposed budget necessary to fund city services from January 1, 2010 until December 31, 2010.</v>
      </c>
      <c r="B15" s="518"/>
      <c r="C15" s="518"/>
      <c r="D15" s="518"/>
      <c r="E15" s="518"/>
      <c r="F15" s="518"/>
      <c r="G15" s="518"/>
      <c r="H15" s="230"/>
      <c r="I15" s="230"/>
      <c r="J15" s="230"/>
      <c r="K15" s="230"/>
      <c r="L15" s="230"/>
      <c r="M15" s="230"/>
      <c r="N15" s="230"/>
    </row>
    <row r="16" spans="1:14" ht="16.5" customHeight="1">
      <c r="A16" s="518"/>
      <c r="B16" s="518"/>
      <c r="C16" s="518"/>
      <c r="D16" s="518"/>
      <c r="E16" s="518"/>
      <c r="F16" s="518"/>
      <c r="G16" s="518"/>
      <c r="H16" s="230"/>
      <c r="I16" s="230"/>
      <c r="J16" s="230"/>
      <c r="K16" s="230"/>
      <c r="L16" s="230"/>
      <c r="M16" s="230"/>
      <c r="N16" s="230"/>
    </row>
    <row r="17" spans="1:14" ht="16.5" customHeight="1">
      <c r="A17" s="518"/>
      <c r="B17" s="518"/>
      <c r="C17" s="518"/>
      <c r="D17" s="518"/>
      <c r="E17" s="518"/>
      <c r="F17" s="518"/>
      <c r="G17" s="518"/>
      <c r="H17" s="230"/>
      <c r="I17" s="230"/>
      <c r="J17" s="230"/>
      <c r="K17" s="230"/>
      <c r="L17" s="230"/>
      <c r="M17" s="230"/>
      <c r="N17" s="230"/>
    </row>
    <row r="18" spans="1:7" ht="16.5" customHeight="1">
      <c r="A18" s="230"/>
      <c r="B18" s="230"/>
      <c r="C18" s="230"/>
      <c r="D18" s="230"/>
      <c r="E18" s="230"/>
      <c r="F18" s="230"/>
      <c r="G18" s="230"/>
    </row>
    <row r="19" spans="1:7" ht="16.5" customHeight="1">
      <c r="A19" s="519" t="s">
        <v>373</v>
      </c>
      <c r="B19" s="519"/>
      <c r="C19" s="519"/>
      <c r="D19" s="519"/>
      <c r="E19" s="519"/>
      <c r="F19" s="519"/>
      <c r="G19" s="519"/>
    </row>
    <row r="20" spans="1:7" ht="16.5" customHeight="1">
      <c r="A20" s="519" t="s">
        <v>374</v>
      </c>
      <c r="B20" s="519"/>
      <c r="C20" s="519"/>
      <c r="D20" s="519"/>
      <c r="E20" s="519"/>
      <c r="F20" s="519"/>
      <c r="G20" s="519"/>
    </row>
    <row r="21" spans="1:7" ht="16.5" customHeight="1">
      <c r="A21" s="519" t="str">
        <f>CONCATENATE("necessary to budget property tax revenues in an amount exceeding the levy in the ",inputPrYr!C5-1,"")</f>
        <v>necessary to budget property tax revenues in an amount exceeding the levy in the 2009</v>
      </c>
      <c r="B21" s="519"/>
      <c r="C21" s="519"/>
      <c r="D21" s="519"/>
      <c r="E21" s="519"/>
      <c r="F21" s="519"/>
      <c r="G21" s="519"/>
    </row>
    <row r="22" spans="1:7" ht="16.5" customHeight="1">
      <c r="A22" s="232" t="s">
        <v>375</v>
      </c>
      <c r="B22" s="232"/>
      <c r="C22" s="232"/>
      <c r="D22" s="232"/>
      <c r="E22" s="232"/>
      <c r="F22" s="232"/>
      <c r="G22" s="232"/>
    </row>
    <row r="23" spans="1:7" ht="16.5" customHeight="1">
      <c r="A23" s="230"/>
      <c r="B23" s="230"/>
      <c r="C23" s="230"/>
      <c r="D23" s="230"/>
      <c r="E23" s="230"/>
      <c r="F23" s="230"/>
      <c r="G23" s="230"/>
    </row>
    <row r="24" spans="1:7" ht="16.5" customHeight="1">
      <c r="A24" s="518" t="s">
        <v>300</v>
      </c>
      <c r="B24" s="518"/>
      <c r="C24" s="518"/>
      <c r="D24" s="518"/>
      <c r="E24" s="518"/>
      <c r="F24" s="518"/>
      <c r="G24" s="518"/>
    </row>
    <row r="25" spans="1:7" ht="16.5" customHeight="1">
      <c r="A25" s="518"/>
      <c r="B25" s="518"/>
      <c r="C25" s="518"/>
      <c r="D25" s="518"/>
      <c r="E25" s="518"/>
      <c r="F25" s="518"/>
      <c r="G25" s="518"/>
    </row>
    <row r="26" spans="1:7" ht="16.5" customHeight="1">
      <c r="A26" s="230"/>
      <c r="B26" s="230"/>
      <c r="C26" s="230"/>
      <c r="D26" s="230"/>
      <c r="E26" s="230"/>
      <c r="F26" s="230"/>
      <c r="G26" s="230"/>
    </row>
    <row r="27" spans="1:7" ht="16.5" customHeight="1">
      <c r="A27" s="518" t="str">
        <f>CONCATENATE("Passed and approved by the Governing Body on this ______ day of __________, ",inputPrYr!C5-1,".")</f>
        <v>Passed and approved by the Governing Body on this ______ day of __________, 2009.</v>
      </c>
      <c r="B27" s="518"/>
      <c r="C27" s="518"/>
      <c r="D27" s="518"/>
      <c r="E27" s="518"/>
      <c r="F27" s="518"/>
      <c r="G27" s="518"/>
    </row>
    <row r="28" spans="1:7" ht="16.5" customHeight="1">
      <c r="A28" s="518"/>
      <c r="B28" s="518"/>
      <c r="C28" s="518"/>
      <c r="D28" s="518"/>
      <c r="E28" s="518"/>
      <c r="F28" s="518"/>
      <c r="G28" s="518"/>
    </row>
    <row r="29" ht="16.5" customHeight="1"/>
    <row r="30" spans="1:7" ht="16.5" customHeight="1">
      <c r="A30" s="517" t="s">
        <v>301</v>
      </c>
      <c r="B30" s="517"/>
      <c r="C30" s="517"/>
      <c r="D30" s="517"/>
      <c r="E30" s="517"/>
      <c r="F30" s="517"/>
      <c r="G30" s="517"/>
    </row>
    <row r="31" spans="1:7" ht="16.5" customHeight="1">
      <c r="A31" s="517" t="s">
        <v>306</v>
      </c>
      <c r="B31" s="517"/>
      <c r="C31" s="517"/>
      <c r="D31" s="517"/>
      <c r="E31" s="517"/>
      <c r="F31" s="517"/>
      <c r="G31" s="517"/>
    </row>
    <row r="32" ht="16.5" customHeight="1">
      <c r="A32" s="2" t="s">
        <v>302</v>
      </c>
    </row>
    <row r="33" ht="16.5" customHeight="1">
      <c r="B33" s="2" t="s">
        <v>303</v>
      </c>
    </row>
    <row r="34" ht="16.5" customHeight="1"/>
    <row r="35" ht="16.5" customHeight="1"/>
    <row r="36" ht="16.5" customHeight="1">
      <c r="A36" s="2" t="s">
        <v>304</v>
      </c>
    </row>
    <row r="37" ht="16.5" customHeight="1"/>
    <row r="38" ht="16.5" customHeight="1"/>
    <row r="39" ht="16.5" customHeight="1"/>
    <row r="40" ht="16.5" customHeight="1">
      <c r="A40" s="2" t="s">
        <v>305</v>
      </c>
    </row>
  </sheetData>
  <sheetProtection sheet="1" objects="1" scenarios="1"/>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dimension ref="A1:A81"/>
  <sheetViews>
    <sheetView zoomScalePageLayoutView="0" workbookViewId="0" topLeftCell="A1">
      <selection activeCell="A3" sqref="A3"/>
    </sheetView>
  </sheetViews>
  <sheetFormatPr defaultColWidth="8.796875" defaultRowHeight="15"/>
  <cols>
    <col min="1" max="1" width="80.09765625" style="2" customWidth="1"/>
    <col min="2" max="16384" width="8.8984375" style="2" customWidth="1"/>
  </cols>
  <sheetData>
    <row r="1" ht="15.75">
      <c r="A1" s="358" t="s">
        <v>431</v>
      </c>
    </row>
    <row r="2" ht="15.75">
      <c r="A2" s="2" t="s">
        <v>432</v>
      </c>
    </row>
    <row r="4" ht="15.75">
      <c r="A4" s="358" t="s">
        <v>428</v>
      </c>
    </row>
    <row r="5" ht="15.75">
      <c r="A5" s="2" t="s">
        <v>429</v>
      </c>
    </row>
    <row r="6" ht="15.75">
      <c r="A6" s="2" t="s">
        <v>430</v>
      </c>
    </row>
    <row r="8" ht="15.75">
      <c r="A8" s="358" t="s">
        <v>104</v>
      </c>
    </row>
    <row r="9" ht="15.75">
      <c r="A9" s="2" t="s">
        <v>82</v>
      </c>
    </row>
    <row r="10" ht="15.75">
      <c r="A10" s="2" t="s">
        <v>83</v>
      </c>
    </row>
    <row r="11" ht="15.75">
      <c r="A11" s="2" t="s">
        <v>84</v>
      </c>
    </row>
    <row r="12" ht="15.75">
      <c r="A12" s="2" t="s">
        <v>96</v>
      </c>
    </row>
    <row r="13" ht="15.75">
      <c r="A13" s="2" t="s">
        <v>85</v>
      </c>
    </row>
    <row r="14" ht="15.75">
      <c r="A14" s="2" t="s">
        <v>86</v>
      </c>
    </row>
    <row r="15" ht="31.5">
      <c r="A15" s="5" t="s">
        <v>97</v>
      </c>
    </row>
    <row r="16" ht="31.5">
      <c r="A16" s="5" t="s">
        <v>87</v>
      </c>
    </row>
    <row r="17" ht="15.75">
      <c r="A17" s="5" t="s">
        <v>88</v>
      </c>
    </row>
    <row r="18" ht="15.75">
      <c r="A18" s="5" t="s">
        <v>89</v>
      </c>
    </row>
    <row r="19" ht="31.5">
      <c r="A19" s="5" t="s">
        <v>421</v>
      </c>
    </row>
    <row r="20" ht="15.75">
      <c r="A20" s="2" t="s">
        <v>422</v>
      </c>
    </row>
    <row r="21" ht="31.5">
      <c r="A21" s="5" t="s">
        <v>90</v>
      </c>
    </row>
    <row r="22" ht="15.75">
      <c r="A22" s="2" t="s">
        <v>101</v>
      </c>
    </row>
    <row r="23" ht="15.75">
      <c r="A23" s="2" t="s">
        <v>102</v>
      </c>
    </row>
    <row r="24" ht="15.75">
      <c r="A24" s="2" t="s">
        <v>103</v>
      </c>
    </row>
    <row r="25" ht="31.5">
      <c r="A25" s="5" t="s">
        <v>420</v>
      </c>
    </row>
    <row r="26" ht="15.75">
      <c r="A26" s="2" t="s">
        <v>419</v>
      </c>
    </row>
    <row r="27" ht="31.5">
      <c r="A27" s="5" t="s">
        <v>418</v>
      </c>
    </row>
    <row r="28" ht="15.75">
      <c r="A28" s="2" t="s">
        <v>423</v>
      </c>
    </row>
    <row r="30" ht="15.75">
      <c r="A30" s="358" t="s">
        <v>117</v>
      </c>
    </row>
    <row r="31" ht="15.75">
      <c r="A31" s="2" t="s">
        <v>118</v>
      </c>
    </row>
    <row r="32" ht="15.75">
      <c r="A32" s="2" t="s">
        <v>119</v>
      </c>
    </row>
    <row r="33" ht="15.75">
      <c r="A33" s="2" t="s">
        <v>120</v>
      </c>
    </row>
    <row r="34" ht="15.75">
      <c r="A34" s="2" t="s">
        <v>98</v>
      </c>
    </row>
    <row r="37" ht="15.75">
      <c r="A37" s="358" t="s">
        <v>72</v>
      </c>
    </row>
    <row r="38" ht="15.75">
      <c r="A38" s="2" t="s">
        <v>73</v>
      </c>
    </row>
    <row r="40" ht="15.75">
      <c r="A40" s="358" t="s">
        <v>65</v>
      </c>
    </row>
    <row r="41" ht="15.75">
      <c r="A41" s="2" t="s">
        <v>66</v>
      </c>
    </row>
    <row r="42" ht="15.75">
      <c r="A42" s="2" t="s">
        <v>67</v>
      </c>
    </row>
    <row r="43" ht="31.5">
      <c r="A43" s="5" t="s">
        <v>68</v>
      </c>
    </row>
    <row r="44" ht="15.75">
      <c r="A44" s="2" t="s">
        <v>69</v>
      </c>
    </row>
    <row r="45" ht="15.75">
      <c r="A45" s="2" t="s">
        <v>70</v>
      </c>
    </row>
    <row r="46" ht="15.75">
      <c r="A46" s="2" t="s">
        <v>71</v>
      </c>
    </row>
    <row r="48" ht="18" customHeight="1">
      <c r="A48" s="358" t="s">
        <v>381</v>
      </c>
    </row>
    <row r="49" ht="48.75" customHeight="1">
      <c r="A49" s="5" t="s">
        <v>424</v>
      </c>
    </row>
    <row r="50" ht="15.75">
      <c r="A50" s="2" t="s">
        <v>382</v>
      </c>
    </row>
    <row r="51" ht="15.75">
      <c r="A51" s="2" t="s">
        <v>383</v>
      </c>
    </row>
    <row r="52" ht="15.75">
      <c r="A52" s="2" t="s">
        <v>425</v>
      </c>
    </row>
    <row r="53" ht="15.75">
      <c r="A53" s="2" t="s">
        <v>384</v>
      </c>
    </row>
    <row r="54" ht="15.75">
      <c r="A54" s="2" t="s">
        <v>385</v>
      </c>
    </row>
    <row r="55" ht="15.75">
      <c r="A55" s="2" t="s">
        <v>9</v>
      </c>
    </row>
    <row r="56" ht="15.75">
      <c r="A56" s="2" t="s">
        <v>386</v>
      </c>
    </row>
    <row r="57" ht="15.75">
      <c r="A57" s="2" t="s">
        <v>387</v>
      </c>
    </row>
    <row r="58" ht="31.5">
      <c r="A58" s="5" t="s">
        <v>388</v>
      </c>
    </row>
    <row r="59" ht="31.5">
      <c r="A59" s="5" t="s">
        <v>31</v>
      </c>
    </row>
    <row r="60" ht="15.75">
      <c r="A60" s="2" t="s">
        <v>389</v>
      </c>
    </row>
    <row r="61" ht="15.75">
      <c r="A61" s="2" t="s">
        <v>390</v>
      </c>
    </row>
    <row r="62" ht="15.75">
      <c r="A62" s="2" t="s">
        <v>426</v>
      </c>
    </row>
    <row r="63" ht="15.75">
      <c r="A63" s="2" t="s">
        <v>391</v>
      </c>
    </row>
    <row r="64" ht="15.75">
      <c r="A64" s="2" t="s">
        <v>0</v>
      </c>
    </row>
    <row r="65" ht="31.5">
      <c r="A65" s="5" t="s">
        <v>1</v>
      </c>
    </row>
    <row r="66" ht="15.75">
      <c r="A66" s="2" t="s">
        <v>403</v>
      </c>
    </row>
    <row r="67" ht="15.75">
      <c r="A67" s="2" t="s">
        <v>404</v>
      </c>
    </row>
    <row r="68" ht="31.5">
      <c r="A68" s="5" t="s">
        <v>405</v>
      </c>
    </row>
    <row r="69" ht="15.75">
      <c r="A69" s="2" t="s">
        <v>52</v>
      </c>
    </row>
    <row r="70" ht="15.75">
      <c r="A70" s="2" t="s">
        <v>53</v>
      </c>
    </row>
    <row r="71" ht="15.75">
      <c r="A71" s="2" t="s">
        <v>54</v>
      </c>
    </row>
    <row r="72" ht="15.75">
      <c r="A72" s="2" t="s">
        <v>55</v>
      </c>
    </row>
    <row r="73" ht="15.75">
      <c r="A73" s="2" t="s">
        <v>56</v>
      </c>
    </row>
    <row r="74" ht="15.75">
      <c r="A74" s="2" t="s">
        <v>57</v>
      </c>
    </row>
    <row r="75" ht="15.75">
      <c r="A75" s="2" t="s">
        <v>58</v>
      </c>
    </row>
    <row r="76" ht="15.75">
      <c r="A76" s="2" t="s">
        <v>59</v>
      </c>
    </row>
    <row r="77" ht="15.75">
      <c r="A77" s="2" t="s">
        <v>60</v>
      </c>
    </row>
    <row r="78" ht="15.75">
      <c r="A78" s="2" t="s">
        <v>62</v>
      </c>
    </row>
    <row r="79" ht="15.75">
      <c r="A79" s="2" t="s">
        <v>63</v>
      </c>
    </row>
    <row r="80" ht="15.75">
      <c r="A80" s="2" t="s">
        <v>64</v>
      </c>
    </row>
    <row r="81" ht="15.75">
      <c r="A81" s="2" t="s">
        <v>61</v>
      </c>
    </row>
  </sheetData>
  <sheetProtection sheet="1" objects="1" scenarios="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94"/>
  <sheetViews>
    <sheetView zoomScalePageLayoutView="0" workbookViewId="0" topLeftCell="A37">
      <selection activeCell="A55" sqref="A55"/>
    </sheetView>
  </sheetViews>
  <sheetFormatPr defaultColWidth="8.796875" defaultRowHeight="15"/>
  <cols>
    <col min="1" max="1" width="24.296875" style="7" customWidth="1"/>
    <col min="2" max="2" width="10.796875" style="7" customWidth="1"/>
    <col min="3" max="3" width="5.796875" style="7" customWidth="1"/>
    <col min="4" max="4" width="14" style="7" customWidth="1"/>
    <col min="5" max="5" width="13.296875" style="7" customWidth="1"/>
    <col min="6" max="6" width="12.296875" style="7" customWidth="1"/>
  </cols>
  <sheetData>
    <row r="1" spans="1:8" ht="15.75">
      <c r="A1" s="21"/>
      <c r="B1" s="21"/>
      <c r="C1" s="22" t="s">
        <v>226</v>
      </c>
      <c r="D1" s="21"/>
      <c r="E1" s="21"/>
      <c r="F1" s="23"/>
      <c r="H1">
        <f>inputPrYr!C5</f>
        <v>2010</v>
      </c>
    </row>
    <row r="2" spans="1:6" ht="15.75">
      <c r="A2" s="443" t="str">
        <f>CONCATENATE("To the Clerk of ",(inputPrYr!D3),", State of Kansas")</f>
        <v>To the Clerk of County of Ellsworth, State of Kansas</v>
      </c>
      <c r="B2" s="435"/>
      <c r="C2" s="435"/>
      <c r="D2" s="435"/>
      <c r="E2" s="435"/>
      <c r="F2" s="435"/>
    </row>
    <row r="3" spans="1:6" ht="15.75">
      <c r="A3" s="26" t="s">
        <v>222</v>
      </c>
      <c r="B3" s="27"/>
      <c r="C3" s="27"/>
      <c r="D3" s="27"/>
      <c r="E3" s="27"/>
      <c r="F3" s="27"/>
    </row>
    <row r="4" spans="1:6" ht="15.75">
      <c r="A4" s="440" t="str">
        <f>(inputPrYr!D2)</f>
        <v>City of Ellsworth</v>
      </c>
      <c r="B4" s="441"/>
      <c r="C4" s="441"/>
      <c r="D4" s="441"/>
      <c r="E4" s="441"/>
      <c r="F4" s="441"/>
    </row>
    <row r="5" spans="1:6" ht="15.75">
      <c r="A5" s="26" t="s">
        <v>131</v>
      </c>
      <c r="B5" s="27"/>
      <c r="C5" s="27"/>
      <c r="D5" s="27"/>
      <c r="E5" s="27"/>
      <c r="F5" s="27"/>
    </row>
    <row r="6" spans="1:6" ht="15.75">
      <c r="A6" s="26" t="s">
        <v>132</v>
      </c>
      <c r="B6" s="27"/>
      <c r="C6" s="27"/>
      <c r="D6" s="27"/>
      <c r="E6" s="27"/>
      <c r="F6" s="27"/>
    </row>
    <row r="7" spans="1:6" ht="15.75">
      <c r="A7" s="26" t="str">
        <f>CONCATENATE("maximum expenditures for the various funds for the year ",H1,"; and")</f>
        <v>maximum expenditures for the various funds for the year 2010; and</v>
      </c>
      <c r="B7" s="27"/>
      <c r="C7" s="27"/>
      <c r="D7" s="27"/>
      <c r="E7" s="27"/>
      <c r="F7" s="27"/>
    </row>
    <row r="8" spans="1:6" ht="15.75">
      <c r="A8" s="26" t="str">
        <f>CONCATENATE("(3) the Amounts(s) of ",H1-1," Ad Valorem Tax are within statutory limitations.")</f>
        <v>(3) the Amounts(s) of 2009 Ad Valorem Tax are within statutory limitations.</v>
      </c>
      <c r="B8" s="27"/>
      <c r="C8" s="27"/>
      <c r="D8" s="27"/>
      <c r="E8" s="27"/>
      <c r="F8" s="27"/>
    </row>
    <row r="9" spans="1:6" ht="15.75">
      <c r="A9" s="21"/>
      <c r="B9" s="21"/>
      <c r="C9" s="21"/>
      <c r="D9" s="28" t="str">
        <f>CONCATENATE("",H1," Adopted Budget")</f>
        <v>2010 Adopted Budget</v>
      </c>
      <c r="E9" s="29"/>
      <c r="F9" s="30"/>
    </row>
    <row r="10" spans="1:6" ht="21" customHeight="1">
      <c r="A10" s="21"/>
      <c r="B10" s="21"/>
      <c r="C10" s="31"/>
      <c r="D10" s="32" t="s">
        <v>133</v>
      </c>
      <c r="E10" s="33" t="str">
        <f>CONCATENATE("Amount of ",H1-1,"")</f>
        <v>Amount of 2009</v>
      </c>
      <c r="F10" s="33" t="s">
        <v>134</v>
      </c>
    </row>
    <row r="11" spans="1:6" ht="15.75">
      <c r="A11" s="25"/>
      <c r="B11" s="21"/>
      <c r="C11" s="33" t="s">
        <v>135</v>
      </c>
      <c r="D11" s="34"/>
      <c r="E11" s="195" t="s">
        <v>347</v>
      </c>
      <c r="F11" s="34" t="s">
        <v>136</v>
      </c>
    </row>
    <row r="12" spans="1:6" ht="15.75">
      <c r="A12" s="35" t="s">
        <v>137</v>
      </c>
      <c r="B12" s="20"/>
      <c r="C12" s="36" t="s">
        <v>138</v>
      </c>
      <c r="D12" s="36" t="s">
        <v>183</v>
      </c>
      <c r="E12" s="189" t="s">
        <v>348</v>
      </c>
      <c r="F12" s="36" t="s">
        <v>139</v>
      </c>
    </row>
    <row r="13" spans="1:6" ht="15.75">
      <c r="A13" s="37" t="str">
        <f>CONCATENATE("Computation to Determine Limit for ",H1,"")</f>
        <v>Computation to Determine Limit for 2010</v>
      </c>
      <c r="B13" s="38"/>
      <c r="C13" s="139">
        <v>2</v>
      </c>
      <c r="D13" s="39"/>
      <c r="E13" s="39"/>
      <c r="F13" s="39"/>
    </row>
    <row r="14" spans="1:6" ht="15.75">
      <c r="A14" s="37" t="s">
        <v>13</v>
      </c>
      <c r="B14" s="20"/>
      <c r="C14" s="36">
        <v>3</v>
      </c>
      <c r="D14" s="34"/>
      <c r="E14" s="34"/>
      <c r="F14" s="34"/>
    </row>
    <row r="15" spans="1:6" ht="15.75">
      <c r="A15" s="37" t="s">
        <v>292</v>
      </c>
      <c r="B15" s="20"/>
      <c r="C15" s="36">
        <v>4</v>
      </c>
      <c r="D15" s="34"/>
      <c r="E15" s="34"/>
      <c r="F15" s="34"/>
    </row>
    <row r="16" spans="1:6" ht="15.75">
      <c r="A16" s="37" t="s">
        <v>140</v>
      </c>
      <c r="B16" s="38"/>
      <c r="C16" s="139">
        <v>5</v>
      </c>
      <c r="D16" s="41"/>
      <c r="E16" s="41"/>
      <c r="F16" s="41"/>
    </row>
    <row r="17" spans="1:6" ht="15.75">
      <c r="A17" s="37" t="s">
        <v>141</v>
      </c>
      <c r="B17" s="38"/>
      <c r="C17" s="139">
        <v>6</v>
      </c>
      <c r="D17" s="41"/>
      <c r="E17" s="41"/>
      <c r="F17" s="41"/>
    </row>
    <row r="18" spans="1:6" ht="15.75">
      <c r="A18" s="290" t="s">
        <v>142</v>
      </c>
      <c r="B18" s="291" t="s">
        <v>143</v>
      </c>
      <c r="C18" s="82"/>
      <c r="D18" s="43"/>
      <c r="E18" s="43"/>
      <c r="F18" s="43"/>
    </row>
    <row r="19" spans="1:6" ht="15.75">
      <c r="A19" s="44" t="s">
        <v>126</v>
      </c>
      <c r="B19" s="401" t="str">
        <f>IF(inputPrYr!C16&gt;0,(inputPrYr!C16),"  ")</f>
        <v>12-101a</v>
      </c>
      <c r="C19" s="139">
        <v>7</v>
      </c>
      <c r="D19" s="40">
        <f>IF(general!$G$92&lt;&gt;0,general!$G$92,"  ")</f>
        <v>2100806</v>
      </c>
      <c r="E19" s="40">
        <f>IF(general!$G$98&lt;&gt;0,general!$G$98,"  ")</f>
        <v>542500</v>
      </c>
      <c r="F19" s="130" t="str">
        <f>IF(AND(general!G98=0,$D$56&gt;=0)," ",IF(AND(E19&gt;0,$D$56=0)," ",IF(AND(E19&gt;0,$D$56&gt;0),ROUND(E19/$D$56*1000,3))))</f>
        <v> </v>
      </c>
    </row>
    <row r="20" spans="1:6" ht="15.75">
      <c r="A20" s="44" t="s">
        <v>76</v>
      </c>
      <c r="B20" s="401" t="str">
        <f>IF(inputPrYr!C17&gt;0,(inputPrYr!C17),"  ")</f>
        <v>10-113</v>
      </c>
      <c r="C20" s="139">
        <f>IF(DebtService!C41&gt;0,DebtService!C41,"  ")</f>
        <v>8</v>
      </c>
      <c r="D20" s="40">
        <f>IF(DebtService!$G$33&lt;&gt;0,DebtService!$G$33,"  ")</f>
        <v>410000</v>
      </c>
      <c r="E20" s="40">
        <f>IF(DebtService!$G$39&lt;&gt;0,DebtService!$G$39,"  ")</f>
        <v>215000</v>
      </c>
      <c r="F20" s="130" t="str">
        <f>IF(AND(DebtService!G39=0,$D$56&gt;=0)," ",IF(AND(E20&gt;0,$D$56=0)," ",IF(AND(E20&gt;0,$D$56&gt;0),ROUND(E20/$D$56*1000,3))))</f>
        <v> </v>
      </c>
    </row>
    <row r="21" spans="1:6" ht="15.75">
      <c r="A21" s="40" t="str">
        <f>IF(inputPrYr!$B19&gt;"  ",(inputPrYr!$B19),"  ")</f>
        <v>Library</v>
      </c>
      <c r="B21" s="401" t="str">
        <f>IF(inputPrYr!C19&gt;0,(inputPrYr!C19),"  ")</f>
        <v>12-1220</v>
      </c>
      <c r="C21" s="139">
        <f>IF('levy page9'!C62&gt;0,'levy page9'!C62,"  ")</f>
        <v>9</v>
      </c>
      <c r="D21" s="40">
        <f>IF('levy page9'!$G$25&gt;0,'levy page9'!$G$25,"  ")</f>
        <v>102322</v>
      </c>
      <c r="E21" s="40">
        <f>IF('levy page9'!$G$31&lt;&gt;0,'levy page9'!$G$31,"  ")</f>
        <v>86955</v>
      </c>
      <c r="F21" s="130" t="str">
        <f>IF(AND('levy page9'!$G$31=0,$D$56&gt;=0)," ",IF(AND(E21&gt;0,$D$56=0)," ",IF(AND(E21&gt;0,$D$56&gt;0),ROUND(E21/$D$56*1000,3))))</f>
        <v> </v>
      </c>
    </row>
    <row r="22" spans="1:6" ht="15.75">
      <c r="A22" s="40" t="str">
        <f>IF(inputPrYr!$B20&gt;"  ",(inputPrYr!$B20),"  ")</f>
        <v>Fire/Police Equipment</v>
      </c>
      <c r="B22" s="401" t="str">
        <f>IF(inputPrYr!C20&gt;0,(inputPrYr!C20),"  ")</f>
        <v>12-110b</v>
      </c>
      <c r="C22" s="139">
        <f>IF('levy page9'!C62&gt;0,'levy page9'!C62,"  ")</f>
        <v>9</v>
      </c>
      <c r="D22" s="40">
        <f>IF('levy page9'!$G$55&gt;0,'levy page9'!$G$55,"  ")</f>
        <v>17500</v>
      </c>
      <c r="E22" s="40">
        <f>IF('levy page9'!$G$61&lt;&gt;0,'levy page9'!$G$61,"  ")</f>
        <v>14580</v>
      </c>
      <c r="F22" s="130" t="str">
        <f>IF(AND('levy page9'!$G$61=0,$D$56&gt;=0)," ",IF(AND(E22&gt;0,$D$56=0)," ",IF(AND(E22&gt;0,$D$56&gt;0),ROUND(E22/$D$56*1000,3))))</f>
        <v> </v>
      </c>
    </row>
    <row r="23" spans="1:6" ht="15.75">
      <c r="A23" s="40" t="str">
        <f>IF(inputPrYr!$B21&gt;"  ",(inputPrYr!$B21),"  ")</f>
        <v>  </v>
      </c>
      <c r="B23" s="401" t="str">
        <f>IF(inputPrYr!C21&gt;0,(inputPrYr!C21),"  ")</f>
        <v>  </v>
      </c>
      <c r="C23" s="139" t="str">
        <f>IF('levy page10'!C74&gt;0,'levy page10'!C74,"  ")</f>
        <v>  </v>
      </c>
      <c r="D23" s="40" t="str">
        <f>IF('levy page10'!$G$31&gt;0,'levy page10'!$G$31,"  ")</f>
        <v>  </v>
      </c>
      <c r="E23" s="40" t="str">
        <f>IF('levy page10'!$G$37&lt;&gt;0,'levy page10'!$G$37,"  ")</f>
        <v>  </v>
      </c>
      <c r="F23" s="130" t="str">
        <f>IF(AND('levy page10'!$G$37=0,$D$56&gt;=0)," ",IF(AND(E23&gt;0,$D$56=0)," ",IF(AND(E23&gt;0,$D$56&gt;0),ROUND(E23/$D$56*1000,3))))</f>
        <v> </v>
      </c>
    </row>
    <row r="24" spans="1:6" ht="15.75">
      <c r="A24" s="40" t="str">
        <f>IF(inputPrYr!$B22&gt;"  ",(inputPrYr!$B22),"  ")</f>
        <v>  </v>
      </c>
      <c r="B24" s="401" t="str">
        <f>IF(inputPrYr!C22&gt;0,(inputPrYr!C22),"  ")</f>
        <v>  </v>
      </c>
      <c r="C24" s="139" t="str">
        <f>IF('levy page10'!C74&gt;0,'levy page10'!C74,"  ")</f>
        <v>  </v>
      </c>
      <c r="D24" s="40" t="str">
        <f>IF('levy page10'!$G$66&gt;0,'levy page10'!$G$66,"  ")</f>
        <v>  </v>
      </c>
      <c r="E24" s="40" t="str">
        <f>IF('levy page10'!$G$72&lt;&gt;0,'levy page10'!$G$72,"  ")</f>
        <v>  </v>
      </c>
      <c r="F24" s="130" t="str">
        <f>IF(AND('levy page10'!$G$72=0,$D$56&gt;=0)," ",IF(AND(E24&gt;0,$D$56=0)," ",IF(AND(E24&gt;0,$D$56&gt;0),ROUND(E24/$D$56*1000,3))))</f>
        <v> </v>
      </c>
    </row>
    <row r="25" spans="1:6" ht="15.75">
      <c r="A25" s="40" t="str">
        <f>IF(inputPrYr!$B23&gt;"  ",(inputPrYr!$B23),"  ")</f>
        <v>  </v>
      </c>
      <c r="B25" s="401" t="str">
        <f>IF(inputPrYr!C23&gt;0,(inputPrYr!C23),"  ")</f>
        <v>  </v>
      </c>
      <c r="C25" s="139" t="str">
        <f>IF('levy page11'!C73&gt;0,'levy page11'!C73,"  ")</f>
        <v>  </v>
      </c>
      <c r="D25" s="40" t="str">
        <f>IF('levy page11'!$G$30&gt;0,'levy page11'!$G$30,"  ")</f>
        <v>  </v>
      </c>
      <c r="E25" s="40" t="str">
        <f>IF('levy page11'!$G$36&lt;&gt;0,'levy page11'!$G$36,"  ")</f>
        <v>  </v>
      </c>
      <c r="F25" s="130" t="str">
        <f>IF(AND('levy page11'!$G$36=0,$D$56&gt;=0)," ",IF(AND(E25&gt;0,$D$56=0)," ",IF(AND(E25&gt;0,$D$56&gt;0),ROUND(E25/$D$56*1000,3))))</f>
        <v> </v>
      </c>
    </row>
    <row r="26" spans="1:6" ht="15.75">
      <c r="A26" s="40" t="str">
        <f>IF(inputPrYr!$B24&gt;"  ",(inputPrYr!$B24),"  ")</f>
        <v>  </v>
      </c>
      <c r="B26" s="401" t="str">
        <f>IF(inputPrYr!C24&gt;0,(inputPrYr!C24),"  ")</f>
        <v>  </v>
      </c>
      <c r="C26" s="139" t="str">
        <f>IF('levy page11'!C73&gt;0,'levy page11'!C73,"  ")</f>
        <v>  </v>
      </c>
      <c r="D26" s="40" t="str">
        <f>IF('levy page11'!$G$65&gt;0,'levy page11'!$G$65,"  ")</f>
        <v>  </v>
      </c>
      <c r="E26" s="40" t="str">
        <f>IF('levy page11'!$G$71&lt;&gt;0,'levy page11'!$G$71,"  ")</f>
        <v>  </v>
      </c>
      <c r="F26" s="130" t="str">
        <f>IF(AND('levy page11'!$G$71=0,$D$56&gt;=0)," ",IF(AND(E26&gt;0,$D$56=0)," ",IF(AND(E26&gt;0,$D$56&gt;0),ROUND(E26/$D$56*1000,3))))</f>
        <v> </v>
      </c>
    </row>
    <row r="27" spans="1:6" ht="15.75">
      <c r="A27" s="40" t="str">
        <f>IF(inputPrYr!$B25&gt;"  ",(inputPrYr!$B25),"  ")</f>
        <v>  </v>
      </c>
      <c r="B27" s="401" t="str">
        <f>IF(inputPrYr!C25&gt;0,(inputPrYr!C25),"  ")</f>
        <v>  </v>
      </c>
      <c r="C27" s="139" t="str">
        <f>IF('levy page12'!C74&gt;0,'levy page12'!C74,"  ")</f>
        <v>  </v>
      </c>
      <c r="D27" s="40" t="str">
        <f>IF('levy page12'!$G$31&gt;0,'levy page12'!$G$31,"  ")</f>
        <v>  </v>
      </c>
      <c r="E27" s="40" t="str">
        <f>IF('levy page12'!$G$37&lt;&gt;0,'levy page12'!$G$37,"  ")</f>
        <v>  </v>
      </c>
      <c r="F27" s="130" t="str">
        <f>IF(AND('levy page12'!$G$37=0,$D$56&gt;=0)," ",IF(AND(E27&gt;0,$D$56=0)," ",IF(AND(E27&gt;0,$D$56&gt;0),ROUND(E27/$D$56*1000,3))))</f>
        <v> </v>
      </c>
    </row>
    <row r="28" spans="1:6" ht="15.75">
      <c r="A28" s="40" t="str">
        <f>IF(inputPrYr!$B26&gt;"  ",(inputPrYr!$B26),"  ")</f>
        <v>  </v>
      </c>
      <c r="B28" s="401" t="str">
        <f>IF(inputPrYr!C26&gt;0,(inputPrYr!C26),"  ")</f>
        <v>  </v>
      </c>
      <c r="C28" s="139" t="str">
        <f>IF('levy page12'!C74&gt;0,'levy page12'!C74,"  ")</f>
        <v>  </v>
      </c>
      <c r="D28" s="40" t="str">
        <f>IF('levy page12'!$G$66&gt;0,'levy page12'!$G$66,"  ")</f>
        <v>  </v>
      </c>
      <c r="E28" s="40" t="str">
        <f>IF('levy page12'!$G$72&lt;&gt;0,'levy page12'!$G$72,"  ")</f>
        <v>  </v>
      </c>
      <c r="F28" s="130" t="str">
        <f>IF(AND('levy page12'!$G$72=0,$D$56&gt;=0)," ",IF(AND(E28&gt;0,$D$56=0)," ",IF(AND(E28&gt;0,$D$56&gt;0),ROUND(E28/$D$56*1000,3))))</f>
        <v> </v>
      </c>
    </row>
    <row r="29" spans="1:6" ht="15.75">
      <c r="A29" s="40" t="str">
        <f>IF(inputPrYr!$B27&gt;"  ",(inputPrYr!$B27),"  ")</f>
        <v>  </v>
      </c>
      <c r="B29" s="401" t="str">
        <f>IF(inputPrYr!C27&gt;0,(inputPrYr!C27),"  ")</f>
        <v>  </v>
      </c>
      <c r="C29" s="139" t="str">
        <f>IF('levy page13'!C74&gt;0,'levy page13'!C74,"  ")</f>
        <v>  </v>
      </c>
      <c r="D29" s="40" t="str">
        <f>IF('levy page13'!$G$31&gt;0,'levy page13'!$G$31,"  ")</f>
        <v>  </v>
      </c>
      <c r="E29" s="40" t="str">
        <f>IF('levy page13'!$G$37&lt;&gt;0,'levy page13'!$G$37,"  ")</f>
        <v>  </v>
      </c>
      <c r="F29" s="130" t="str">
        <f>IF(AND('levy page13'!$G$72=0,$D$56&gt;=0)," ",IF(AND(E29&gt;0,$D$56=0)," ",IF(AND(E29&gt;0,$D$56&gt;0),ROUND(E29/$D$56*1000,3))))</f>
        <v> </v>
      </c>
    </row>
    <row r="30" spans="1:6" ht="15.75">
      <c r="A30" s="40" t="str">
        <f>IF(inputPrYr!$B28&gt;"  ",(inputPrYr!$B28),"  ")</f>
        <v>  </v>
      </c>
      <c r="B30" s="401" t="str">
        <f>IF(inputPrYr!C28&gt;0,(inputPrYr!C28),"  ")</f>
        <v>  </v>
      </c>
      <c r="C30" s="139" t="str">
        <f>IF('levy page13'!C74&gt;0,'levy page13'!C74,"  ")</f>
        <v>  </v>
      </c>
      <c r="D30" s="40" t="str">
        <f>IF('levy page13'!$G$66&gt;0,'levy page13'!$G$66,"  ")</f>
        <v>  </v>
      </c>
      <c r="E30" s="40" t="str">
        <f>IF('levy page13'!$G$72&lt;&gt;0,'levy page13'!$G$72,"  ")</f>
        <v>  </v>
      </c>
      <c r="F30" s="130" t="str">
        <f>IF(AND('levy page13'!$G$72=0,$D$56&gt;=0)," ",IF(AND(E30&gt;0,$D$56=0)," ",IF(AND(E30&gt;0,$D$56&gt;0),ROUND(E30/$D$56*1000,3))))</f>
        <v> </v>
      </c>
    </row>
    <row r="31" spans="1:6" ht="15.75">
      <c r="A31" s="313" t="str">
        <f>IF(inputPrYr!$B32&gt;"  ",(inputPrYr!$B32),"  ")</f>
        <v>Special Highway</v>
      </c>
      <c r="B31" s="398"/>
      <c r="C31" s="397">
        <f>IF('Sp Hiway'!C67&gt;0,'Sp Hiway'!C67,"  ")</f>
        <v>10</v>
      </c>
      <c r="D31" s="40">
        <f>IF('Sp Hiway'!$E$30&gt;0,'Sp Hiway'!$E$30,"  ")</f>
        <v>116665</v>
      </c>
      <c r="E31" s="42"/>
      <c r="F31" s="42"/>
    </row>
    <row r="32" spans="1:6" ht="15.75">
      <c r="A32" s="313" t="str">
        <f>IF(inputPrYr!$B33&gt;"  ",(inputPrYr!$B33),"  ")</f>
        <v>Special Parks &amp; Recreation</v>
      </c>
      <c r="B32" s="398"/>
      <c r="C32" s="397">
        <f>IF('Sp Hiway'!C67&gt;0,'Sp Hiway'!C67,"  ")</f>
        <v>10</v>
      </c>
      <c r="D32" s="40">
        <f>IF('Sp Hiway'!$E$61&gt;0,'Sp Hiway'!$E$61,"  ")</f>
        <v>5377</v>
      </c>
      <c r="E32" s="42"/>
      <c r="F32" s="42"/>
    </row>
    <row r="33" spans="1:6" ht="15.75">
      <c r="A33" s="313" t="str">
        <f>IF(inputPrYr!$B34&gt;"  ",(inputPrYr!$B34),"  ")</f>
        <v>Solid Waste</v>
      </c>
      <c r="B33" s="399"/>
      <c r="C33" s="397">
        <f>IF('no levy page15'!C67&gt;0,'no levy page15'!C67,"  ")</f>
        <v>11</v>
      </c>
      <c r="D33" s="40">
        <f>IF('no levy page15'!$E$21&gt;0,'no levy page15'!$E$21,"  ")</f>
        <v>154000</v>
      </c>
      <c r="E33" s="42"/>
      <c r="F33" s="42"/>
    </row>
    <row r="34" spans="1:6" ht="15.75">
      <c r="A34" s="313" t="str">
        <f>IF(inputPrYr!$B35&gt;"  ",(inputPrYr!$B35),"  ")</f>
        <v>Capital Improvements</v>
      </c>
      <c r="B34" s="398"/>
      <c r="C34" s="397">
        <f>IF('no levy page15'!C67&gt;0,'no levy page15'!C67,"  ")</f>
        <v>11</v>
      </c>
      <c r="D34" s="40">
        <f>IF('no levy page15'!$E$61&gt;0,'no levy page15'!$E$61,"  ")</f>
        <v>589011</v>
      </c>
      <c r="E34" s="42"/>
      <c r="F34" s="42"/>
    </row>
    <row r="35" spans="1:6" ht="15.75">
      <c r="A35" s="313" t="str">
        <f>IF(inputPrYr!$B36&gt;"  ",(inputPrYr!$B36),"  ")</f>
        <v>Municipal Equipment</v>
      </c>
      <c r="B35" s="399"/>
      <c r="C35" s="397">
        <f>IF('no levy page16'!C68&gt;0,'no levy page16'!C68,"  ")</f>
        <v>12</v>
      </c>
      <c r="D35" s="40">
        <f>IF('no levy page16'!$E$34&gt;0,'no levy page16'!$E$34,"  ")</f>
        <v>393268</v>
      </c>
      <c r="E35" s="42"/>
      <c r="F35" s="42"/>
    </row>
    <row r="36" spans="1:6" ht="15.75">
      <c r="A36" s="313" t="str">
        <f>IF(inputPrYr!$B37&gt;"  ",(inputPrYr!$B37),"  ")</f>
        <v>Tourism &amp; Convention</v>
      </c>
      <c r="B36" s="400"/>
      <c r="C36" s="397">
        <f>IF('no levy page16'!C68&gt;0,'no levy page16'!C68,"  ")</f>
        <v>12</v>
      </c>
      <c r="D36" s="40">
        <f>IF('no levy page16'!$E$62&gt;0,'no levy page16'!$E$62,"  ")</f>
        <v>16676</v>
      </c>
      <c r="E36" s="42"/>
      <c r="F36" s="42"/>
    </row>
    <row r="37" spans="1:6" ht="15.75">
      <c r="A37" s="313" t="str">
        <f>IF(inputPrYr!$B38&gt;"  ",(inputPrYr!$B38),"  ")</f>
        <v>Transportaion District</v>
      </c>
      <c r="B37" s="400"/>
      <c r="C37" s="397">
        <f>IF('no levy page17'!C59&gt;0,'no levy page17'!C59,"  ")</f>
        <v>13</v>
      </c>
      <c r="D37" s="40">
        <f>IF('no levy page17'!$E$25&gt;0,'no levy page17'!$E$25,"  ")</f>
        <v>140946</v>
      </c>
      <c r="E37" s="42"/>
      <c r="F37" s="42"/>
    </row>
    <row r="38" spans="1:6" ht="15.75">
      <c r="A38" s="313" t="str">
        <f>IF(inputPrYr!$B39&gt;"  ",(inputPrYr!$B39),"  ")</f>
        <v>W/S Emergency Depreciation</v>
      </c>
      <c r="B38" s="400"/>
      <c r="C38" s="397">
        <f>IF('no levy page17'!C59&gt;0,'no levy page17'!C59,"  ")</f>
        <v>13</v>
      </c>
      <c r="D38" s="40">
        <f>IF('no levy page17'!$E$53&gt;0,'no levy page17'!$E$53,"  ")</f>
        <v>105954</v>
      </c>
      <c r="E38" s="42"/>
      <c r="F38" s="42"/>
    </row>
    <row r="39" spans="1:6" ht="15.75">
      <c r="A39" s="313" t="str">
        <f>IF(inputPrYr!$B40&gt;"  ",(inputPrYr!$B40),"  ")</f>
        <v>W/S Improvenment</v>
      </c>
      <c r="B39" s="398"/>
      <c r="C39" s="397">
        <f>IF('no levy page18'!C62&gt;0,'no levy page18'!C62,"  ")</f>
        <v>14</v>
      </c>
      <c r="D39" s="40">
        <f>IF('no levy page18'!$E$25&gt;0,'no levy page18'!$E$25,"  ")</f>
        <v>696738</v>
      </c>
      <c r="E39" s="42"/>
      <c r="F39" s="42"/>
    </row>
    <row r="40" spans="1:6" ht="15.75">
      <c r="A40" s="313" t="str">
        <f>IF(inputPrYr!$B41&gt;"  ",(inputPrYr!$B41),"  ")</f>
        <v>WWTP Improvement</v>
      </c>
      <c r="B40" s="398"/>
      <c r="C40" s="397">
        <f>IF('no levy page18'!C62&gt;0,'no levy page18'!C62,"  ")</f>
        <v>14</v>
      </c>
      <c r="D40" s="40" t="str">
        <f>IF('no levy page18'!$E$56&gt;0,'no levy page18'!$E$56,"  ")</f>
        <v>  </v>
      </c>
      <c r="E40" s="42"/>
      <c r="F40" s="42"/>
    </row>
    <row r="41" spans="1:6" ht="15.75">
      <c r="A41" s="313" t="str">
        <f>IF(inputPrYr!$B42&gt;"  ",(inputPrYr!$B42),"  ")</f>
        <v>  </v>
      </c>
      <c r="B41" s="399"/>
      <c r="C41" s="397" t="str">
        <f>IF('no levy page19'!C65&gt;0,'no levy page19'!C65,"  ")</f>
        <v>  </v>
      </c>
      <c r="D41" s="40" t="str">
        <f>IF('no levy page19'!$E$28&gt;0,'no levy page19'!$E$28,"  ")</f>
        <v>  </v>
      </c>
      <c r="E41" s="42"/>
      <c r="F41" s="42"/>
    </row>
    <row r="42" spans="1:6" ht="15.75">
      <c r="A42" s="313" t="str">
        <f>IF(inputPrYr!$B43&gt;"  ",(inputPrYr!$B43),"  ")</f>
        <v>  </v>
      </c>
      <c r="B42" s="400"/>
      <c r="C42" s="397" t="str">
        <f>IF('no levy page19'!C65&gt;0,'no levy page19'!C65,"  ")</f>
        <v>  </v>
      </c>
      <c r="D42" s="40" t="str">
        <f>IF('no levy page19'!$E$59&gt;0,'no levy page19'!$E$59,"  ")</f>
        <v>  </v>
      </c>
      <c r="E42" s="42"/>
      <c r="F42" s="42"/>
    </row>
    <row r="43" spans="1:6" ht="15.75">
      <c r="A43" s="313" t="str">
        <f>IF(inputPrYr!$B45&gt;"  ",(inputPrYr!$B45),"  ")</f>
        <v>Water/Sewer</v>
      </c>
      <c r="B43" s="398"/>
      <c r="C43" s="397">
        <f>IF(SinNoLevy20!C77&gt;0,SinNoLevy20!C77,"  ")</f>
        <v>15</v>
      </c>
      <c r="D43" s="40">
        <f>IF(SinNoLevy20!$E$71&gt;0,SinNoLevy20!$E$71,"  ")</f>
        <v>1182850</v>
      </c>
      <c r="E43" s="42"/>
      <c r="F43" s="42"/>
    </row>
    <row r="44" spans="1:6" ht="15.75">
      <c r="A44" s="313" t="str">
        <f>IF(inputPrYr!$B46&gt;"  ",(inputPrYr!$B46),"  ")</f>
        <v>Recreation &amp; Pool</v>
      </c>
      <c r="B44" s="398"/>
      <c r="C44" s="397">
        <f>IF(SinNoLevy21!C57&gt;0,SinNoLevy21!C57,"  ")</f>
        <v>16</v>
      </c>
      <c r="D44" s="40">
        <f>IF(SinNoLevy21!$E$51&gt;0,SinNoLevy21!$E$51,"  ")</f>
        <v>217975</v>
      </c>
      <c r="E44" s="42"/>
      <c r="F44" s="42"/>
    </row>
    <row r="45" spans="1:6" ht="15.75">
      <c r="A45" s="313" t="str">
        <f>IF(inputPrYr!$B47&gt;"  ",(inputPrYr!$B47),"  ")</f>
        <v>  </v>
      </c>
      <c r="B45" s="399"/>
      <c r="C45" s="397" t="str">
        <f>IF(SinNoLevy22!C53&gt;0,SinNoLevy22!C53,"  ")</f>
        <v>  </v>
      </c>
      <c r="D45" s="40" t="str">
        <f>IF(SinNoLevy22!$E$47&gt;0,SinNoLevy22!$E$47,"  ")</f>
        <v>  </v>
      </c>
      <c r="E45" s="42"/>
      <c r="F45" s="42"/>
    </row>
    <row r="46" spans="1:6" ht="15.75">
      <c r="A46" s="313" t="str">
        <f>IF(inputPrYr!$B48&gt;"  ",(inputPrYr!$B48),"  ")</f>
        <v>  </v>
      </c>
      <c r="B46" s="400"/>
      <c r="C46" s="397" t="str">
        <f>IF(SinNoLevy23!C53&gt;0,SinNoLevy23!C53,"  ")</f>
        <v>  </v>
      </c>
      <c r="D46" s="40" t="str">
        <f>IF(SinNoLevy23!$E$47&gt;0,SinNoLevy23!$E$47,"  ")</f>
        <v>  </v>
      </c>
      <c r="E46" s="42"/>
      <c r="F46" s="42"/>
    </row>
    <row r="47" spans="1:6" ht="15.75">
      <c r="A47" s="313" t="str">
        <f>IF(inputPrYr!$B51&gt;"  ",(NonBudA!$A3),"  ")</f>
        <v>  </v>
      </c>
      <c r="B47" s="400"/>
      <c r="C47" s="397" t="str">
        <f>IF(NonBudA!F33&gt;0,NonBudA!F33,"  ")</f>
        <v>  </v>
      </c>
      <c r="D47" s="40"/>
      <c r="E47" s="42"/>
      <c r="F47" s="42"/>
    </row>
    <row r="48" spans="1:6" ht="15.75">
      <c r="A48" s="313" t="str">
        <f>IF(inputPrYr!$B57&gt;"  ",(NonBudB!$A3),"  ")</f>
        <v>  </v>
      </c>
      <c r="B48" s="400"/>
      <c r="C48" s="397" t="str">
        <f>IF(NonBudB!F33&gt;0,NonBudB!F33,"  ")</f>
        <v>  </v>
      </c>
      <c r="D48" s="40"/>
      <c r="E48" s="42"/>
      <c r="F48" s="42"/>
    </row>
    <row r="49" spans="1:6" ht="15.75">
      <c r="A49" s="313" t="str">
        <f>IF(inputPrYr!$B63&gt;"  ",(NonBudC!$A3),"  ")</f>
        <v>  </v>
      </c>
      <c r="B49" s="398"/>
      <c r="C49" s="397" t="str">
        <f>IF(NonBudC!F33&gt;0,NonBudC!F33,"  ")</f>
        <v>  </v>
      </c>
      <c r="D49" s="40"/>
      <c r="E49" s="42"/>
      <c r="F49" s="42"/>
    </row>
    <row r="50" spans="1:6" ht="15.75">
      <c r="A50" s="313" t="str">
        <f>IF(inputPrYr!$B69&gt;"  ",(NonBudD!$A3),"  ")</f>
        <v>  </v>
      </c>
      <c r="B50" s="399"/>
      <c r="C50" s="397" t="str">
        <f>IF(NonBudD!F33&gt;0,NonBudD!F33,"  ")</f>
        <v>  </v>
      </c>
      <c r="D50" s="40"/>
      <c r="E50" s="42"/>
      <c r="F50" s="42"/>
    </row>
    <row r="51" spans="1:6" ht="15.75">
      <c r="A51" s="37" t="s">
        <v>144</v>
      </c>
      <c r="B51" s="38"/>
      <c r="C51" s="139" t="s">
        <v>145</v>
      </c>
      <c r="D51" s="40">
        <f>SUM(D19:D50)</f>
        <v>6250088</v>
      </c>
      <c r="E51" s="40">
        <f>SUM(E19:E50)</f>
        <v>859035</v>
      </c>
      <c r="F51" s="131">
        <f>IF(SUM(F19:F50)=0,"",SUM(F19:F50))</f>
      </c>
    </row>
    <row r="52" spans="1:6" ht="15.75">
      <c r="A52" s="37" t="s">
        <v>408</v>
      </c>
      <c r="B52" s="38"/>
      <c r="C52" s="139">
        <f>summ!D53</f>
        <v>17</v>
      </c>
      <c r="D52" s="21"/>
      <c r="E52" s="21"/>
      <c r="F52" s="21"/>
    </row>
    <row r="53" spans="1:6" ht="15.75">
      <c r="A53" s="37" t="s">
        <v>25</v>
      </c>
      <c r="B53" s="38"/>
      <c r="C53" s="139">
        <f>IF(nhood!C34&gt;0,nhood!C34,"")</f>
        <v>18</v>
      </c>
      <c r="D53" s="21"/>
      <c r="E53" s="21"/>
      <c r="F53" s="21"/>
    </row>
    <row r="54" spans="1:6" ht="15.75">
      <c r="A54" s="244" t="s">
        <v>409</v>
      </c>
      <c r="B54" s="245"/>
      <c r="C54" s="246"/>
      <c r="D54" s="248"/>
      <c r="E54" s="247" t="str">
        <f>IF(E51&gt;computation!J40,"Yes","No")</f>
        <v>No</v>
      </c>
      <c r="F54" s="105"/>
    </row>
    <row r="55" spans="1:6" ht="15.75">
      <c r="A55" s="129"/>
      <c r="B55" s="105"/>
      <c r="C55" s="21"/>
      <c r="D55" s="227" t="s">
        <v>296</v>
      </c>
      <c r="E55" s="105"/>
      <c r="F55" s="105"/>
    </row>
    <row r="56" spans="1:6" ht="15.75">
      <c r="A56" s="129"/>
      <c r="B56" s="105"/>
      <c r="C56" s="21"/>
      <c r="D56" s="426"/>
      <c r="E56" s="20"/>
      <c r="F56" s="20"/>
    </row>
    <row r="57" spans="1:6" ht="15.75">
      <c r="A57" s="21"/>
      <c r="B57" s="21"/>
      <c r="C57" s="25"/>
      <c r="D57" s="444" t="s">
        <v>410</v>
      </c>
      <c r="E57" s="21"/>
      <c r="F57" s="21"/>
    </row>
    <row r="58" spans="1:6" ht="15.75">
      <c r="A58" s="32" t="s">
        <v>146</v>
      </c>
      <c r="B58" s="46"/>
      <c r="C58" s="21"/>
      <c r="D58" s="445"/>
      <c r="E58" s="421"/>
      <c r="F58" s="421"/>
    </row>
    <row r="59" spans="1:6" ht="15.75">
      <c r="A59" s="47" t="s">
        <v>223</v>
      </c>
      <c r="B59" s="24"/>
      <c r="C59" s="105"/>
      <c r="D59" s="105"/>
      <c r="E59" s="136"/>
      <c r="F59" s="136"/>
    </row>
    <row r="60" spans="1:6" ht="15.75">
      <c r="A60" s="47" t="s">
        <v>224</v>
      </c>
      <c r="B60" s="424"/>
      <c r="C60" s="425"/>
      <c r="D60" s="425"/>
      <c r="E60" s="422"/>
      <c r="F60" s="422"/>
    </row>
    <row r="61" spans="1:6" ht="15.75">
      <c r="A61" s="48" t="s">
        <v>225</v>
      </c>
      <c r="B61" s="289"/>
      <c r="C61" s="425"/>
      <c r="D61" s="425"/>
      <c r="E61" s="423"/>
      <c r="F61" s="423"/>
    </row>
    <row r="62" spans="1:6" ht="15.75">
      <c r="A62" s="105"/>
      <c r="B62" s="289"/>
      <c r="C62" s="425"/>
      <c r="D62" s="425"/>
      <c r="E62" s="442" t="s">
        <v>147</v>
      </c>
      <c r="F62" s="442"/>
    </row>
    <row r="63" spans="1:6" ht="15.75">
      <c r="A63" s="25" t="s">
        <v>8</v>
      </c>
      <c r="B63" s="92">
        <f>H1-1</f>
        <v>2009</v>
      </c>
      <c r="C63" s="16"/>
      <c r="D63" s="16"/>
      <c r="E63" s="26"/>
      <c r="F63" s="21"/>
    </row>
    <row r="64" spans="1:6" ht="15.75">
      <c r="A64" s="31"/>
      <c r="B64" s="21"/>
      <c r="C64" s="21"/>
      <c r="D64" s="21"/>
      <c r="E64" s="105"/>
      <c r="F64" s="105"/>
    </row>
    <row r="65" spans="1:6" ht="15.75">
      <c r="A65" s="49" t="s">
        <v>148</v>
      </c>
      <c r="B65" s="21"/>
      <c r="C65" s="21"/>
      <c r="D65" s="21"/>
      <c r="E65" s="442"/>
      <c r="F65" s="442"/>
    </row>
    <row r="66" ht="15.75">
      <c r="A66" s="2"/>
    </row>
    <row r="76" spans="1:6" ht="15">
      <c r="A76"/>
      <c r="B76"/>
      <c r="C76"/>
      <c r="D76"/>
      <c r="E76"/>
      <c r="F76"/>
    </row>
    <row r="77" spans="1:6" ht="15">
      <c r="A77"/>
      <c r="B77"/>
      <c r="C77"/>
      <c r="D77"/>
      <c r="E77"/>
      <c r="F77"/>
    </row>
    <row r="78" spans="1:6" ht="15">
      <c r="A78"/>
      <c r="B78"/>
      <c r="C78"/>
      <c r="D78"/>
      <c r="E78"/>
      <c r="F78"/>
    </row>
    <row r="79" spans="1:6" ht="15">
      <c r="A79"/>
      <c r="B79"/>
      <c r="C79"/>
      <c r="D79"/>
      <c r="E79"/>
      <c r="F79"/>
    </row>
    <row r="80" spans="1:6" ht="15">
      <c r="A80"/>
      <c r="B80"/>
      <c r="C80"/>
      <c r="D80"/>
      <c r="E80"/>
      <c r="F80"/>
    </row>
    <row r="81" spans="1:6" ht="15">
      <c r="A81"/>
      <c r="B81"/>
      <c r="C81"/>
      <c r="D81"/>
      <c r="E81"/>
      <c r="F81"/>
    </row>
    <row r="82" spans="1:6" ht="15">
      <c r="A82"/>
      <c r="B82"/>
      <c r="C82"/>
      <c r="D82"/>
      <c r="E82"/>
      <c r="F82"/>
    </row>
    <row r="83" spans="1:6" ht="15">
      <c r="A83"/>
      <c r="B83"/>
      <c r="C83"/>
      <c r="D83"/>
      <c r="E83"/>
      <c r="F83"/>
    </row>
    <row r="84" spans="1:6" ht="15">
      <c r="A84"/>
      <c r="B84"/>
      <c r="C84"/>
      <c r="D84"/>
      <c r="E84"/>
      <c r="F84"/>
    </row>
    <row r="85" spans="1:6" ht="15">
      <c r="A85"/>
      <c r="B85"/>
      <c r="C85"/>
      <c r="D85"/>
      <c r="E85"/>
      <c r="F85"/>
    </row>
    <row r="86" spans="1:6" ht="15">
      <c r="A86"/>
      <c r="B86"/>
      <c r="C86"/>
      <c r="D86"/>
      <c r="E86"/>
      <c r="F86"/>
    </row>
    <row r="87" spans="1:6" ht="15">
      <c r="A87"/>
      <c r="B87"/>
      <c r="C87"/>
      <c r="D87"/>
      <c r="E87"/>
      <c r="F87"/>
    </row>
    <row r="88" spans="1:6" ht="15">
      <c r="A88"/>
      <c r="B88"/>
      <c r="C88"/>
      <c r="D88"/>
      <c r="E88"/>
      <c r="F88"/>
    </row>
    <row r="89" spans="1:6" ht="15">
      <c r="A89"/>
      <c r="B89"/>
      <c r="C89"/>
      <c r="D89"/>
      <c r="E89"/>
      <c r="F89"/>
    </row>
    <row r="90" spans="1:6" ht="15">
      <c r="A90"/>
      <c r="B90"/>
      <c r="C90"/>
      <c r="D90"/>
      <c r="E90"/>
      <c r="F90"/>
    </row>
    <row r="91" spans="1:6" ht="15">
      <c r="A91"/>
      <c r="B91"/>
      <c r="C91"/>
      <c r="D91"/>
      <c r="E91"/>
      <c r="F91"/>
    </row>
    <row r="94" spans="1:6" ht="15.75">
      <c r="A94" s="2"/>
      <c r="B94" s="2"/>
      <c r="C94" s="2"/>
      <c r="D94" s="2"/>
      <c r="E94" s="2"/>
      <c r="F94" s="2"/>
    </row>
  </sheetData>
  <sheetProtection/>
  <mergeCells count="5">
    <mergeCell ref="A4:F4"/>
    <mergeCell ref="E65:F65"/>
    <mergeCell ref="A2:F2"/>
    <mergeCell ref="D57:D58"/>
    <mergeCell ref="E62:F62"/>
  </mergeCells>
  <printOptions/>
  <pageMargins left="0.5" right="0.5" top="1" bottom="0.5" header="0.5" footer="0.25"/>
  <pageSetup blackAndWhite="1" fitToHeight="1" fitToWidth="1" horizontalDpi="120" verticalDpi="120" orientation="portrait" scale="68" r:id="rId1"/>
  <headerFooter alignWithMargins="0">
    <oddHeader>&amp;RState of Kansas
City
</oddHeader>
    <oddFooter>&amp;Lrevised 3/19/09&amp;C   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J38" sqref="J38"/>
    </sheetView>
  </sheetViews>
  <sheetFormatPr defaultColWidth="8.796875" defaultRowHeight="15.75" customHeight="1"/>
  <cols>
    <col min="1" max="2" width="3.296875" style="2" customWidth="1"/>
    <col min="3" max="3" width="31.296875" style="2" customWidth="1"/>
    <col min="4" max="4" width="2.296875" style="2" customWidth="1"/>
    <col min="5" max="5" width="15.796875" style="2" customWidth="1"/>
    <col min="6" max="6" width="2" style="2" customWidth="1"/>
    <col min="7" max="7" width="15.796875" style="2" customWidth="1"/>
    <col min="8" max="8" width="1.8984375" style="2" customWidth="1"/>
    <col min="9" max="9" width="1.796875" style="2" customWidth="1"/>
    <col min="10" max="10" width="15.796875" style="2" customWidth="1"/>
    <col min="11" max="16384" width="8.8984375" style="2" customWidth="1"/>
  </cols>
  <sheetData>
    <row r="1" spans="1:10" ht="15.75" customHeight="1">
      <c r="A1" s="50"/>
      <c r="B1" s="50"/>
      <c r="C1" s="51" t="str">
        <f>inputPrYr!D2</f>
        <v>City of Ellsworth</v>
      </c>
      <c r="D1" s="50"/>
      <c r="E1" s="50"/>
      <c r="F1" s="50"/>
      <c r="G1" s="50"/>
      <c r="H1" s="50"/>
      <c r="I1" s="50"/>
      <c r="J1" s="50">
        <f>inputPrYr!C5</f>
        <v>2010</v>
      </c>
    </row>
    <row r="2" spans="1:10" ht="15.75" customHeight="1">
      <c r="A2" s="50"/>
      <c r="B2" s="50"/>
      <c r="C2" s="50"/>
      <c r="D2" s="50"/>
      <c r="E2" s="50"/>
      <c r="F2" s="50"/>
      <c r="G2" s="50"/>
      <c r="H2" s="50"/>
      <c r="I2" s="50"/>
      <c r="J2" s="50"/>
    </row>
    <row r="3" spans="1:10" ht="15.75">
      <c r="A3" s="447" t="str">
        <f>CONCATENATE("Computation to Determine Limit for ",J1,"")</f>
        <v>Computation to Determine Limit for 2010</v>
      </c>
      <c r="B3" s="448"/>
      <c r="C3" s="448"/>
      <c r="D3" s="448"/>
      <c r="E3" s="448"/>
      <c r="F3" s="448"/>
      <c r="G3" s="448"/>
      <c r="H3" s="448"/>
      <c r="I3" s="448"/>
      <c r="J3" s="448"/>
    </row>
    <row r="4" spans="1:10" ht="15.75">
      <c r="A4" s="50"/>
      <c r="B4" s="50"/>
      <c r="C4" s="50"/>
      <c r="D4" s="50"/>
      <c r="E4" s="448"/>
      <c r="F4" s="448"/>
      <c r="G4" s="448"/>
      <c r="H4" s="52"/>
      <c r="I4" s="50"/>
      <c r="J4" s="53" t="s">
        <v>240</v>
      </c>
    </row>
    <row r="5" spans="1:10" ht="15.75">
      <c r="A5" s="54" t="s">
        <v>241</v>
      </c>
      <c r="B5" s="50" t="str">
        <f>CONCATENATE("Total Tax Levy Amount in ",J1-1," Budget")</f>
        <v>Total Tax Levy Amount in 2009 Budget</v>
      </c>
      <c r="C5" s="50"/>
      <c r="D5" s="50"/>
      <c r="E5" s="55"/>
      <c r="F5" s="55"/>
      <c r="G5" s="55"/>
      <c r="H5" s="56" t="s">
        <v>242</v>
      </c>
      <c r="I5" s="55" t="s">
        <v>243</v>
      </c>
      <c r="J5" s="57">
        <f>inputPrYr!E29</f>
        <v>849923</v>
      </c>
    </row>
    <row r="6" spans="1:10" ht="15.75">
      <c r="A6" s="54" t="s">
        <v>244</v>
      </c>
      <c r="B6" s="50" t="str">
        <f>CONCATENATE("Debt Service Levy in ",J1-1," Budget")</f>
        <v>Debt Service Levy in 2009 Budget</v>
      </c>
      <c r="C6" s="50"/>
      <c r="D6" s="50"/>
      <c r="E6" s="55"/>
      <c r="F6" s="55"/>
      <c r="G6" s="55"/>
      <c r="H6" s="56" t="s">
        <v>245</v>
      </c>
      <c r="I6" s="55" t="s">
        <v>243</v>
      </c>
      <c r="J6" s="203">
        <f>inputPrYr!E17</f>
        <v>167676</v>
      </c>
    </row>
    <row r="7" spans="1:10" ht="15.75">
      <c r="A7" s="54" t="s">
        <v>272</v>
      </c>
      <c r="B7" s="58" t="s">
        <v>269</v>
      </c>
      <c r="C7" s="50"/>
      <c r="D7" s="50"/>
      <c r="E7" s="55"/>
      <c r="F7" s="55"/>
      <c r="G7" s="55"/>
      <c r="H7" s="55"/>
      <c r="I7" s="55" t="s">
        <v>243</v>
      </c>
      <c r="J7" s="59">
        <f>J5-J6</f>
        <v>682247</v>
      </c>
    </row>
    <row r="8" spans="1:10" ht="15.75">
      <c r="A8" s="50"/>
      <c r="B8" s="50"/>
      <c r="C8" s="50"/>
      <c r="D8" s="50"/>
      <c r="E8" s="55"/>
      <c r="F8" s="55"/>
      <c r="G8" s="55"/>
      <c r="H8" s="55"/>
      <c r="I8" s="55"/>
      <c r="J8" s="55"/>
    </row>
    <row r="9" spans="1:10" ht="15.75">
      <c r="A9" s="50"/>
      <c r="B9" s="58" t="str">
        <f>CONCATENATE("",J1-1," Valuation Information for Valuation Adjustments:")</f>
        <v>2009 Valuation Information for Valuation Adjustments:</v>
      </c>
      <c r="C9" s="50"/>
      <c r="D9" s="50"/>
      <c r="E9" s="55"/>
      <c r="F9" s="55"/>
      <c r="G9" s="55"/>
      <c r="H9" s="55"/>
      <c r="I9" s="55"/>
      <c r="J9" s="55"/>
    </row>
    <row r="10" spans="1:10" ht="15.75">
      <c r="A10" s="50"/>
      <c r="B10" s="50"/>
      <c r="C10" s="58"/>
      <c r="D10" s="50"/>
      <c r="E10" s="55"/>
      <c r="F10" s="55"/>
      <c r="G10" s="55"/>
      <c r="H10" s="55"/>
      <c r="I10" s="55"/>
      <c r="J10" s="55"/>
    </row>
    <row r="11" spans="1:10" ht="15.75">
      <c r="A11" s="54" t="s">
        <v>246</v>
      </c>
      <c r="B11" s="58" t="str">
        <f>CONCATENATE("New Improvements for ",J1-1,":")</f>
        <v>New Improvements for 2009:</v>
      </c>
      <c r="C11" s="50"/>
      <c r="D11" s="50"/>
      <c r="E11" s="56"/>
      <c r="F11" s="56" t="s">
        <v>242</v>
      </c>
      <c r="G11" s="60">
        <f>inputOth!E7</f>
        <v>163348</v>
      </c>
      <c r="H11" s="61"/>
      <c r="I11" s="55"/>
      <c r="J11" s="55"/>
    </row>
    <row r="12" spans="1:10" ht="15.75">
      <c r="A12" s="54"/>
      <c r="B12" s="62"/>
      <c r="C12" s="50"/>
      <c r="D12" s="50"/>
      <c r="E12" s="56"/>
      <c r="F12" s="56"/>
      <c r="G12" s="61"/>
      <c r="H12" s="61"/>
      <c r="I12" s="55"/>
      <c r="J12" s="55"/>
    </row>
    <row r="13" spans="1:10" ht="15.75">
      <c r="A13" s="54" t="s">
        <v>247</v>
      </c>
      <c r="B13" s="58" t="str">
        <f>CONCATENATE("Increase in Personal Property for ",J1-1,":")</f>
        <v>Increase in Personal Property for 2009:</v>
      </c>
      <c r="C13" s="50"/>
      <c r="D13" s="50"/>
      <c r="E13" s="56"/>
      <c r="F13" s="56"/>
      <c r="G13" s="61"/>
      <c r="H13" s="61"/>
      <c r="I13" s="55"/>
      <c r="J13" s="55"/>
    </row>
    <row r="14" spans="1:10" ht="15.75">
      <c r="A14" s="63"/>
      <c r="B14" s="50" t="s">
        <v>248</v>
      </c>
      <c r="C14" s="50" t="str">
        <f>CONCATENATE("Personal Property ",J1-1,"")</f>
        <v>Personal Property 2009</v>
      </c>
      <c r="D14" s="62" t="s">
        <v>242</v>
      </c>
      <c r="E14" s="60">
        <f>inputOth!E8</f>
        <v>643838</v>
      </c>
      <c r="F14" s="56"/>
      <c r="G14" s="55"/>
      <c r="H14" s="55"/>
      <c r="I14" s="61"/>
      <c r="J14" s="55"/>
    </row>
    <row r="15" spans="1:10" ht="15.75">
      <c r="A15" s="62"/>
      <c r="B15" s="50" t="s">
        <v>249</v>
      </c>
      <c r="C15" s="50" t="str">
        <f>CONCATENATE("Personal Property ",J1-2,"")</f>
        <v>Personal Property 2008</v>
      </c>
      <c r="D15" s="62" t="s">
        <v>245</v>
      </c>
      <c r="E15" s="64">
        <f>inputOth!E14</f>
        <v>814620</v>
      </c>
      <c r="F15" s="56"/>
      <c r="G15" s="61"/>
      <c r="H15" s="61"/>
      <c r="I15" s="55"/>
      <c r="J15" s="55"/>
    </row>
    <row r="16" spans="1:10" ht="15.75">
      <c r="A16" s="62"/>
      <c r="B16" s="50" t="s">
        <v>250</v>
      </c>
      <c r="C16" s="50" t="s">
        <v>271</v>
      </c>
      <c r="D16" s="50"/>
      <c r="E16" s="55"/>
      <c r="F16" s="55" t="s">
        <v>242</v>
      </c>
      <c r="G16" s="57">
        <f>IF(E14&gt;E15,E14-E15,0)</f>
        <v>0</v>
      </c>
      <c r="H16" s="61"/>
      <c r="I16" s="55"/>
      <c r="J16" s="55"/>
    </row>
    <row r="17" spans="1:10" ht="15.75">
      <c r="A17" s="62"/>
      <c r="B17" s="62"/>
      <c r="C17" s="50"/>
      <c r="D17" s="50"/>
      <c r="E17" s="55"/>
      <c r="F17" s="55"/>
      <c r="G17" s="61" t="s">
        <v>263</v>
      </c>
      <c r="H17" s="61"/>
      <c r="I17" s="55"/>
      <c r="J17" s="55"/>
    </row>
    <row r="18" spans="1:10" ht="15.75">
      <c r="A18" s="62" t="s">
        <v>251</v>
      </c>
      <c r="B18" s="58" t="str">
        <f>CONCATENATE("Valuation of annexed territory for ",J1-1,"")</f>
        <v>Valuation of annexed territory for 2009</v>
      </c>
      <c r="C18" s="50"/>
      <c r="D18" s="50"/>
      <c r="E18" s="61"/>
      <c r="F18" s="55"/>
      <c r="G18" s="55"/>
      <c r="H18" s="55"/>
      <c r="I18" s="55"/>
      <c r="J18" s="55"/>
    </row>
    <row r="19" spans="1:10" ht="15.75">
      <c r="A19" s="62"/>
      <c r="B19" s="50" t="s">
        <v>252</v>
      </c>
      <c r="C19" s="50" t="s">
        <v>273</v>
      </c>
      <c r="D19" s="62" t="s">
        <v>242</v>
      </c>
      <c r="E19" s="60">
        <f>inputOth!E10</f>
        <v>0</v>
      </c>
      <c r="F19" s="55"/>
      <c r="G19" s="55"/>
      <c r="H19" s="55"/>
      <c r="I19" s="55"/>
      <c r="J19" s="55"/>
    </row>
    <row r="20" spans="1:10" ht="15.75">
      <c r="A20" s="62"/>
      <c r="B20" s="50" t="s">
        <v>253</v>
      </c>
      <c r="C20" s="50" t="s">
        <v>274</v>
      </c>
      <c r="D20" s="62" t="s">
        <v>242</v>
      </c>
      <c r="E20" s="60">
        <f>inputOth!E11</f>
        <v>0</v>
      </c>
      <c r="F20" s="55"/>
      <c r="G20" s="61"/>
      <c r="H20" s="61"/>
      <c r="I20" s="55"/>
      <c r="J20" s="55"/>
    </row>
    <row r="21" spans="1:10" ht="15.75">
      <c r="A21" s="62"/>
      <c r="B21" s="50" t="s">
        <v>254</v>
      </c>
      <c r="C21" s="50" t="s">
        <v>270</v>
      </c>
      <c r="D21" s="62" t="s">
        <v>245</v>
      </c>
      <c r="E21" s="60">
        <f>inputOth!E12</f>
        <v>0</v>
      </c>
      <c r="F21" s="55"/>
      <c r="G21" s="61"/>
      <c r="H21" s="61"/>
      <c r="I21" s="55"/>
      <c r="J21" s="55"/>
    </row>
    <row r="22" spans="1:10" ht="15.75">
      <c r="A22" s="62"/>
      <c r="B22" s="50" t="s">
        <v>255</v>
      </c>
      <c r="C22" s="50" t="s">
        <v>275</v>
      </c>
      <c r="D22" s="62"/>
      <c r="E22" s="61"/>
      <c r="F22" s="55" t="s">
        <v>242</v>
      </c>
      <c r="G22" s="57">
        <f>E19+E20-E21</f>
        <v>0</v>
      </c>
      <c r="H22" s="61"/>
      <c r="I22" s="55"/>
      <c r="J22" s="55"/>
    </row>
    <row r="23" spans="1:10" ht="15.75">
      <c r="A23" s="62"/>
      <c r="B23" s="62"/>
      <c r="C23" s="50"/>
      <c r="D23" s="62"/>
      <c r="E23" s="61"/>
      <c r="F23" s="55"/>
      <c r="G23" s="61"/>
      <c r="H23" s="61"/>
      <c r="I23" s="55"/>
      <c r="J23" s="55"/>
    </row>
    <row r="24" spans="1:10" ht="15.75">
      <c r="A24" s="62" t="s">
        <v>256</v>
      </c>
      <c r="B24" s="58" t="str">
        <f>CONCATENATE("Valuation of Property that has Changed in Use during ",J1-1,"")</f>
        <v>Valuation of Property that has Changed in Use during 2009</v>
      </c>
      <c r="C24" s="50"/>
      <c r="D24" s="50"/>
      <c r="E24" s="55"/>
      <c r="F24" s="55"/>
      <c r="G24" s="65">
        <f>inputOth!E13</f>
        <v>40810</v>
      </c>
      <c r="H24" s="55"/>
      <c r="I24" s="55"/>
      <c r="J24" s="55"/>
    </row>
    <row r="25" spans="1:10" ht="15.75">
      <c r="A25" s="50" t="s">
        <v>133</v>
      </c>
      <c r="B25" s="50"/>
      <c r="C25" s="50"/>
      <c r="D25" s="62"/>
      <c r="E25" s="61"/>
      <c r="F25" s="55"/>
      <c r="G25" s="66"/>
      <c r="H25" s="61"/>
      <c r="I25" s="55"/>
      <c r="J25" s="55"/>
    </row>
    <row r="26" spans="1:10" ht="15.75">
      <c r="A26" s="62" t="s">
        <v>257</v>
      </c>
      <c r="B26" s="58" t="s">
        <v>276</v>
      </c>
      <c r="C26" s="50"/>
      <c r="D26" s="50"/>
      <c r="E26" s="55"/>
      <c r="F26" s="55"/>
      <c r="G26" s="57">
        <f>G11+G16+G22+G24</f>
        <v>204158</v>
      </c>
      <c r="H26" s="61"/>
      <c r="I26" s="55"/>
      <c r="J26" s="55"/>
    </row>
    <row r="27" spans="1:10" ht="15.75">
      <c r="A27" s="62"/>
      <c r="B27" s="62"/>
      <c r="C27" s="58"/>
      <c r="D27" s="50"/>
      <c r="E27" s="55"/>
      <c r="F27" s="55"/>
      <c r="G27" s="61"/>
      <c r="H27" s="61"/>
      <c r="I27" s="55"/>
      <c r="J27" s="55"/>
    </row>
    <row r="28" spans="1:10" ht="15.75">
      <c r="A28" s="62" t="s">
        <v>258</v>
      </c>
      <c r="B28" s="50" t="str">
        <f>CONCATENATE("Total Estimated Valuation July 1,",J1-1,"")</f>
        <v>Total Estimated Valuation July 1,2009</v>
      </c>
      <c r="C28" s="50"/>
      <c r="D28" s="50"/>
      <c r="E28" s="57">
        <f>inputOth!E6</f>
        <v>11362063</v>
      </c>
      <c r="F28" s="55"/>
      <c r="G28" s="55"/>
      <c r="H28" s="55"/>
      <c r="I28" s="56"/>
      <c r="J28" s="55"/>
    </row>
    <row r="29" spans="1:10" ht="15.75">
      <c r="A29" s="62"/>
      <c r="B29" s="62"/>
      <c r="C29" s="50"/>
      <c r="D29" s="50"/>
      <c r="E29" s="61"/>
      <c r="F29" s="55"/>
      <c r="G29" s="55"/>
      <c r="H29" s="55"/>
      <c r="I29" s="56"/>
      <c r="J29" s="55"/>
    </row>
    <row r="30" spans="1:10" ht="15.75">
      <c r="A30" s="62" t="s">
        <v>259</v>
      </c>
      <c r="B30" s="58" t="s">
        <v>277</v>
      </c>
      <c r="C30" s="50"/>
      <c r="D30" s="50"/>
      <c r="E30" s="55"/>
      <c r="F30" s="55"/>
      <c r="G30" s="57">
        <f>E28-G26</f>
        <v>11157905</v>
      </c>
      <c r="H30" s="61"/>
      <c r="I30" s="56"/>
      <c r="J30" s="55"/>
    </row>
    <row r="31" spans="1:10" ht="15.75">
      <c r="A31" s="62"/>
      <c r="B31" s="62"/>
      <c r="C31" s="58"/>
      <c r="D31" s="50"/>
      <c r="E31" s="50"/>
      <c r="F31" s="50"/>
      <c r="G31" s="67"/>
      <c r="H31" s="68"/>
      <c r="I31" s="62"/>
      <c r="J31" s="50"/>
    </row>
    <row r="32" spans="1:10" ht="15.75">
      <c r="A32" s="62" t="s">
        <v>260</v>
      </c>
      <c r="B32" s="50" t="s">
        <v>278</v>
      </c>
      <c r="C32" s="50"/>
      <c r="D32" s="50"/>
      <c r="E32" s="50"/>
      <c r="F32" s="50"/>
      <c r="G32" s="69">
        <f>IF(G30&gt;0,G26/G30,0)</f>
        <v>0.018297162415345892</v>
      </c>
      <c r="H32" s="68"/>
      <c r="I32" s="50"/>
      <c r="J32" s="50"/>
    </row>
    <row r="33" spans="1:10" ht="15.75">
      <c r="A33" s="62"/>
      <c r="B33" s="62"/>
      <c r="C33" s="50"/>
      <c r="D33" s="50"/>
      <c r="E33" s="50"/>
      <c r="F33" s="50"/>
      <c r="G33" s="68"/>
      <c r="H33" s="68"/>
      <c r="I33" s="50"/>
      <c r="J33" s="50"/>
    </row>
    <row r="34" spans="1:10" ht="15.75">
      <c r="A34" s="62" t="s">
        <v>261</v>
      </c>
      <c r="B34" s="50" t="s">
        <v>279</v>
      </c>
      <c r="C34" s="50"/>
      <c r="D34" s="50"/>
      <c r="E34" s="50"/>
      <c r="F34" s="50"/>
      <c r="G34" s="68"/>
      <c r="H34" s="70" t="s">
        <v>242</v>
      </c>
      <c r="I34" s="50" t="s">
        <v>243</v>
      </c>
      <c r="J34" s="57">
        <f>ROUND(G32*J7,0)</f>
        <v>12483</v>
      </c>
    </row>
    <row r="35" spans="1:10" ht="15.75">
      <c r="A35" s="62"/>
      <c r="B35" s="62"/>
      <c r="C35" s="50"/>
      <c r="D35" s="50"/>
      <c r="E35" s="50"/>
      <c r="F35" s="50"/>
      <c r="G35" s="68"/>
      <c r="H35" s="70"/>
      <c r="I35" s="50"/>
      <c r="J35" s="61"/>
    </row>
    <row r="36" spans="1:10" ht="16.5" thickBot="1">
      <c r="A36" s="62" t="s">
        <v>262</v>
      </c>
      <c r="B36" s="58" t="s">
        <v>285</v>
      </c>
      <c r="C36" s="50"/>
      <c r="D36" s="50"/>
      <c r="E36" s="50"/>
      <c r="F36" s="50"/>
      <c r="G36" s="50"/>
      <c r="H36" s="50"/>
      <c r="I36" s="50" t="s">
        <v>243</v>
      </c>
      <c r="J36" s="71">
        <f>J7+J34</f>
        <v>694730</v>
      </c>
    </row>
    <row r="37" spans="1:10" ht="16.5" thickTop="1">
      <c r="A37" s="50"/>
      <c r="B37" s="50"/>
      <c r="C37" s="50"/>
      <c r="D37" s="50"/>
      <c r="E37" s="50"/>
      <c r="F37" s="50"/>
      <c r="G37" s="50"/>
      <c r="H37" s="50"/>
      <c r="I37" s="50"/>
      <c r="J37" s="50"/>
    </row>
    <row r="38" spans="1:10" ht="15.75">
      <c r="A38" s="62" t="s">
        <v>283</v>
      </c>
      <c r="B38" s="58" t="str">
        <f>CONCATENATE("Debt Service in this ",J1," Budget")</f>
        <v>Debt Service in this 2010 Budget</v>
      </c>
      <c r="C38" s="50"/>
      <c r="D38" s="50"/>
      <c r="E38" s="50"/>
      <c r="F38" s="50"/>
      <c r="G38" s="50"/>
      <c r="H38" s="50"/>
      <c r="I38" s="50"/>
      <c r="J38" s="204">
        <f>DebtService!G39</f>
        <v>215000</v>
      </c>
    </row>
    <row r="39" spans="1:10" ht="15.75">
      <c r="A39" s="62"/>
      <c r="B39" s="58"/>
      <c r="C39" s="50"/>
      <c r="D39" s="50"/>
      <c r="E39" s="50"/>
      <c r="F39" s="50"/>
      <c r="G39" s="50"/>
      <c r="H39" s="50"/>
      <c r="I39" s="50"/>
      <c r="J39" s="68"/>
    </row>
    <row r="40" spans="1:10" ht="16.5" thickBot="1">
      <c r="A40" s="62" t="s">
        <v>284</v>
      </c>
      <c r="B40" s="58" t="s">
        <v>286</v>
      </c>
      <c r="C40" s="50"/>
      <c r="D40" s="50"/>
      <c r="E40" s="50"/>
      <c r="F40" s="50"/>
      <c r="G40" s="50"/>
      <c r="H40" s="50"/>
      <c r="I40" s="50"/>
      <c r="J40" s="71">
        <f>J36+J38</f>
        <v>909730</v>
      </c>
    </row>
    <row r="41" spans="1:10" ht="16.5" thickTop="1">
      <c r="A41" s="50"/>
      <c r="B41" s="50"/>
      <c r="C41" s="50"/>
      <c r="D41" s="50"/>
      <c r="E41" s="50"/>
      <c r="F41" s="50"/>
      <c r="G41" s="50"/>
      <c r="H41" s="50"/>
      <c r="I41" s="50"/>
      <c r="J41" s="50"/>
    </row>
    <row r="42" spans="1:10" s="19" customFormat="1" ht="18.75">
      <c r="A42" s="446" t="str">
        <f>CONCATENATE("If the ",J1," budget includes tax levies exceeding the total on line 15, you must")</f>
        <v>If the 2010 budget includes tax levies exceeding the total on line 15, you must</v>
      </c>
      <c r="B42" s="446"/>
      <c r="C42" s="446"/>
      <c r="D42" s="446"/>
      <c r="E42" s="446"/>
      <c r="F42" s="446"/>
      <c r="G42" s="446"/>
      <c r="H42" s="446"/>
      <c r="I42" s="446"/>
      <c r="J42" s="446"/>
    </row>
    <row r="43" spans="1:10" s="19" customFormat="1" ht="18.75">
      <c r="A43" s="446" t="s">
        <v>366</v>
      </c>
      <c r="B43" s="446"/>
      <c r="C43" s="446"/>
      <c r="D43" s="446"/>
      <c r="E43" s="446"/>
      <c r="F43" s="446"/>
      <c r="G43" s="446"/>
      <c r="H43" s="446"/>
      <c r="I43" s="446"/>
      <c r="J43" s="446"/>
    </row>
    <row r="44" spans="1:10" s="19" customFormat="1" ht="18.75">
      <c r="A44" s="446" t="s">
        <v>367</v>
      </c>
      <c r="B44" s="446"/>
      <c r="C44" s="446"/>
      <c r="D44" s="446"/>
      <c r="E44" s="446"/>
      <c r="F44" s="446"/>
      <c r="G44" s="446"/>
      <c r="H44" s="446"/>
      <c r="I44" s="446"/>
      <c r="J44" s="446"/>
    </row>
  </sheetData>
  <sheetProtection sheet="1" objects="1" scenarios="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
      <selection activeCell="B19" sqref="B19"/>
    </sheetView>
  </sheetViews>
  <sheetFormatPr defaultColWidth="8.796875" defaultRowHeight="15"/>
  <cols>
    <col min="1" max="1" width="17.8984375" style="7" customWidth="1"/>
    <col min="2" max="2" width="16.09765625" style="7" customWidth="1"/>
    <col min="3" max="5" width="12.796875" style="7" customWidth="1"/>
    <col min="6" max="6" width="10.19921875" style="7" customWidth="1"/>
    <col min="7" max="16384" width="8.8984375" style="7" customWidth="1"/>
  </cols>
  <sheetData>
    <row r="1" spans="1:6" ht="15.75">
      <c r="A1" s="72" t="str">
        <f>inputPrYr!D2</f>
        <v>City of Ellsworth</v>
      </c>
      <c r="B1" s="72"/>
      <c r="C1" s="21"/>
      <c r="D1" s="21"/>
      <c r="E1" s="21"/>
      <c r="F1" s="21">
        <f>inputPrYr!C5</f>
        <v>2010</v>
      </c>
    </row>
    <row r="2" spans="1:6" ht="15.75">
      <c r="A2" s="21"/>
      <c r="B2" s="21"/>
      <c r="C2" s="21"/>
      <c r="D2" s="21"/>
      <c r="E2" s="21"/>
      <c r="F2" s="21"/>
    </row>
    <row r="3" spans="1:6" ht="15.75">
      <c r="A3" s="449" t="s">
        <v>14</v>
      </c>
      <c r="B3" s="449"/>
      <c r="C3" s="449"/>
      <c r="D3" s="449"/>
      <c r="E3" s="449"/>
      <c r="F3" s="21"/>
    </row>
    <row r="4" spans="1:6" ht="15.75">
      <c r="A4" s="21"/>
      <c r="B4" s="128"/>
      <c r="C4" s="128"/>
      <c r="D4" s="128"/>
      <c r="E4" s="21"/>
      <c r="F4" s="21"/>
    </row>
    <row r="5" spans="1:6" ht="21" customHeight="1">
      <c r="A5" s="76" t="s">
        <v>365</v>
      </c>
      <c r="B5" s="202" t="s">
        <v>364</v>
      </c>
      <c r="C5" s="450" t="str">
        <f>CONCATENATE("Allocation for Year ",F1,"")</f>
        <v>Allocation for Year 2010</v>
      </c>
      <c r="D5" s="451"/>
      <c r="E5" s="451"/>
      <c r="F5" s="452"/>
    </row>
    <row r="6" spans="1:6" ht="15.75">
      <c r="A6" s="80" t="str">
        <f>CONCATENATE("for ",F1-1,"")</f>
        <v>for 2009</v>
      </c>
      <c r="B6" s="80" t="str">
        <f>CONCATENATE("for ",F1-1,"")</f>
        <v>for 2009</v>
      </c>
      <c r="C6" s="36" t="s">
        <v>235</v>
      </c>
      <c r="D6" s="36" t="s">
        <v>236</v>
      </c>
      <c r="E6" s="36" t="s">
        <v>234</v>
      </c>
      <c r="F6" s="82" t="s">
        <v>333</v>
      </c>
    </row>
    <row r="7" spans="1:6" ht="15.75">
      <c r="A7" s="40" t="str">
        <f>(inputPrYr!B16)</f>
        <v>General</v>
      </c>
      <c r="B7" s="139">
        <f>(inputPrYr!E16)</f>
        <v>585672</v>
      </c>
      <c r="C7" s="139">
        <f>IF(inputPrYr!D16=0,0,C21-SUM(C8:C18))</f>
        <v>99573</v>
      </c>
      <c r="D7" s="139">
        <f>IF(inputPrYr!D16=0,0,D22-SUM(D8:D18))</f>
        <v>1666</v>
      </c>
      <c r="E7" s="139">
        <f>IF(inputPrYr!D16=0,0,E23-SUM(E8:E18))</f>
        <v>841</v>
      </c>
      <c r="F7" s="139">
        <f>IF(inputPrYr!D16=0,0,F24-SUM(F8:F18))</f>
        <v>0</v>
      </c>
    </row>
    <row r="8" spans="1:6" ht="15.75">
      <c r="A8" s="40" t="str">
        <f>IF(inputPrYr!$B17&gt;"  ",(inputPrYr!$B17),"  ")</f>
        <v>Debt Service</v>
      </c>
      <c r="B8" s="139">
        <f>IF(inputPrYr!$E17&gt;0,(inputPrYr!$E17),"  ")</f>
        <v>167676</v>
      </c>
      <c r="C8" s="139">
        <f>IF(inputPrYr!D17&gt;0,ROUND(B8*$C$25,0),"  ")</f>
        <v>28507</v>
      </c>
      <c r="D8" s="139">
        <f>IF(inputPrYr!D17&gt;0,ROUND(+B8*D$26,0)," ")</f>
        <v>477</v>
      </c>
      <c r="E8" s="139">
        <f>IF(inputPrYr!D17&gt;0,ROUND(B8*E$27,0)," ")</f>
        <v>241</v>
      </c>
      <c r="F8" s="139">
        <f>IF(inputPrYr!D17&gt;0,ROUND(B8*F$28,0)," ")</f>
        <v>0</v>
      </c>
    </row>
    <row r="9" spans="1:6" ht="15.75">
      <c r="A9" s="40" t="str">
        <f>IF(inputPrYr!$B19&gt;"  ",(inputPrYr!$B19),"  ")</f>
        <v>Library</v>
      </c>
      <c r="B9" s="139">
        <f>IF(inputPrYr!$E19&gt;0,(inputPrYr!$E19),"  ")</f>
        <v>85082</v>
      </c>
      <c r="C9" s="139">
        <f>IF(inputPrYr!D19&gt;0,ROUND(B9*$C$25,0),"  ")</f>
        <v>14465</v>
      </c>
      <c r="D9" s="139">
        <f>IF(inputPrYr!D19&gt;0,ROUND(+B9*D$26,0)," ")</f>
        <v>242</v>
      </c>
      <c r="E9" s="139">
        <f>IF(inputPrYr!D19&gt;0,ROUND(+B9*E$27,0)," ")</f>
        <v>122</v>
      </c>
      <c r="F9" s="139">
        <f>IF(inputPrYr!D19&gt;0,ROUND(+B9*F$28,0)," ")</f>
        <v>0</v>
      </c>
    </row>
    <row r="10" spans="1:6" ht="15.75">
      <c r="A10" s="40" t="str">
        <f>IF(inputPrYr!$B20&gt;"  ",(inputPrYr!$B20),"  ")</f>
        <v>Fire/Police Equipment</v>
      </c>
      <c r="B10" s="139">
        <f>IF(inputPrYr!$E20&gt;0,(inputPrYr!$E20),"  ")</f>
        <v>11493</v>
      </c>
      <c r="C10" s="139">
        <f>IF(inputPrYr!D20&gt;0,ROUND(B10*$C$25,0),"  ")</f>
        <v>1954</v>
      </c>
      <c r="D10" s="139">
        <f>IF(inputPrYr!D20&gt;0,ROUND(+B10*D$26,0)," ")</f>
        <v>33</v>
      </c>
      <c r="E10" s="139">
        <f>IF(inputPrYr!D20&gt;0,ROUND(+B10*E$27,0)," ")</f>
        <v>17</v>
      </c>
      <c r="F10" s="139">
        <f>IF(inputPrYr!D20&gt;0,ROUND(+B10*F$28,0)," ")</f>
        <v>0</v>
      </c>
    </row>
    <row r="11" spans="1:6" ht="15.75">
      <c r="A11" s="40" t="str">
        <f>IF(inputPrYr!$B21&gt;"  ",(inputPrYr!$B21),"  ")</f>
        <v>  </v>
      </c>
      <c r="B11" s="139" t="str">
        <f>IF(inputPrYr!$E21&gt;0,(inputPrYr!$E21),"  ")</f>
        <v>  </v>
      </c>
      <c r="C11" s="139" t="str">
        <f>IF(inputPrYr!D21&gt;0,ROUND(B11*$C$25,0),"  ")</f>
        <v>  </v>
      </c>
      <c r="D11" s="139" t="str">
        <f>IF(inputPrYr!D21&gt;0,ROUND(+B11*D$26,0)," ")</f>
        <v> </v>
      </c>
      <c r="E11" s="139" t="str">
        <f>IF(inputPrYr!D21&gt;0,ROUND(+B11*E$27,0)," ")</f>
        <v> </v>
      </c>
      <c r="F11" s="139" t="str">
        <f>IF(inputPrYr!D21&gt;0,ROUND(+B11*F$28,0)," ")</f>
        <v> </v>
      </c>
    </row>
    <row r="12" spans="1:6" ht="15.75">
      <c r="A12" s="40" t="str">
        <f>IF(inputPrYr!$B22&gt;"  ",(inputPrYr!$B22),"  ")</f>
        <v>  </v>
      </c>
      <c r="B12" s="139" t="str">
        <f>IF(inputPrYr!$E22&gt;0,(inputPrYr!$E22),"  ")</f>
        <v>  </v>
      </c>
      <c r="C12" s="139" t="str">
        <f>IF(inputPrYr!D22&gt;0,ROUND(B12*$C$25,0),"  ")</f>
        <v>  </v>
      </c>
      <c r="D12" s="139" t="str">
        <f>IF(inputPrYr!D22&gt;0,ROUND(+B12*D$26,0)," ")</f>
        <v> </v>
      </c>
      <c r="E12" s="139" t="str">
        <f>IF(inputPrYr!D22&gt;0,ROUND(+B12*E$27,0)," ")</f>
        <v> </v>
      </c>
      <c r="F12" s="139" t="str">
        <f>IF(inputPrYr!D22&gt;0,ROUND(+B12*F$28,0)," ")</f>
        <v> </v>
      </c>
    </row>
    <row r="13" spans="1:6" ht="15.75">
      <c r="A13" s="40" t="str">
        <f>IF(inputPrYr!$B23&gt;"  ",(inputPrYr!$B23),"  ")</f>
        <v>  </v>
      </c>
      <c r="B13" s="139" t="str">
        <f>IF(inputPrYr!$E23&gt;0,(inputPrYr!$E23),"  ")</f>
        <v>  </v>
      </c>
      <c r="C13" s="139" t="str">
        <f>IF(inputPrYr!D23&gt;0,ROUND(B13*$C$25,0),"  ")</f>
        <v>  </v>
      </c>
      <c r="D13" s="139" t="str">
        <f>IF(inputPrYr!D23&gt;0,ROUND(+B13*D$26,0)," ")</f>
        <v> </v>
      </c>
      <c r="E13" s="139" t="str">
        <f>IF(inputPrYr!D23&gt;0,ROUND(+B13*E$27,0)," ")</f>
        <v> </v>
      </c>
      <c r="F13" s="139" t="str">
        <f>IF(inputPrYr!D23&gt;0,ROUND(+B13*F$28,0)," ")</f>
        <v> </v>
      </c>
    </row>
    <row r="14" spans="1:6" ht="15.75">
      <c r="A14" s="40" t="str">
        <f>IF(inputPrYr!$B24&gt;"  ",(inputPrYr!$B24),"  ")</f>
        <v>  </v>
      </c>
      <c r="B14" s="139" t="str">
        <f>IF(inputPrYr!$E24&gt;0,(inputPrYr!$E24),"  ")</f>
        <v>  </v>
      </c>
      <c r="C14" s="139" t="str">
        <f>IF(inputPrYr!D24&gt;0,ROUND(B14*$C$25,0),"  ")</f>
        <v>  </v>
      </c>
      <c r="D14" s="139" t="str">
        <f>IF(inputPrYr!D24&gt;0,ROUND(+B14*D$26,0)," ")</f>
        <v> </v>
      </c>
      <c r="E14" s="139" t="str">
        <f>IF(inputPrYr!D24&gt;0,ROUND(+B14*E$27,0)," ")</f>
        <v> </v>
      </c>
      <c r="F14" s="139" t="str">
        <f>IF(inputPrYr!D24&gt;0,ROUND(+B14*F$28,0)," ")</f>
        <v> </v>
      </c>
    </row>
    <row r="15" spans="1:6" ht="15.75">
      <c r="A15" s="40" t="str">
        <f>IF(inputPrYr!$B25&gt;"  ",(inputPrYr!$B25),"  ")</f>
        <v>  </v>
      </c>
      <c r="B15" s="139" t="str">
        <f>IF(inputPrYr!$E25&gt;0,(inputPrYr!$E25),"  ")</f>
        <v>  </v>
      </c>
      <c r="C15" s="139" t="str">
        <f>IF(inputPrYr!D25&gt;0,ROUND(B15*$C$25,0),"  ")</f>
        <v>  </v>
      </c>
      <c r="D15" s="139" t="str">
        <f>IF(inputPrYr!D25&gt;0,ROUND(+B15*D$26,0)," ")</f>
        <v> </v>
      </c>
      <c r="E15" s="139" t="str">
        <f>IF(inputPrYr!D25&gt;0,ROUND(+B15*E$27,0)," ")</f>
        <v> </v>
      </c>
      <c r="F15" s="139" t="str">
        <f>IF(inputPrYr!D25&gt;0,ROUND(+B15*F$28,0)," ")</f>
        <v> </v>
      </c>
    </row>
    <row r="16" spans="1:6" ht="15.75">
      <c r="A16" s="40" t="str">
        <f>IF(inputPrYr!$B26&gt;"  ",(inputPrYr!$B26),"  ")</f>
        <v>  </v>
      </c>
      <c r="B16" s="139" t="str">
        <f>IF(inputPrYr!$E26&gt;0,(inputPrYr!$E26),"  ")</f>
        <v>  </v>
      </c>
      <c r="C16" s="139" t="str">
        <f>IF(inputPrYr!D26&gt;0,ROUND(B16*$C$25,0),"  ")</f>
        <v>  </v>
      </c>
      <c r="D16" s="139" t="str">
        <f>IF(inputPrYr!D26&gt;0,ROUND(+B16*D$26,0)," ")</f>
        <v> </v>
      </c>
      <c r="E16" s="139" t="str">
        <f>IF(inputPrYr!D26&gt;0,ROUND(+B16*E$27,0)," ")</f>
        <v> </v>
      </c>
      <c r="F16" s="139" t="str">
        <f>IF(inputPrYr!D26&gt;0,ROUND(+B16*F$28,0)," ")</f>
        <v> </v>
      </c>
    </row>
    <row r="17" spans="1:6" ht="15.75">
      <c r="A17" s="40" t="str">
        <f>IF(inputPrYr!$B27&gt;"  ",(inputPrYr!$B27),"  ")</f>
        <v>  </v>
      </c>
      <c r="B17" s="139" t="str">
        <f>IF(inputPrYr!$E27&gt;0,(inputPrYr!$E27),"  ")</f>
        <v>  </v>
      </c>
      <c r="C17" s="139" t="str">
        <f>IF(inputPrYr!D27&gt;0,ROUND(B17*$C$25,0),"  ")</f>
        <v>  </v>
      </c>
      <c r="D17" s="139" t="str">
        <f>IF(inputPrYr!D27&gt;0,ROUND(+B17*D$26,0)," ")</f>
        <v> </v>
      </c>
      <c r="E17" s="139" t="str">
        <f>IF(inputPrYr!D27&gt;0,ROUND(+B17*E$27,0)," ")</f>
        <v> </v>
      </c>
      <c r="F17" s="139" t="str">
        <f>IF(inputPrYr!D27&gt;0,ROUND(+B17*F$28,0)," ")</f>
        <v> </v>
      </c>
    </row>
    <row r="18" spans="1:6" ht="15.75">
      <c r="A18" s="40" t="str">
        <f>IF(inputPrYr!$B28&gt;"  ",(inputPrYr!$B28),"  ")</f>
        <v>  </v>
      </c>
      <c r="B18" s="139" t="str">
        <f>IF(inputPrYr!$E28&gt;0,(inputPrYr!$E28),"  ")</f>
        <v>  </v>
      </c>
      <c r="C18" s="139" t="str">
        <f>IF(inputPrYr!D28&gt;0,ROUND(B18*$C$25,0),"  ")</f>
        <v>  </v>
      </c>
      <c r="D18" s="139" t="str">
        <f>IF(inputPrYr!D28&gt;0,ROUND(+B18*D$26,0)," ")</f>
        <v> </v>
      </c>
      <c r="E18" s="139" t="str">
        <f>IF(inputPrYr!D28&gt;0,ROUND(+B18*E$27,0)," ")</f>
        <v> </v>
      </c>
      <c r="F18" s="139" t="str">
        <f>IF(inputPrYr!D28&gt;0,ROUND(+B18*F$28,0)," ")</f>
        <v> </v>
      </c>
    </row>
    <row r="19" spans="1:6" ht="16.5" thickBot="1">
      <c r="A19" s="21" t="s">
        <v>151</v>
      </c>
      <c r="B19" s="267">
        <f>SUM(B7:B18)</f>
        <v>849923</v>
      </c>
      <c r="C19" s="267">
        <f>SUM(C7:C18)</f>
        <v>144499</v>
      </c>
      <c r="D19" s="267">
        <f>SUM(D7:D18)</f>
        <v>2418</v>
      </c>
      <c r="E19" s="267">
        <f>SUM(E7:E18)</f>
        <v>1221</v>
      </c>
      <c r="F19" s="353">
        <f>SUM(F7:F18)</f>
        <v>0</v>
      </c>
    </row>
    <row r="20" spans="1:6" ht="16.5" thickTop="1">
      <c r="A20" s="21"/>
      <c r="B20" s="137"/>
      <c r="C20" s="137"/>
      <c r="D20" s="137"/>
      <c r="E20" s="137"/>
      <c r="F20" s="21"/>
    </row>
    <row r="21" spans="1:6" ht="15.75">
      <c r="A21" s="25" t="s">
        <v>152</v>
      </c>
      <c r="B21" s="94"/>
      <c r="C21" s="74">
        <f>(inputOth!E37)</f>
        <v>144499</v>
      </c>
      <c r="D21" s="94"/>
      <c r="E21" s="21"/>
      <c r="F21" s="21"/>
    </row>
    <row r="22" spans="1:6" ht="15.75">
      <c r="A22" s="25" t="s">
        <v>153</v>
      </c>
      <c r="B22" s="21"/>
      <c r="C22" s="21"/>
      <c r="D22" s="74">
        <f>(inputOth!E38)</f>
        <v>2418</v>
      </c>
      <c r="E22" s="21"/>
      <c r="F22" s="21"/>
    </row>
    <row r="23" spans="1:6" ht="15.75">
      <c r="A23" s="25" t="s">
        <v>237</v>
      </c>
      <c r="B23" s="21"/>
      <c r="C23" s="21"/>
      <c r="D23" s="21"/>
      <c r="E23" s="74">
        <f>inputOth!E39</f>
        <v>1221</v>
      </c>
      <c r="F23" s="21"/>
    </row>
    <row r="24" spans="1:6" ht="15.75">
      <c r="A24" s="25" t="s">
        <v>10</v>
      </c>
      <c r="B24" s="21"/>
      <c r="C24" s="21"/>
      <c r="D24" s="21"/>
      <c r="E24" s="137"/>
      <c r="F24" s="60">
        <f>inputOth!E42</f>
        <v>0</v>
      </c>
    </row>
    <row r="25" spans="1:6" ht="15.75">
      <c r="A25" s="25" t="s">
        <v>154</v>
      </c>
      <c r="B25" s="21"/>
      <c r="C25" s="268">
        <f>IF(B19=0,0,C21/B19)</f>
        <v>0.17001422481801293</v>
      </c>
      <c r="D25" s="21"/>
      <c r="E25" s="21"/>
      <c r="F25" s="21"/>
    </row>
    <row r="26" spans="1:6" ht="15.75">
      <c r="A26" s="21"/>
      <c r="B26" s="25" t="s">
        <v>155</v>
      </c>
      <c r="C26" s="21"/>
      <c r="D26" s="268">
        <f>IF(B19=0,0,D22/B19)</f>
        <v>0.002844963602585175</v>
      </c>
      <c r="E26" s="21"/>
      <c r="F26" s="21"/>
    </row>
    <row r="27" spans="1:6" ht="15.75">
      <c r="A27" s="21"/>
      <c r="B27" s="21"/>
      <c r="C27" s="25" t="s">
        <v>238</v>
      </c>
      <c r="D27" s="21"/>
      <c r="E27" s="268">
        <f>IF(B19=0,0,E23/B19)</f>
        <v>0.0014366007273600078</v>
      </c>
      <c r="F27" s="21"/>
    </row>
    <row r="28" spans="1:6" ht="15.75">
      <c r="A28" s="21"/>
      <c r="B28" s="21"/>
      <c r="C28" s="21"/>
      <c r="D28" s="21" t="s">
        <v>11</v>
      </c>
      <c r="E28" s="21"/>
      <c r="F28" s="268">
        <f>IF(B19=0,0,F24/B19)</f>
        <v>0</v>
      </c>
    </row>
    <row r="29" spans="1:6" ht="15.75">
      <c r="A29" s="167"/>
      <c r="B29" s="167"/>
      <c r="C29" s="167"/>
      <c r="D29" s="167"/>
      <c r="E29" s="167"/>
      <c r="F29" s="167"/>
    </row>
  </sheetData>
  <sheetProtection sheet="1" objects="1" scenarios="1"/>
  <mergeCells count="2">
    <mergeCell ref="A3:E3"/>
    <mergeCell ref="C5:F5"/>
  </mergeCells>
  <printOptions/>
  <pageMargins left="0.5" right="0.5" top="1" bottom="0.5" header="0.5" footer="0.5"/>
  <pageSetup blackAndWhite="1" fitToHeight="1" fitToWidth="1" horizontalDpi="120" verticalDpi="120" orientation="portrait" scale="97" r:id="rId1"/>
  <headerFooter alignWithMargins="0">
    <oddHeader>&amp;RState of Kansas
City
</oddHeader>
    <oddFooter>&amp;Lrevised 8/06/07&amp;CPage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4">
      <selection activeCell="B27" sqref="B27:B35"/>
    </sheetView>
  </sheetViews>
  <sheetFormatPr defaultColWidth="8.796875" defaultRowHeight="15"/>
  <cols>
    <col min="1" max="1" width="27.09765625" style="2" customWidth="1"/>
    <col min="2" max="2" width="22.3984375" style="2" customWidth="1"/>
    <col min="3" max="3" width="12.796875" style="2" customWidth="1"/>
    <col min="4" max="4" width="13.69921875" style="2" customWidth="1"/>
    <col min="5" max="5" width="13.296875" style="2" customWidth="1"/>
    <col min="6" max="6" width="26.296875" style="2" customWidth="1"/>
    <col min="7" max="16384" width="8.8984375" style="2" customWidth="1"/>
  </cols>
  <sheetData>
    <row r="1" spans="1:6" ht="15.75">
      <c r="A1" s="51" t="str">
        <f>inputPrYr!D2</f>
        <v>City of Ellsworth</v>
      </c>
      <c r="B1" s="51"/>
      <c r="C1" s="50"/>
      <c r="D1" s="50"/>
      <c r="E1" s="50"/>
      <c r="F1" s="50">
        <f>inputPrYr!$C$5</f>
        <v>2010</v>
      </c>
    </row>
    <row r="2" spans="1:6" ht="15.75">
      <c r="A2" s="50"/>
      <c r="B2" s="50"/>
      <c r="C2" s="50"/>
      <c r="D2" s="50"/>
      <c r="E2" s="50"/>
      <c r="F2" s="50"/>
    </row>
    <row r="3" spans="1:6" ht="15.75">
      <c r="A3" s="453" t="s">
        <v>292</v>
      </c>
      <c r="B3" s="453"/>
      <c r="C3" s="453"/>
      <c r="D3" s="453"/>
      <c r="E3" s="453"/>
      <c r="F3" s="453"/>
    </row>
    <row r="4" spans="1:6" ht="15.75">
      <c r="A4" s="133"/>
      <c r="B4" s="133"/>
      <c r="C4" s="133"/>
      <c r="D4" s="133"/>
      <c r="E4" s="133"/>
      <c r="F4" s="133"/>
    </row>
    <row r="5" spans="1:6" ht="15.75">
      <c r="A5" s="134" t="s">
        <v>309</v>
      </c>
      <c r="B5" s="134" t="s">
        <v>309</v>
      </c>
      <c r="C5" s="134" t="s">
        <v>179</v>
      </c>
      <c r="D5" s="134" t="s">
        <v>310</v>
      </c>
      <c r="E5" s="134" t="s">
        <v>311</v>
      </c>
      <c r="F5" s="134" t="s">
        <v>354</v>
      </c>
    </row>
    <row r="6" spans="1:6" ht="15.75">
      <c r="A6" s="198" t="s">
        <v>355</v>
      </c>
      <c r="B6" s="198" t="s">
        <v>356</v>
      </c>
      <c r="C6" s="198" t="s">
        <v>357</v>
      </c>
      <c r="D6" s="198" t="s">
        <v>357</v>
      </c>
      <c r="E6" s="198" t="s">
        <v>357</v>
      </c>
      <c r="F6" s="198" t="s">
        <v>358</v>
      </c>
    </row>
    <row r="7" spans="1:6" ht="15" customHeight="1">
      <c r="A7" s="199" t="s">
        <v>359</v>
      </c>
      <c r="B7" s="199" t="s">
        <v>360</v>
      </c>
      <c r="C7" s="145">
        <f>F1-2</f>
        <v>2008</v>
      </c>
      <c r="D7" s="145">
        <f>F1-1</f>
        <v>2009</v>
      </c>
      <c r="E7" s="145">
        <f>F1</f>
        <v>2010</v>
      </c>
      <c r="F7" s="199" t="s">
        <v>361</v>
      </c>
    </row>
    <row r="8" spans="1:6" ht="14.25" customHeight="1">
      <c r="A8" s="135" t="s">
        <v>612</v>
      </c>
      <c r="B8" s="135" t="s">
        <v>613</v>
      </c>
      <c r="C8" s="206">
        <v>30000</v>
      </c>
      <c r="D8" s="206">
        <v>19500</v>
      </c>
      <c r="E8" s="206">
        <v>25000</v>
      </c>
      <c r="F8" s="207" t="s">
        <v>614</v>
      </c>
    </row>
    <row r="9" spans="1:6" ht="14.25" customHeight="1">
      <c r="A9" s="135" t="s">
        <v>612</v>
      </c>
      <c r="B9" s="135" t="s">
        <v>615</v>
      </c>
      <c r="C9" s="206">
        <v>30700</v>
      </c>
      <c r="D9" s="206">
        <v>3500</v>
      </c>
      <c r="E9" s="206">
        <v>4000</v>
      </c>
      <c r="F9" s="207" t="s">
        <v>616</v>
      </c>
    </row>
    <row r="10" spans="1:6" ht="14.25" customHeight="1">
      <c r="A10" s="135" t="s">
        <v>617</v>
      </c>
      <c r="B10" s="135" t="s">
        <v>613</v>
      </c>
      <c r="C10" s="206">
        <v>0</v>
      </c>
      <c r="D10" s="206">
        <v>1000</v>
      </c>
      <c r="E10" s="206">
        <v>1000</v>
      </c>
      <c r="F10" s="207" t="s">
        <v>614</v>
      </c>
    </row>
    <row r="11" spans="1:6" ht="14.25" customHeight="1">
      <c r="A11" s="135" t="s">
        <v>618</v>
      </c>
      <c r="B11" s="135" t="s">
        <v>615</v>
      </c>
      <c r="C11" s="206">
        <v>11750</v>
      </c>
      <c r="D11" s="206">
        <v>9350</v>
      </c>
      <c r="E11" s="206">
        <v>16000</v>
      </c>
      <c r="F11" s="207" t="s">
        <v>616</v>
      </c>
    </row>
    <row r="12" spans="1:6" ht="14.25" customHeight="1">
      <c r="A12" s="135" t="s">
        <v>619</v>
      </c>
      <c r="B12" s="135" t="s">
        <v>613</v>
      </c>
      <c r="C12" s="206">
        <v>1000</v>
      </c>
      <c r="D12" s="206">
        <v>1000</v>
      </c>
      <c r="E12" s="206">
        <v>1500</v>
      </c>
      <c r="F12" s="207" t="s">
        <v>614</v>
      </c>
    </row>
    <row r="13" spans="1:6" ht="14.25" customHeight="1">
      <c r="A13" s="135" t="s">
        <v>620</v>
      </c>
      <c r="B13" s="135" t="s">
        <v>615</v>
      </c>
      <c r="C13" s="206">
        <v>2500</v>
      </c>
      <c r="D13" s="206">
        <v>3200</v>
      </c>
      <c r="E13" s="206">
        <v>15500</v>
      </c>
      <c r="F13" s="207" t="s">
        <v>616</v>
      </c>
    </row>
    <row r="14" spans="1:6" ht="14.25" customHeight="1">
      <c r="A14" s="135" t="s">
        <v>621</v>
      </c>
      <c r="B14" s="135" t="s">
        <v>613</v>
      </c>
      <c r="C14" s="206">
        <v>60500</v>
      </c>
      <c r="D14" s="206">
        <v>50000</v>
      </c>
      <c r="E14" s="206">
        <v>50000</v>
      </c>
      <c r="F14" s="207" t="s">
        <v>614</v>
      </c>
    </row>
    <row r="15" spans="1:6" ht="14.25" customHeight="1">
      <c r="A15" s="135" t="s">
        <v>621</v>
      </c>
      <c r="B15" s="135" t="s">
        <v>615</v>
      </c>
      <c r="C15" s="206">
        <v>49500</v>
      </c>
      <c r="D15" s="206">
        <v>41250</v>
      </c>
      <c r="E15" s="206">
        <v>42000</v>
      </c>
      <c r="F15" s="207" t="s">
        <v>616</v>
      </c>
    </row>
    <row r="16" spans="1:6" ht="14.25" customHeight="1">
      <c r="A16" s="135" t="s">
        <v>622</v>
      </c>
      <c r="B16" s="135" t="s">
        <v>613</v>
      </c>
      <c r="C16" s="206">
        <v>2500</v>
      </c>
      <c r="D16" s="206">
        <v>3500</v>
      </c>
      <c r="E16" s="206">
        <v>3500</v>
      </c>
      <c r="F16" s="207" t="s">
        <v>614</v>
      </c>
    </row>
    <row r="17" spans="1:6" ht="14.25" customHeight="1">
      <c r="A17" s="135" t="s">
        <v>622</v>
      </c>
      <c r="B17" s="135" t="s">
        <v>615</v>
      </c>
      <c r="C17" s="206">
        <v>10000</v>
      </c>
      <c r="D17" s="206">
        <v>9100</v>
      </c>
      <c r="E17" s="206">
        <v>9100</v>
      </c>
      <c r="F17" s="207" t="s">
        <v>616</v>
      </c>
    </row>
    <row r="18" spans="1:6" ht="14.25" customHeight="1">
      <c r="A18" s="135" t="s">
        <v>623</v>
      </c>
      <c r="B18" s="135" t="s">
        <v>613</v>
      </c>
      <c r="C18" s="206">
        <v>0</v>
      </c>
      <c r="D18" s="206">
        <v>0</v>
      </c>
      <c r="E18" s="206">
        <v>300</v>
      </c>
      <c r="F18" s="207" t="s">
        <v>614</v>
      </c>
    </row>
    <row r="19" spans="1:6" ht="14.25" customHeight="1">
      <c r="A19" s="135" t="s">
        <v>623</v>
      </c>
      <c r="B19" s="135" t="s">
        <v>615</v>
      </c>
      <c r="C19" s="206">
        <v>200</v>
      </c>
      <c r="D19" s="206">
        <v>400</v>
      </c>
      <c r="E19" s="206">
        <v>300</v>
      </c>
      <c r="F19" s="207" t="s">
        <v>616</v>
      </c>
    </row>
    <row r="20" spans="1:6" ht="14.25" customHeight="1">
      <c r="A20" s="135" t="s">
        <v>624</v>
      </c>
      <c r="B20" s="135" t="s">
        <v>613</v>
      </c>
      <c r="C20" s="206">
        <v>16000</v>
      </c>
      <c r="D20" s="206">
        <v>0</v>
      </c>
      <c r="E20" s="206">
        <v>0</v>
      </c>
      <c r="F20" s="207" t="s">
        <v>614</v>
      </c>
    </row>
    <row r="21" spans="1:6" ht="14.25" customHeight="1">
      <c r="A21" s="135" t="s">
        <v>625</v>
      </c>
      <c r="B21" s="135" t="s">
        <v>615</v>
      </c>
      <c r="C21" s="206">
        <v>12500</v>
      </c>
      <c r="D21" s="206">
        <v>0</v>
      </c>
      <c r="E21" s="206">
        <v>0</v>
      </c>
      <c r="F21" s="207" t="s">
        <v>616</v>
      </c>
    </row>
    <row r="22" spans="1:6" ht="14.25" customHeight="1">
      <c r="A22" s="135" t="s">
        <v>626</v>
      </c>
      <c r="B22" s="135" t="s">
        <v>613</v>
      </c>
      <c r="C22" s="206">
        <v>10000</v>
      </c>
      <c r="D22" s="206">
        <v>15000</v>
      </c>
      <c r="E22" s="206">
        <v>20976</v>
      </c>
      <c r="F22" s="207" t="s">
        <v>614</v>
      </c>
    </row>
    <row r="23" spans="1:6" ht="14.25" customHeight="1">
      <c r="A23" s="135" t="s">
        <v>627</v>
      </c>
      <c r="B23" s="135" t="s">
        <v>628</v>
      </c>
      <c r="C23" s="206">
        <v>47250</v>
      </c>
      <c r="D23" s="206">
        <v>49000</v>
      </c>
      <c r="E23" s="206">
        <v>53000</v>
      </c>
      <c r="F23" s="207" t="s">
        <v>629</v>
      </c>
    </row>
    <row r="24" spans="1:6" ht="14.25" customHeight="1">
      <c r="A24" s="135" t="s">
        <v>630</v>
      </c>
      <c r="B24" s="135" t="s">
        <v>613</v>
      </c>
      <c r="C24" s="206">
        <v>9500</v>
      </c>
      <c r="D24" s="206">
        <v>4500</v>
      </c>
      <c r="E24" s="206">
        <v>4500</v>
      </c>
      <c r="F24" s="207" t="s">
        <v>614</v>
      </c>
    </row>
    <row r="25" spans="1:6" ht="14.25" customHeight="1">
      <c r="A25" s="135" t="s">
        <v>630</v>
      </c>
      <c r="B25" s="135" t="s">
        <v>615</v>
      </c>
      <c r="C25" s="206">
        <v>14200</v>
      </c>
      <c r="D25" s="206">
        <v>37500</v>
      </c>
      <c r="E25" s="206">
        <v>37500</v>
      </c>
      <c r="F25" s="207" t="s">
        <v>616</v>
      </c>
    </row>
    <row r="26" spans="1:6" ht="14.25" customHeight="1">
      <c r="A26" s="135" t="s">
        <v>266</v>
      </c>
      <c r="B26" s="135" t="s">
        <v>613</v>
      </c>
      <c r="C26" s="206">
        <v>10000</v>
      </c>
      <c r="D26" s="206">
        <v>0</v>
      </c>
      <c r="E26" s="206">
        <v>8000</v>
      </c>
      <c r="F26" s="207" t="s">
        <v>614</v>
      </c>
    </row>
    <row r="27" spans="1:6" ht="14.25" customHeight="1">
      <c r="A27" s="135" t="s">
        <v>266</v>
      </c>
      <c r="B27" s="135" t="s">
        <v>615</v>
      </c>
      <c r="C27" s="206">
        <v>11000</v>
      </c>
      <c r="D27" s="206">
        <v>11850</v>
      </c>
      <c r="E27" s="206">
        <v>10000</v>
      </c>
      <c r="F27" s="207" t="s">
        <v>616</v>
      </c>
    </row>
    <row r="28" spans="1:6" ht="14.25" customHeight="1">
      <c r="A28" s="135" t="s">
        <v>631</v>
      </c>
      <c r="B28" s="135" t="s">
        <v>613</v>
      </c>
      <c r="C28" s="206">
        <v>15000</v>
      </c>
      <c r="D28" s="206">
        <v>25000</v>
      </c>
      <c r="E28" s="206">
        <v>25000</v>
      </c>
      <c r="F28" s="207" t="s">
        <v>614</v>
      </c>
    </row>
    <row r="29" spans="1:6" ht="14.25" customHeight="1">
      <c r="A29" s="135" t="s">
        <v>631</v>
      </c>
      <c r="B29" s="135" t="s">
        <v>615</v>
      </c>
      <c r="C29" s="206">
        <v>33500</v>
      </c>
      <c r="D29" s="206">
        <v>86350</v>
      </c>
      <c r="E29" s="206">
        <v>59000</v>
      </c>
      <c r="F29" s="207" t="s">
        <v>616</v>
      </c>
    </row>
    <row r="30" spans="1:6" ht="14.25" customHeight="1">
      <c r="A30" s="135" t="s">
        <v>632</v>
      </c>
      <c r="B30" s="135" t="s">
        <v>613</v>
      </c>
      <c r="C30" s="206">
        <v>0</v>
      </c>
      <c r="D30" s="206">
        <v>7500</v>
      </c>
      <c r="E30" s="206">
        <v>7000</v>
      </c>
      <c r="F30" s="207" t="s">
        <v>614</v>
      </c>
    </row>
    <row r="31" spans="1:6" ht="14.25" customHeight="1">
      <c r="A31" s="135" t="s">
        <v>632</v>
      </c>
      <c r="B31" s="135" t="s">
        <v>615</v>
      </c>
      <c r="C31" s="206">
        <v>41500</v>
      </c>
      <c r="D31" s="206">
        <v>23000</v>
      </c>
      <c r="E31" s="206">
        <v>18000</v>
      </c>
      <c r="F31" s="207" t="s">
        <v>616</v>
      </c>
    </row>
    <row r="32" spans="1:6" ht="14.25" customHeight="1">
      <c r="A32" s="135" t="s">
        <v>633</v>
      </c>
      <c r="B32" s="135" t="s">
        <v>449</v>
      </c>
      <c r="C32" s="206">
        <v>5000</v>
      </c>
      <c r="D32" s="206">
        <v>5000</v>
      </c>
      <c r="E32" s="206">
        <v>5000</v>
      </c>
      <c r="F32" s="207" t="s">
        <v>634</v>
      </c>
    </row>
    <row r="33" spans="1:6" ht="14.25" customHeight="1">
      <c r="A33" s="135" t="s">
        <v>633</v>
      </c>
      <c r="B33" s="135" t="s">
        <v>329</v>
      </c>
      <c r="C33" s="206">
        <v>60000</v>
      </c>
      <c r="D33" s="206">
        <v>60000</v>
      </c>
      <c r="E33" s="206">
        <v>0</v>
      </c>
      <c r="F33" s="207" t="s">
        <v>634</v>
      </c>
    </row>
    <row r="34" spans="1:6" ht="14.25" customHeight="1">
      <c r="A34" s="135" t="s">
        <v>633</v>
      </c>
      <c r="B34" s="135" t="s">
        <v>638</v>
      </c>
      <c r="C34" s="206">
        <v>50500</v>
      </c>
      <c r="D34" s="206">
        <v>51600</v>
      </c>
      <c r="E34" s="206">
        <v>59000</v>
      </c>
      <c r="F34" s="207" t="s">
        <v>634</v>
      </c>
    </row>
    <row r="35" spans="1:6" ht="14.25" customHeight="1">
      <c r="A35" s="135" t="s">
        <v>633</v>
      </c>
      <c r="B35" s="135" t="s">
        <v>448</v>
      </c>
      <c r="C35" s="206">
        <v>58000</v>
      </c>
      <c r="D35" s="206">
        <v>63000</v>
      </c>
      <c r="E35" s="206">
        <v>63000</v>
      </c>
      <c r="F35" s="207" t="s">
        <v>634</v>
      </c>
    </row>
    <row r="36" spans="1:6" ht="14.25" customHeight="1">
      <c r="A36" s="135" t="s">
        <v>633</v>
      </c>
      <c r="B36" s="135" t="s">
        <v>635</v>
      </c>
      <c r="C36" s="206">
        <v>160000</v>
      </c>
      <c r="D36" s="206">
        <v>235000</v>
      </c>
      <c r="E36" s="206">
        <v>335000</v>
      </c>
      <c r="F36" s="207" t="s">
        <v>634</v>
      </c>
    </row>
    <row r="37" spans="1:6" ht="14.25" customHeight="1">
      <c r="A37" s="135" t="s">
        <v>636</v>
      </c>
      <c r="B37" s="135" t="s">
        <v>613</v>
      </c>
      <c r="C37" s="206">
        <v>2000</v>
      </c>
      <c r="D37" s="206">
        <v>2500</v>
      </c>
      <c r="E37" s="206">
        <v>12700</v>
      </c>
      <c r="F37" s="207" t="s">
        <v>634</v>
      </c>
    </row>
    <row r="38" spans="1:6" ht="15" customHeight="1">
      <c r="A38" s="121" t="s">
        <v>636</v>
      </c>
      <c r="B38" s="121" t="s">
        <v>615</v>
      </c>
      <c r="C38" s="208">
        <v>5000</v>
      </c>
      <c r="D38" s="208">
        <v>12000</v>
      </c>
      <c r="E38" s="208">
        <v>10000</v>
      </c>
      <c r="F38" s="207" t="s">
        <v>616</v>
      </c>
    </row>
    <row r="39" spans="1:6" ht="15" customHeight="1">
      <c r="A39" s="121" t="s">
        <v>637</v>
      </c>
      <c r="B39" s="121" t="s">
        <v>613</v>
      </c>
      <c r="C39" s="208">
        <v>0</v>
      </c>
      <c r="D39" s="208">
        <v>0</v>
      </c>
      <c r="E39" s="208">
        <v>2000</v>
      </c>
      <c r="F39" s="207" t="s">
        <v>614</v>
      </c>
    </row>
    <row r="40" spans="1:6" ht="15" customHeight="1">
      <c r="A40" s="121"/>
      <c r="B40" s="121"/>
      <c r="C40" s="208"/>
      <c r="D40" s="208"/>
      <c r="E40" s="208"/>
      <c r="F40" s="207"/>
    </row>
    <row r="41" spans="1:6" ht="15" customHeight="1">
      <c r="A41" s="136"/>
      <c r="B41" s="200" t="s">
        <v>144</v>
      </c>
      <c r="C41" s="266">
        <f>SUM(C8:C40)</f>
        <v>759600</v>
      </c>
      <c r="D41" s="266">
        <f>SUM(D8:D40)</f>
        <v>830600</v>
      </c>
      <c r="E41" s="266">
        <f>SUM(E8:E40)</f>
        <v>897876</v>
      </c>
      <c r="F41" s="211"/>
    </row>
    <row r="42" spans="1:6" ht="15" customHeight="1">
      <c r="A42" s="136"/>
      <c r="B42" s="201" t="s">
        <v>362</v>
      </c>
      <c r="C42" s="82"/>
      <c r="D42" s="209"/>
      <c r="E42" s="209"/>
      <c r="F42" s="211"/>
    </row>
    <row r="43" spans="1:6" ht="15" customHeight="1">
      <c r="A43" s="136"/>
      <c r="B43" s="200" t="s">
        <v>363</v>
      </c>
      <c r="C43" s="266">
        <f>C41</f>
        <v>759600</v>
      </c>
      <c r="D43" s="266">
        <f>SUM(D41-D42)</f>
        <v>830600</v>
      </c>
      <c r="E43" s="266">
        <f>SUM(E41-E42)</f>
        <v>897876</v>
      </c>
      <c r="F43" s="211"/>
    </row>
    <row r="44" spans="1:6" ht="15" customHeight="1">
      <c r="A44" s="136"/>
      <c r="B44" s="136"/>
      <c r="C44" s="136"/>
      <c r="D44" s="136"/>
      <c r="E44" s="136"/>
      <c r="F44" s="136"/>
    </row>
    <row r="45" spans="1:6" ht="15" customHeight="1">
      <c r="A45" s="352" t="s">
        <v>20</v>
      </c>
      <c r="B45" s="352"/>
      <c r="C45" s="352"/>
      <c r="D45" s="352"/>
      <c r="E45" s="352"/>
      <c r="F45" s="136"/>
    </row>
    <row r="46" ht="15" customHeight="1"/>
  </sheetData>
  <sheetProtection/>
  <mergeCells count="1">
    <mergeCell ref="A3:F3"/>
  </mergeCells>
  <printOptions/>
  <pageMargins left="0.25" right="0.25" top="0.5" bottom="0.5" header="0.3" footer="0.3"/>
  <pageSetup blackAndWhite="1" fitToHeight="1" fitToWidth="1" horizontalDpi="600" verticalDpi="600" orientation="landscape" scale="89" r:id="rId1"/>
  <headerFooter alignWithMargins="0">
    <oddHeader>&amp;RState of Kansas
City</oddHeader>
    <oddFooter>&amp;Lrevised 5/08/08&amp;CPage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9">
      <selection activeCell="A1" sqref="A1"/>
    </sheetView>
  </sheetViews>
  <sheetFormatPr defaultColWidth="8.796875" defaultRowHeight="15"/>
  <cols>
    <col min="1" max="1" width="20.796875" style="7" customWidth="1"/>
    <col min="2" max="3" width="7.796875" style="7" customWidth="1"/>
    <col min="4" max="4" width="8.796875" style="7" customWidth="1"/>
    <col min="5" max="6" width="12.796875" style="7" customWidth="1"/>
    <col min="7" max="12" width="9.796875" style="7" customWidth="1"/>
    <col min="13" max="16384" width="8.8984375" style="7" customWidth="1"/>
  </cols>
  <sheetData>
    <row r="1" spans="1:12" ht="15.75">
      <c r="A1" s="72" t="str">
        <f>inputPrYr!$D$2</f>
        <v>City of Ellsworth</v>
      </c>
      <c r="B1" s="21"/>
      <c r="C1" s="21"/>
      <c r="D1" s="21"/>
      <c r="E1" s="21"/>
      <c r="F1" s="21"/>
      <c r="G1" s="21"/>
      <c r="H1" s="21"/>
      <c r="I1" s="21"/>
      <c r="J1" s="21"/>
      <c r="K1" s="21"/>
      <c r="L1" s="141">
        <f>inputPrYr!$C$5</f>
        <v>2010</v>
      </c>
    </row>
    <row r="2" spans="1:12" ht="15.75">
      <c r="A2" s="72"/>
      <c r="B2" s="21"/>
      <c r="C2" s="21"/>
      <c r="D2" s="21"/>
      <c r="E2" s="21"/>
      <c r="F2" s="21"/>
      <c r="G2" s="21"/>
      <c r="H2" s="21"/>
      <c r="I2" s="21"/>
      <c r="J2" s="21"/>
      <c r="K2" s="21"/>
      <c r="L2" s="24"/>
    </row>
    <row r="3" spans="1:12" ht="15.75">
      <c r="A3" s="75" t="s">
        <v>233</v>
      </c>
      <c r="B3" s="27"/>
      <c r="C3" s="27"/>
      <c r="D3" s="27"/>
      <c r="E3" s="27"/>
      <c r="F3" s="27"/>
      <c r="G3" s="27"/>
      <c r="H3" s="27"/>
      <c r="I3" s="27"/>
      <c r="J3" s="27"/>
      <c r="K3" s="27"/>
      <c r="L3" s="27"/>
    </row>
    <row r="4" spans="1:12" ht="15.75">
      <c r="A4" s="21"/>
      <c r="B4" s="87"/>
      <c r="C4" s="87"/>
      <c r="D4" s="87"/>
      <c r="E4" s="87"/>
      <c r="F4" s="87"/>
      <c r="G4" s="87"/>
      <c r="H4" s="87"/>
      <c r="I4" s="87"/>
      <c r="J4" s="87"/>
      <c r="K4" s="87"/>
      <c r="L4" s="87"/>
    </row>
    <row r="5" spans="1:12" ht="15.75">
      <c r="A5" s="21"/>
      <c r="B5" s="76" t="s">
        <v>195</v>
      </c>
      <c r="C5" s="76" t="s">
        <v>195</v>
      </c>
      <c r="D5" s="76" t="s">
        <v>210</v>
      </c>
      <c r="E5" s="76"/>
      <c r="F5" s="76" t="s">
        <v>349</v>
      </c>
      <c r="G5" s="21"/>
      <c r="H5" s="21"/>
      <c r="I5" s="78" t="s">
        <v>196</v>
      </c>
      <c r="J5" s="77"/>
      <c r="K5" s="78" t="s">
        <v>196</v>
      </c>
      <c r="L5" s="77"/>
    </row>
    <row r="6" spans="1:12" ht="15.75">
      <c r="A6" s="21"/>
      <c r="B6" s="79" t="s">
        <v>197</v>
      </c>
      <c r="C6" s="79" t="s">
        <v>350</v>
      </c>
      <c r="D6" s="79" t="s">
        <v>198</v>
      </c>
      <c r="E6" s="79" t="s">
        <v>149</v>
      </c>
      <c r="F6" s="79" t="s">
        <v>351</v>
      </c>
      <c r="G6" s="454" t="s">
        <v>199</v>
      </c>
      <c r="H6" s="455"/>
      <c r="I6" s="456">
        <f>L1-1</f>
        <v>2009</v>
      </c>
      <c r="J6" s="457"/>
      <c r="K6" s="456">
        <f>L1</f>
        <v>2010</v>
      </c>
      <c r="L6" s="457"/>
    </row>
    <row r="7" spans="1:12" ht="15.75">
      <c r="A7" s="83" t="s">
        <v>200</v>
      </c>
      <c r="B7" s="80" t="s">
        <v>201</v>
      </c>
      <c r="C7" s="80" t="s">
        <v>352</v>
      </c>
      <c r="D7" s="80" t="s">
        <v>172</v>
      </c>
      <c r="E7" s="80" t="s">
        <v>202</v>
      </c>
      <c r="F7" s="196" t="str">
        <f>CONCATENATE("Jan 1,",L1-1,"")</f>
        <v>Jan 1,2009</v>
      </c>
      <c r="G7" s="82" t="s">
        <v>210</v>
      </c>
      <c r="H7" s="82" t="s">
        <v>212</v>
      </c>
      <c r="I7" s="82" t="s">
        <v>210</v>
      </c>
      <c r="J7" s="82" t="s">
        <v>212</v>
      </c>
      <c r="K7" s="82" t="s">
        <v>210</v>
      </c>
      <c r="L7" s="82" t="s">
        <v>212</v>
      </c>
    </row>
    <row r="8" spans="1:12" ht="15.75">
      <c r="A8" s="83" t="s">
        <v>203</v>
      </c>
      <c r="B8" s="42"/>
      <c r="C8" s="42"/>
      <c r="D8" s="84"/>
      <c r="E8" s="85"/>
      <c r="F8" s="85"/>
      <c r="G8" s="42"/>
      <c r="H8" s="42"/>
      <c r="I8" s="85"/>
      <c r="J8" s="85"/>
      <c r="K8" s="85"/>
      <c r="L8" s="85"/>
    </row>
    <row r="9" spans="1:12" ht="15.75">
      <c r="A9" s="8" t="s">
        <v>450</v>
      </c>
      <c r="B9" s="212">
        <v>36946</v>
      </c>
      <c r="C9" s="212">
        <v>40756</v>
      </c>
      <c r="D9" s="213">
        <v>5</v>
      </c>
      <c r="E9" s="214">
        <v>39548</v>
      </c>
      <c r="F9" s="215">
        <v>4600</v>
      </c>
      <c r="G9" s="216" t="s">
        <v>451</v>
      </c>
      <c r="H9" s="216">
        <v>40026</v>
      </c>
      <c r="I9" s="215">
        <v>230</v>
      </c>
      <c r="J9" s="215">
        <v>4600</v>
      </c>
      <c r="K9" s="215">
        <v>0</v>
      </c>
      <c r="L9" s="215">
        <v>0</v>
      </c>
    </row>
    <row r="10" spans="1:12" ht="15.75">
      <c r="A10" s="8" t="s">
        <v>452</v>
      </c>
      <c r="B10" s="212">
        <v>38565</v>
      </c>
      <c r="C10" s="212">
        <v>42339</v>
      </c>
      <c r="D10" s="213">
        <v>3.99</v>
      </c>
      <c r="E10" s="214">
        <v>2530000</v>
      </c>
      <c r="F10" s="215">
        <v>2085500</v>
      </c>
      <c r="G10" s="216" t="s">
        <v>453</v>
      </c>
      <c r="H10" s="216">
        <v>40148</v>
      </c>
      <c r="I10" s="215">
        <v>77053</v>
      </c>
      <c r="J10" s="215">
        <v>295000</v>
      </c>
      <c r="K10" s="215">
        <v>65990</v>
      </c>
      <c r="L10" s="215">
        <v>310000</v>
      </c>
    </row>
    <row r="11" spans="1:12" ht="15.75">
      <c r="A11" s="8"/>
      <c r="B11" s="212"/>
      <c r="C11" s="212"/>
      <c r="D11" s="213"/>
      <c r="E11" s="214"/>
      <c r="F11" s="215"/>
      <c r="G11" s="216"/>
      <c r="H11" s="216"/>
      <c r="I11" s="215"/>
      <c r="J11" s="215"/>
      <c r="K11" s="215"/>
      <c r="L11" s="215"/>
    </row>
    <row r="12" spans="1:12" ht="15.75">
      <c r="A12" s="8"/>
      <c r="B12" s="212"/>
      <c r="C12" s="212"/>
      <c r="D12" s="213"/>
      <c r="E12" s="214"/>
      <c r="F12" s="215"/>
      <c r="G12" s="216"/>
      <c r="H12" s="216"/>
      <c r="I12" s="215"/>
      <c r="J12" s="215"/>
      <c r="K12" s="215"/>
      <c r="L12" s="215"/>
    </row>
    <row r="13" spans="1:12" ht="15.75">
      <c r="A13" s="8"/>
      <c r="B13" s="212"/>
      <c r="C13" s="212"/>
      <c r="D13" s="213"/>
      <c r="E13" s="214"/>
      <c r="F13" s="215"/>
      <c r="G13" s="216"/>
      <c r="H13" s="216"/>
      <c r="I13" s="215"/>
      <c r="J13" s="215"/>
      <c r="K13" s="215"/>
      <c r="L13" s="215"/>
    </row>
    <row r="14" spans="1:12" ht="15.75">
      <c r="A14" s="8"/>
      <c r="B14" s="212"/>
      <c r="C14" s="212"/>
      <c r="D14" s="213"/>
      <c r="E14" s="214"/>
      <c r="F14" s="215"/>
      <c r="G14" s="216"/>
      <c r="H14" s="216"/>
      <c r="I14" s="215"/>
      <c r="J14" s="215"/>
      <c r="K14" s="215"/>
      <c r="L14" s="215"/>
    </row>
    <row r="15" spans="1:12" ht="15.75">
      <c r="A15" s="8"/>
      <c r="B15" s="212"/>
      <c r="C15" s="212"/>
      <c r="D15" s="213"/>
      <c r="E15" s="214"/>
      <c r="F15" s="215"/>
      <c r="G15" s="216"/>
      <c r="H15" s="216"/>
      <c r="I15" s="215"/>
      <c r="J15" s="215"/>
      <c r="K15" s="215"/>
      <c r="L15" s="215"/>
    </row>
    <row r="16" spans="1:12" ht="15.75">
      <c r="A16" s="8"/>
      <c r="B16" s="212"/>
      <c r="C16" s="212"/>
      <c r="D16" s="213"/>
      <c r="E16" s="214"/>
      <c r="F16" s="215"/>
      <c r="G16" s="216"/>
      <c r="H16" s="216"/>
      <c r="I16" s="215"/>
      <c r="J16" s="215"/>
      <c r="K16" s="215"/>
      <c r="L16" s="215"/>
    </row>
    <row r="17" spans="1:12" ht="15.75">
      <c r="A17" s="8"/>
      <c r="B17" s="212"/>
      <c r="C17" s="212"/>
      <c r="D17" s="213"/>
      <c r="E17" s="214"/>
      <c r="F17" s="215"/>
      <c r="G17" s="216"/>
      <c r="H17" s="216"/>
      <c r="I17" s="215"/>
      <c r="J17" s="215"/>
      <c r="K17" s="215"/>
      <c r="L17" s="215"/>
    </row>
    <row r="18" spans="1:12" ht="15.75">
      <c r="A18" s="8"/>
      <c r="B18" s="212"/>
      <c r="C18" s="212"/>
      <c r="D18" s="213"/>
      <c r="E18" s="214"/>
      <c r="F18" s="215"/>
      <c r="G18" s="216"/>
      <c r="H18" s="216"/>
      <c r="I18" s="215"/>
      <c r="J18" s="215"/>
      <c r="K18" s="215"/>
      <c r="L18" s="215"/>
    </row>
    <row r="19" spans="1:12" ht="15.75">
      <c r="A19" s="8"/>
      <c r="B19" s="212"/>
      <c r="C19" s="212"/>
      <c r="D19" s="213"/>
      <c r="E19" s="214"/>
      <c r="F19" s="215"/>
      <c r="G19" s="216"/>
      <c r="H19" s="216"/>
      <c r="I19" s="215"/>
      <c r="J19" s="215"/>
      <c r="K19" s="215"/>
      <c r="L19" s="215"/>
    </row>
    <row r="20" spans="1:12" ht="15.75">
      <c r="A20" s="86" t="s">
        <v>204</v>
      </c>
      <c r="B20" s="217"/>
      <c r="C20" s="217"/>
      <c r="D20" s="218"/>
      <c r="E20" s="219"/>
      <c r="F20" s="269">
        <f>SUM(F9:F19)</f>
        <v>2090100</v>
      </c>
      <c r="G20" s="220"/>
      <c r="H20" s="220"/>
      <c r="I20" s="269">
        <f>SUM(I9:I19)</f>
        <v>77283</v>
      </c>
      <c r="J20" s="269">
        <f>SUM(J9:J19)</f>
        <v>299600</v>
      </c>
      <c r="K20" s="269">
        <f>SUM(K9:K19)</f>
        <v>65990</v>
      </c>
      <c r="L20" s="269">
        <f>SUM(L9:L19)</f>
        <v>310000</v>
      </c>
    </row>
    <row r="21" spans="1:12" ht="15.75">
      <c r="A21" s="83" t="s">
        <v>205</v>
      </c>
      <c r="B21" s="221"/>
      <c r="C21" s="221"/>
      <c r="D21" s="222"/>
      <c r="E21" s="210"/>
      <c r="F21" s="210"/>
      <c r="G21" s="223"/>
      <c r="H21" s="223"/>
      <c r="I21" s="210"/>
      <c r="J21" s="210"/>
      <c r="K21" s="210"/>
      <c r="L21" s="210"/>
    </row>
    <row r="22" spans="1:12" ht="15.75">
      <c r="A22" s="8"/>
      <c r="B22" s="212"/>
      <c r="C22" s="212"/>
      <c r="D22" s="213"/>
      <c r="E22" s="214"/>
      <c r="F22" s="215"/>
      <c r="G22" s="216"/>
      <c r="H22" s="216"/>
      <c r="I22" s="215"/>
      <c r="J22" s="215"/>
      <c r="K22" s="215"/>
      <c r="L22" s="215"/>
    </row>
    <row r="23" spans="1:12" ht="15.75">
      <c r="A23" s="8"/>
      <c r="B23" s="212"/>
      <c r="C23" s="212"/>
      <c r="D23" s="213"/>
      <c r="E23" s="214"/>
      <c r="F23" s="215"/>
      <c r="G23" s="216"/>
      <c r="H23" s="216"/>
      <c r="I23" s="215"/>
      <c r="J23" s="215"/>
      <c r="K23" s="215"/>
      <c r="L23" s="215"/>
    </row>
    <row r="24" spans="1:12" ht="15.75">
      <c r="A24" s="8"/>
      <c r="B24" s="212"/>
      <c r="C24" s="212"/>
      <c r="D24" s="213"/>
      <c r="E24" s="214"/>
      <c r="F24" s="215"/>
      <c r="G24" s="216"/>
      <c r="H24" s="216"/>
      <c r="I24" s="215"/>
      <c r="J24" s="215"/>
      <c r="K24" s="215"/>
      <c r="L24" s="215"/>
    </row>
    <row r="25" spans="1:12" ht="15.75">
      <c r="A25" s="8"/>
      <c r="B25" s="212"/>
      <c r="C25" s="212"/>
      <c r="D25" s="213"/>
      <c r="E25" s="214"/>
      <c r="F25" s="215"/>
      <c r="G25" s="216"/>
      <c r="H25" s="216"/>
      <c r="I25" s="215"/>
      <c r="J25" s="215"/>
      <c r="K25" s="215"/>
      <c r="L25" s="215"/>
    </row>
    <row r="26" spans="1:12" ht="15.75">
      <c r="A26" s="8"/>
      <c r="B26" s="212"/>
      <c r="C26" s="212"/>
      <c r="D26" s="213"/>
      <c r="E26" s="214"/>
      <c r="F26" s="215"/>
      <c r="G26" s="216"/>
      <c r="H26" s="216"/>
      <c r="I26" s="215"/>
      <c r="J26" s="215"/>
      <c r="K26" s="215"/>
      <c r="L26" s="215"/>
    </row>
    <row r="27" spans="1:12" ht="15.75">
      <c r="A27" s="8"/>
      <c r="B27" s="212"/>
      <c r="C27" s="212"/>
      <c r="D27" s="213"/>
      <c r="E27" s="214"/>
      <c r="F27" s="215"/>
      <c r="G27" s="216"/>
      <c r="H27" s="216"/>
      <c r="I27" s="215"/>
      <c r="J27" s="215"/>
      <c r="K27" s="215"/>
      <c r="L27" s="215"/>
    </row>
    <row r="28" spans="1:12" ht="15.75">
      <c r="A28" s="8"/>
      <c r="B28" s="212"/>
      <c r="C28" s="212"/>
      <c r="D28" s="213"/>
      <c r="E28" s="214"/>
      <c r="F28" s="215"/>
      <c r="G28" s="216"/>
      <c r="H28" s="216"/>
      <c r="I28" s="215"/>
      <c r="J28" s="215"/>
      <c r="K28" s="215"/>
      <c r="L28" s="215"/>
    </row>
    <row r="29" spans="1:12" ht="15.75">
      <c r="A29" s="8"/>
      <c r="B29" s="212"/>
      <c r="C29" s="212"/>
      <c r="D29" s="213"/>
      <c r="E29" s="214"/>
      <c r="F29" s="215"/>
      <c r="G29" s="216"/>
      <c r="H29" s="216"/>
      <c r="I29" s="215"/>
      <c r="J29" s="215"/>
      <c r="K29" s="215"/>
      <c r="L29" s="215"/>
    </row>
    <row r="30" spans="1:12" ht="15.75">
      <c r="A30" s="8"/>
      <c r="B30" s="212"/>
      <c r="C30" s="212"/>
      <c r="D30" s="213"/>
      <c r="E30" s="214"/>
      <c r="F30" s="215"/>
      <c r="G30" s="216"/>
      <c r="H30" s="216"/>
      <c r="I30" s="215"/>
      <c r="J30" s="215"/>
      <c r="K30" s="215"/>
      <c r="L30" s="215"/>
    </row>
    <row r="31" spans="1:12" ht="15.75">
      <c r="A31" s="8"/>
      <c r="B31" s="212"/>
      <c r="C31" s="212"/>
      <c r="D31" s="213"/>
      <c r="E31" s="214"/>
      <c r="F31" s="215"/>
      <c r="G31" s="216"/>
      <c r="H31" s="216"/>
      <c r="I31" s="215"/>
      <c r="J31" s="215"/>
      <c r="K31" s="215"/>
      <c r="L31" s="215"/>
    </row>
    <row r="32" spans="1:12" ht="15.75">
      <c r="A32" s="86" t="s">
        <v>206</v>
      </c>
      <c r="B32" s="217"/>
      <c r="C32" s="217"/>
      <c r="D32" s="224"/>
      <c r="E32" s="219"/>
      <c r="F32" s="270">
        <f>SUM(F22:F31)</f>
        <v>0</v>
      </c>
      <c r="G32" s="220"/>
      <c r="H32" s="220"/>
      <c r="I32" s="270">
        <f>SUM(I22:I31)</f>
        <v>0</v>
      </c>
      <c r="J32" s="270">
        <f>SUM(J22:J31)</f>
        <v>0</v>
      </c>
      <c r="K32" s="269">
        <f>SUM(K22:K31)</f>
        <v>0</v>
      </c>
      <c r="L32" s="270">
        <f>SUM(L22:L31)</f>
        <v>0</v>
      </c>
    </row>
    <row r="33" spans="1:12" ht="15.75">
      <c r="A33" s="83" t="s">
        <v>207</v>
      </c>
      <c r="B33" s="221"/>
      <c r="C33" s="221"/>
      <c r="D33" s="222"/>
      <c r="E33" s="210"/>
      <c r="F33" s="225"/>
      <c r="G33" s="223"/>
      <c r="H33" s="223"/>
      <c r="I33" s="210"/>
      <c r="J33" s="210"/>
      <c r="K33" s="210"/>
      <c r="L33" s="210"/>
    </row>
    <row r="34" spans="1:12" ht="15.75">
      <c r="A34" s="8" t="s">
        <v>454</v>
      </c>
      <c r="B34" s="212">
        <v>37104</v>
      </c>
      <c r="C34" s="212">
        <v>45139</v>
      </c>
      <c r="D34" s="213">
        <v>4.02</v>
      </c>
      <c r="E34" s="214">
        <v>2041438</v>
      </c>
      <c r="F34" s="215">
        <v>1695488</v>
      </c>
      <c r="G34" s="216" t="s">
        <v>451</v>
      </c>
      <c r="H34" s="216" t="s">
        <v>451</v>
      </c>
      <c r="I34" s="215">
        <v>69777</v>
      </c>
      <c r="J34" s="215">
        <v>81953</v>
      </c>
      <c r="K34" s="215">
        <v>66157</v>
      </c>
      <c r="L34" s="215">
        <v>85573</v>
      </c>
    </row>
    <row r="35" spans="1:12" ht="15.75">
      <c r="A35" s="8" t="s">
        <v>455</v>
      </c>
      <c r="B35" s="212">
        <v>39664</v>
      </c>
      <c r="C35" s="212">
        <v>47362</v>
      </c>
      <c r="D35" s="213">
        <v>2.27</v>
      </c>
      <c r="E35" s="214">
        <v>1500000</v>
      </c>
      <c r="F35" s="215">
        <v>1500000</v>
      </c>
      <c r="G35" s="216" t="s">
        <v>456</v>
      </c>
      <c r="H35" s="216" t="s">
        <v>457</v>
      </c>
      <c r="I35" s="215">
        <v>18900</v>
      </c>
      <c r="J35" s="215">
        <v>29071</v>
      </c>
      <c r="K35" s="215">
        <v>36696</v>
      </c>
      <c r="L35" s="215">
        <v>59246.15</v>
      </c>
    </row>
    <row r="36" spans="1:12" ht="15.75">
      <c r="A36" s="8"/>
      <c r="B36" s="212"/>
      <c r="C36" s="212"/>
      <c r="D36" s="213"/>
      <c r="E36" s="214"/>
      <c r="F36" s="215"/>
      <c r="G36" s="216"/>
      <c r="H36" s="216"/>
      <c r="I36" s="215"/>
      <c r="J36" s="215"/>
      <c r="K36" s="215"/>
      <c r="L36" s="215"/>
    </row>
    <row r="37" spans="1:12" ht="15.75">
      <c r="A37" s="8"/>
      <c r="B37" s="212"/>
      <c r="C37" s="212"/>
      <c r="D37" s="213"/>
      <c r="E37" s="214"/>
      <c r="F37" s="215"/>
      <c r="G37" s="216"/>
      <c r="H37" s="216"/>
      <c r="I37" s="215"/>
      <c r="J37" s="215"/>
      <c r="K37" s="215"/>
      <c r="L37" s="215"/>
    </row>
    <row r="38" spans="1:12" ht="15.75">
      <c r="A38" s="8"/>
      <c r="B38" s="212"/>
      <c r="C38" s="212"/>
      <c r="D38" s="213"/>
      <c r="E38" s="214"/>
      <c r="F38" s="215"/>
      <c r="G38" s="216"/>
      <c r="H38" s="216"/>
      <c r="I38" s="215"/>
      <c r="J38" s="215"/>
      <c r="K38" s="215"/>
      <c r="L38" s="215"/>
    </row>
    <row r="39" spans="1:12" ht="15.75">
      <c r="A39" s="8"/>
      <c r="B39" s="212"/>
      <c r="C39" s="212"/>
      <c r="D39" s="213"/>
      <c r="E39" s="214"/>
      <c r="F39" s="215"/>
      <c r="G39" s="216"/>
      <c r="H39" s="216"/>
      <c r="I39" s="215"/>
      <c r="J39" s="215"/>
      <c r="K39" s="215"/>
      <c r="L39" s="215"/>
    </row>
    <row r="40" spans="1:12" ht="15.75">
      <c r="A40" s="8"/>
      <c r="B40" s="212"/>
      <c r="C40" s="212"/>
      <c r="D40" s="213"/>
      <c r="E40" s="214"/>
      <c r="F40" s="215"/>
      <c r="G40" s="216"/>
      <c r="H40" s="216"/>
      <c r="I40" s="215"/>
      <c r="J40" s="215"/>
      <c r="K40" s="215"/>
      <c r="L40" s="215"/>
    </row>
    <row r="41" spans="1:28" ht="15.75">
      <c r="A41" s="8"/>
      <c r="B41" s="212"/>
      <c r="C41" s="212"/>
      <c r="D41" s="213"/>
      <c r="E41" s="214"/>
      <c r="F41" s="215"/>
      <c r="G41" s="216"/>
      <c r="H41" s="216"/>
      <c r="I41" s="215"/>
      <c r="J41" s="215"/>
      <c r="K41" s="215"/>
      <c r="L41" s="215"/>
      <c r="M41" s="2"/>
      <c r="N41" s="2"/>
      <c r="O41" s="2"/>
      <c r="P41" s="2"/>
      <c r="Q41" s="2"/>
      <c r="R41" s="2"/>
      <c r="S41" s="2"/>
      <c r="T41" s="2"/>
      <c r="U41" s="2"/>
      <c r="V41" s="2"/>
      <c r="W41" s="2"/>
      <c r="X41" s="2"/>
      <c r="Y41" s="2"/>
      <c r="Z41" s="2"/>
      <c r="AA41" s="2"/>
      <c r="AB41" s="2"/>
    </row>
    <row r="42" spans="1:12" ht="15.75">
      <c r="A42" s="86" t="s">
        <v>353</v>
      </c>
      <c r="B42" s="200"/>
      <c r="C42" s="200"/>
      <c r="D42" s="224"/>
      <c r="E42" s="219"/>
      <c r="F42" s="270">
        <f>SUM(F34:F41)</f>
        <v>3195488</v>
      </c>
      <c r="G42" s="219"/>
      <c r="H42" s="219"/>
      <c r="I42" s="270">
        <f>SUM(I34:I41)</f>
        <v>88677</v>
      </c>
      <c r="J42" s="270">
        <f>SUM(J34:J41)</f>
        <v>111024</v>
      </c>
      <c r="K42" s="270">
        <f>SUM(K34:K41)</f>
        <v>102853</v>
      </c>
      <c r="L42" s="270">
        <f>SUM(L34:L41)</f>
        <v>144819.15</v>
      </c>
    </row>
    <row r="43" spans="1:12" ht="15.75">
      <c r="A43" s="86" t="s">
        <v>208</v>
      </c>
      <c r="B43" s="200"/>
      <c r="C43" s="200"/>
      <c r="D43" s="200"/>
      <c r="E43" s="219"/>
      <c r="F43" s="270">
        <f>SUM(F20+F32+F42)</f>
        <v>5285588</v>
      </c>
      <c r="G43" s="219"/>
      <c r="H43" s="219"/>
      <c r="I43" s="270">
        <f>SUM(I20+I32+I42)</f>
        <v>165960</v>
      </c>
      <c r="J43" s="270">
        <f>SUM(J20+J32+J42)</f>
        <v>410624</v>
      </c>
      <c r="K43" s="270">
        <f>SUM(K20+K32+K42)</f>
        <v>168843</v>
      </c>
      <c r="L43" s="270">
        <f>SUM(L20+L32+L42)</f>
        <v>454819.15</v>
      </c>
    </row>
    <row r="44" spans="1:12" ht="15.75">
      <c r="A44" s="2"/>
      <c r="B44" s="2"/>
      <c r="C44" s="2"/>
      <c r="D44" s="2"/>
      <c r="E44" s="2"/>
      <c r="F44" s="2"/>
      <c r="G44" s="2"/>
      <c r="H44" s="2"/>
      <c r="I44" s="2"/>
      <c r="J44" s="2"/>
      <c r="K44" s="2"/>
      <c r="L44" s="2"/>
    </row>
    <row r="45" spans="5:12" ht="15.75">
      <c r="E45" s="11"/>
      <c r="F45" s="11"/>
      <c r="I45" s="11"/>
      <c r="J45" s="11"/>
      <c r="K45" s="11"/>
      <c r="L45" s="11"/>
    </row>
    <row r="46" spans="5:13" ht="15.75">
      <c r="E46" s="2"/>
      <c r="G46" s="197"/>
      <c r="M46" s="2"/>
    </row>
    <row r="47" spans="1:12" ht="15.75">
      <c r="A47" s="2"/>
      <c r="B47" s="2"/>
      <c r="C47" s="2"/>
      <c r="D47" s="2"/>
      <c r="E47" s="2"/>
      <c r="F47" s="2"/>
      <c r="G47" s="2"/>
      <c r="H47" s="2"/>
      <c r="I47" s="2"/>
      <c r="J47" s="2"/>
      <c r="K47" s="2"/>
      <c r="L47" s="2"/>
    </row>
    <row r="48" spans="1:12" ht="15.75">
      <c r="A48" s="2"/>
      <c r="B48" s="2"/>
      <c r="C48" s="2"/>
      <c r="D48" s="2"/>
      <c r="E48" s="2"/>
      <c r="F48" s="2"/>
      <c r="G48" s="2"/>
      <c r="H48" s="2"/>
      <c r="I48" s="2"/>
      <c r="J48" s="2"/>
      <c r="K48" s="2"/>
      <c r="L48" s="2"/>
    </row>
  </sheetData>
  <sheetProtection sheet="1" objects="1" scenarios="1"/>
  <mergeCells count="3">
    <mergeCell ref="G6:H6"/>
    <mergeCell ref="I6:J6"/>
    <mergeCell ref="K6:L6"/>
  </mergeCells>
  <printOptions/>
  <pageMargins left="0.25" right="0.25" top="1" bottom="0.5" header="0.5" footer="0.5"/>
  <pageSetup blackAndWhite="1" fitToHeight="1" fitToWidth="1" horizontalDpi="120" verticalDpi="120" orientation="landscape" scale="76" r:id="rId1"/>
  <headerFooter alignWithMargins="0">
    <oddHeader>&amp;RState of Kansas
City</oddHeader>
    <oddFooter>&amp;Lrevised 8/06/07&amp;CPage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A1" sqref="A1"/>
    </sheetView>
  </sheetViews>
  <sheetFormatPr defaultColWidth="8.796875" defaultRowHeight="15"/>
  <cols>
    <col min="1" max="1" width="23.59765625" style="7" customWidth="1"/>
    <col min="2" max="4" width="9.796875" style="7" customWidth="1"/>
    <col min="5" max="5" width="18.296875" style="7" customWidth="1"/>
    <col min="6" max="8" width="15.796875" style="7" customWidth="1"/>
    <col min="9" max="16384" width="8.8984375" style="7" customWidth="1"/>
  </cols>
  <sheetData>
    <row r="1" spans="1:8" ht="15.75">
      <c r="A1" s="72" t="str">
        <f>inputPrYr!$D$2</f>
        <v>City of Ellsworth</v>
      </c>
      <c r="B1" s="21"/>
      <c r="C1" s="21"/>
      <c r="D1" s="21"/>
      <c r="E1" s="21"/>
      <c r="F1" s="21"/>
      <c r="G1" s="21"/>
      <c r="H1" s="138">
        <f>inputPrYr!C5</f>
        <v>2010</v>
      </c>
    </row>
    <row r="2" spans="1:8" ht="15.75">
      <c r="A2" s="72"/>
      <c r="B2" s="21"/>
      <c r="C2" s="21"/>
      <c r="D2" s="21"/>
      <c r="E2" s="21"/>
      <c r="F2" s="21"/>
      <c r="G2" s="21"/>
      <c r="H2" s="24"/>
    </row>
    <row r="3" spans="1:8" ht="15.75">
      <c r="A3" s="21"/>
      <c r="B3" s="21"/>
      <c r="C3" s="21"/>
      <c r="D3" s="21"/>
      <c r="E3" s="21"/>
      <c r="F3" s="21"/>
      <c r="G3" s="21"/>
      <c r="H3" s="23"/>
    </row>
    <row r="4" spans="1:8" ht="15.75">
      <c r="A4" s="75" t="s">
        <v>227</v>
      </c>
      <c r="B4" s="27"/>
      <c r="C4" s="27"/>
      <c r="D4" s="27"/>
      <c r="E4" s="27"/>
      <c r="F4" s="27"/>
      <c r="G4" s="27"/>
      <c r="H4" s="27"/>
    </row>
    <row r="5" spans="1:8" ht="15.75">
      <c r="A5" s="20"/>
      <c r="B5" s="87"/>
      <c r="C5" s="87"/>
      <c r="D5" s="87"/>
      <c r="E5" s="87"/>
      <c r="F5" s="87"/>
      <c r="G5" s="87"/>
      <c r="H5" s="87"/>
    </row>
    <row r="6" spans="1:8" ht="15.75">
      <c r="A6" s="21"/>
      <c r="B6" s="39"/>
      <c r="C6" s="39"/>
      <c r="D6" s="39"/>
      <c r="E6" s="76" t="s">
        <v>128</v>
      </c>
      <c r="F6" s="39"/>
      <c r="G6" s="39"/>
      <c r="H6" s="39"/>
    </row>
    <row r="7" spans="1:8" ht="15.75">
      <c r="A7" s="21"/>
      <c r="B7" s="79"/>
      <c r="C7" s="79" t="s">
        <v>209</v>
      </c>
      <c r="D7" s="79" t="s">
        <v>210</v>
      </c>
      <c r="E7" s="79" t="s">
        <v>149</v>
      </c>
      <c r="F7" s="79" t="s">
        <v>212</v>
      </c>
      <c r="G7" s="79" t="s">
        <v>213</v>
      </c>
      <c r="H7" s="79" t="s">
        <v>213</v>
      </c>
    </row>
    <row r="8" spans="1:8" ht="15.75">
      <c r="A8" s="21"/>
      <c r="B8" s="79" t="s">
        <v>214</v>
      </c>
      <c r="C8" s="79" t="s">
        <v>215</v>
      </c>
      <c r="D8" s="79" t="s">
        <v>198</v>
      </c>
      <c r="E8" s="79" t="s">
        <v>216</v>
      </c>
      <c r="F8" s="79" t="s">
        <v>268</v>
      </c>
      <c r="G8" s="79" t="s">
        <v>217</v>
      </c>
      <c r="H8" s="79" t="s">
        <v>217</v>
      </c>
    </row>
    <row r="9" spans="1:8" ht="15.75">
      <c r="A9" s="88" t="s">
        <v>218</v>
      </c>
      <c r="B9" s="80" t="s">
        <v>195</v>
      </c>
      <c r="C9" s="127" t="s">
        <v>219</v>
      </c>
      <c r="D9" s="80" t="s">
        <v>172</v>
      </c>
      <c r="E9" s="127" t="s">
        <v>293</v>
      </c>
      <c r="F9" s="81" t="str">
        <f>CONCATENATE("Jan 1,",H1-1,"")</f>
        <v>Jan 1,2009</v>
      </c>
      <c r="G9" s="80">
        <f>H1-1</f>
        <v>2009</v>
      </c>
      <c r="H9" s="80">
        <f>H1</f>
        <v>2010</v>
      </c>
    </row>
    <row r="10" spans="1:8" ht="15.75">
      <c r="A10" s="8" t="s">
        <v>458</v>
      </c>
      <c r="B10" s="292">
        <v>34669</v>
      </c>
      <c r="C10" s="226">
        <v>120</v>
      </c>
      <c r="D10" s="213">
        <v>4</v>
      </c>
      <c r="E10" s="214">
        <v>121422</v>
      </c>
      <c r="F10" s="214">
        <v>14638</v>
      </c>
      <c r="G10" s="214">
        <v>15305</v>
      </c>
      <c r="H10" s="214">
        <v>0</v>
      </c>
    </row>
    <row r="11" spans="1:8" ht="15.75">
      <c r="A11" s="8" t="s">
        <v>459</v>
      </c>
      <c r="B11" s="292">
        <v>38549</v>
      </c>
      <c r="C11" s="226">
        <v>96</v>
      </c>
      <c r="D11" s="213">
        <v>4.5</v>
      </c>
      <c r="E11" s="214">
        <v>182282</v>
      </c>
      <c r="F11" s="214">
        <v>155204</v>
      </c>
      <c r="G11" s="214">
        <v>35417</v>
      </c>
      <c r="H11" s="214">
        <v>35417</v>
      </c>
    </row>
    <row r="12" spans="1:8" ht="15.75">
      <c r="A12" s="8"/>
      <c r="B12" s="292"/>
      <c r="C12" s="226"/>
      <c r="D12" s="213"/>
      <c r="E12" s="214"/>
      <c r="F12" s="214"/>
      <c r="G12" s="214"/>
      <c r="H12" s="214"/>
    </row>
    <row r="13" spans="1:8" ht="15.75">
      <c r="A13" s="8"/>
      <c r="B13" s="292"/>
      <c r="C13" s="226"/>
      <c r="D13" s="213"/>
      <c r="E13" s="214"/>
      <c r="F13" s="214"/>
      <c r="G13" s="214"/>
      <c r="H13" s="214"/>
    </row>
    <row r="14" spans="1:8" ht="15.75">
      <c r="A14" s="8"/>
      <c r="B14" s="292"/>
      <c r="C14" s="226"/>
      <c r="D14" s="213"/>
      <c r="E14" s="214"/>
      <c r="F14" s="214"/>
      <c r="G14" s="214"/>
      <c r="H14" s="214"/>
    </row>
    <row r="15" spans="1:8" ht="15.75">
      <c r="A15" s="8"/>
      <c r="B15" s="292"/>
      <c r="C15" s="226"/>
      <c r="D15" s="213"/>
      <c r="E15" s="214"/>
      <c r="F15" s="214"/>
      <c r="G15" s="214"/>
      <c r="H15" s="214"/>
    </row>
    <row r="16" spans="1:8" ht="15.75">
      <c r="A16" s="8"/>
      <c r="B16" s="292"/>
      <c r="C16" s="226"/>
      <c r="D16" s="213"/>
      <c r="E16" s="214"/>
      <c r="F16" s="214"/>
      <c r="G16" s="214"/>
      <c r="H16" s="214"/>
    </row>
    <row r="17" spans="1:8" ht="15.75">
      <c r="A17" s="8"/>
      <c r="B17" s="292"/>
      <c r="C17" s="226"/>
      <c r="D17" s="213"/>
      <c r="E17" s="214"/>
      <c r="F17" s="214"/>
      <c r="G17" s="214"/>
      <c r="H17" s="214"/>
    </row>
    <row r="18" spans="1:8" ht="15.75">
      <c r="A18" s="8"/>
      <c r="B18" s="292"/>
      <c r="C18" s="226"/>
      <c r="D18" s="213"/>
      <c r="E18" s="214"/>
      <c r="F18" s="214"/>
      <c r="G18" s="214"/>
      <c r="H18" s="214"/>
    </row>
    <row r="19" spans="1:8" ht="15.75">
      <c r="A19" s="8"/>
      <c r="B19" s="292"/>
      <c r="C19" s="226"/>
      <c r="D19" s="213"/>
      <c r="E19" s="214"/>
      <c r="F19" s="214"/>
      <c r="G19" s="214"/>
      <c r="H19" s="214"/>
    </row>
    <row r="20" spans="1:8" ht="15.75">
      <c r="A20" s="8"/>
      <c r="B20" s="292"/>
      <c r="C20" s="226"/>
      <c r="D20" s="213"/>
      <c r="E20" s="214"/>
      <c r="F20" s="214"/>
      <c r="G20" s="214"/>
      <c r="H20" s="214"/>
    </row>
    <row r="21" spans="1:8" ht="15.75">
      <c r="A21" s="8"/>
      <c r="B21" s="292"/>
      <c r="C21" s="226"/>
      <c r="D21" s="213"/>
      <c r="E21" s="214"/>
      <c r="F21" s="214"/>
      <c r="G21" s="214"/>
      <c r="H21" s="214"/>
    </row>
    <row r="22" spans="1:8" ht="15.75">
      <c r="A22" s="8"/>
      <c r="B22" s="292"/>
      <c r="C22" s="226"/>
      <c r="D22" s="213"/>
      <c r="E22" s="214"/>
      <c r="F22" s="214"/>
      <c r="G22" s="214"/>
      <c r="H22" s="214"/>
    </row>
    <row r="23" spans="1:8" ht="15.75">
      <c r="A23" s="8"/>
      <c r="B23" s="292"/>
      <c r="C23" s="226"/>
      <c r="D23" s="213"/>
      <c r="E23" s="214"/>
      <c r="F23" s="214"/>
      <c r="G23" s="214"/>
      <c r="H23" s="214"/>
    </row>
    <row r="24" spans="1:8" ht="15.75">
      <c r="A24" s="8"/>
      <c r="B24" s="292"/>
      <c r="C24" s="226"/>
      <c r="D24" s="213"/>
      <c r="E24" s="214"/>
      <c r="F24" s="214"/>
      <c r="G24" s="214"/>
      <c r="H24" s="214"/>
    </row>
    <row r="25" spans="1:8" ht="15.75">
      <c r="A25" s="8"/>
      <c r="B25" s="292"/>
      <c r="C25" s="226"/>
      <c r="D25" s="213"/>
      <c r="E25" s="214"/>
      <c r="F25" s="214"/>
      <c r="G25" s="214"/>
      <c r="H25" s="214"/>
    </row>
    <row r="26" spans="1:8" ht="15.75">
      <c r="A26" s="8"/>
      <c r="B26" s="292"/>
      <c r="C26" s="226"/>
      <c r="D26" s="213"/>
      <c r="E26" s="214"/>
      <c r="F26" s="214"/>
      <c r="G26" s="214"/>
      <c r="H26" s="214"/>
    </row>
    <row r="27" spans="1:8" ht="15.75">
      <c r="A27" s="8"/>
      <c r="B27" s="292"/>
      <c r="C27" s="226"/>
      <c r="D27" s="213"/>
      <c r="E27" s="214"/>
      <c r="F27" s="214"/>
      <c r="G27" s="214"/>
      <c r="H27" s="214"/>
    </row>
    <row r="28" spans="1:8" ht="16.5" thickBot="1">
      <c r="A28" s="89" t="s">
        <v>144</v>
      </c>
      <c r="B28" s="132"/>
      <c r="C28" s="132"/>
      <c r="D28" s="132"/>
      <c r="E28" s="132"/>
      <c r="F28" s="271">
        <f>SUM(F10:F27)</f>
        <v>169842</v>
      </c>
      <c r="G28" s="271">
        <f>SUM(G10:G27)</f>
        <v>50722</v>
      </c>
      <c r="H28" s="271">
        <f>SUM(H10:H27)</f>
        <v>35417</v>
      </c>
    </row>
    <row r="29" spans="1:8" ht="16.5" thickTop="1">
      <c r="A29" s="21"/>
      <c r="B29" s="21"/>
      <c r="C29" s="21"/>
      <c r="D29" s="21"/>
      <c r="E29" s="21"/>
      <c r="F29" s="21"/>
      <c r="G29" s="72"/>
      <c r="H29" s="72"/>
    </row>
    <row r="30" spans="1:8" ht="15.75">
      <c r="A30" s="354" t="s">
        <v>49</v>
      </c>
      <c r="B30" s="355"/>
      <c r="C30" s="355"/>
      <c r="D30" s="355"/>
      <c r="E30" s="355"/>
      <c r="F30" s="355"/>
      <c r="G30" s="72"/>
      <c r="H30" s="72"/>
    </row>
  </sheetData>
  <sheetProtection sheet="1" objects="1" scenarios="1"/>
  <printOptions/>
  <pageMargins left="0.25" right="0.25" top="1" bottom="0.5" header="0.5" footer="0.5"/>
  <pageSetup blackAndWhite="1" fitToHeight="1" fitToWidth="1" horizontalDpi="120" verticalDpi="120" orientation="landscape" scale="86" r:id="rId1"/>
  <headerFooter alignWithMargins="0">
    <oddHeader>&amp;RState of Kansas
City</oddHeader>
    <oddFooter>&amp;Lrevised 8/06/07&amp;CPage No.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mark handshy</cp:lastModifiedBy>
  <cp:lastPrinted>2010-03-01T20:42:47Z</cp:lastPrinted>
  <dcterms:created xsi:type="dcterms:W3CDTF">1999-08-03T13:11:47Z</dcterms:created>
  <dcterms:modified xsi:type="dcterms:W3CDTF">2010-03-01T21:03:39Z</dcterms:modified>
  <cp:category/>
  <cp:version/>
  <cp:contentType/>
  <cp:contentStatus/>
</cp:coreProperties>
</file>