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30" windowHeight="2715" tabRatio="869" activeTab="4"/>
  </bookViews>
  <sheets>
    <sheet name="inputPrYr" sheetId="2" r:id="rId1"/>
    <sheet name="inputOth" sheetId="14" r:id="rId2"/>
    <sheet name="inputBudSum" sheetId="25" r:id="rId3"/>
    <sheet name="SignCert" sheetId="26" r:id="rId4"/>
    <sheet name="PubNotice" sheetId="27" r:id="rId5"/>
    <sheet name="cert" sheetId="3" r:id="rId6"/>
    <sheet name="gen" sheetId="4" r:id="rId7"/>
    <sheet name="computation" sheetId="10" r:id="rId8"/>
    <sheet name="mvalloc" sheetId="7" r:id="rId9"/>
    <sheet name="summ" sheetId="8" r:id="rId10"/>
    <sheet name="Resolution" sheetId="12" r:id="rId11"/>
    <sheet name="Tab A" sheetId="20" r:id="rId12"/>
    <sheet name="Tab B" sheetId="21" r:id="rId13"/>
    <sheet name="Tab C" sheetId="22" r:id="rId14"/>
    <sheet name="Tab D" sheetId="23" r:id="rId15"/>
    <sheet name="Tab E" sheetId="24" r:id="rId16"/>
    <sheet name="legend" sheetId="11" r:id="rId17"/>
  </sheets>
  <externalReferences>
    <externalReference r:id="rId18"/>
  </externalReferences>
  <definedNames>
    <definedName name="_xlnm.Print_Area" localSheetId="0">inputPrYr!$A$1:$E$46</definedName>
  </definedNames>
  <calcPr calcId="124519"/>
</workbook>
</file>

<file path=xl/calcChain.xml><?xml version="1.0" encoding="utf-8"?>
<calcChain xmlns="http://schemas.openxmlformats.org/spreadsheetml/2006/main">
  <c r="J59" i="4"/>
  <c r="J58"/>
  <c r="D56"/>
  <c r="E56" s="1"/>
  <c r="B55"/>
  <c r="B54"/>
  <c r="G53"/>
  <c r="D52"/>
  <c r="C52"/>
  <c r="G50"/>
  <c r="E50"/>
  <c r="E54" s="1"/>
  <c r="D50"/>
  <c r="D49" s="1"/>
  <c r="C50"/>
  <c r="E49"/>
  <c r="C49"/>
  <c r="H48"/>
  <c r="C29"/>
  <c r="C51" s="1"/>
  <c r="D7" s="1"/>
  <c r="C28"/>
  <c r="C27"/>
  <c r="E15"/>
  <c r="E14"/>
  <c r="E13"/>
  <c r="E12"/>
  <c r="E11"/>
  <c r="D9"/>
  <c r="D28" s="1"/>
  <c r="D27" s="1"/>
  <c r="B6"/>
  <c r="F3"/>
  <c r="G59" s="1"/>
  <c r="B2"/>
  <c r="B1"/>
  <c r="D6" l="1"/>
  <c r="E28"/>
  <c r="G46"/>
  <c r="D29"/>
  <c r="D51" s="1"/>
  <c r="C6"/>
  <c r="E6"/>
  <c r="G43"/>
  <c r="H45"/>
  <c r="H46"/>
  <c r="H47"/>
  <c r="H50"/>
  <c r="H51"/>
  <c r="F53"/>
  <c r="H53"/>
  <c r="C57"/>
  <c r="B52"/>
  <c r="G55"/>
  <c r="G45" l="1"/>
  <c r="E7"/>
  <c r="E29" s="1"/>
  <c r="E55" s="1"/>
  <c r="E57" s="1"/>
  <c r="G48" l="1"/>
  <c r="G51" s="1"/>
  <c r="G47"/>
  <c r="E27"/>
  <c r="E22" i="10" l="1"/>
  <c r="G18"/>
  <c r="E15"/>
  <c r="E14"/>
  <c r="G11"/>
  <c r="J6"/>
  <c r="J5"/>
  <c r="J7" s="1"/>
  <c r="C2"/>
  <c r="J1"/>
  <c r="B18" s="1"/>
  <c r="C1"/>
  <c r="D26" i="3"/>
  <c r="G25"/>
  <c r="F25"/>
  <c r="F26" s="1"/>
  <c r="E25"/>
  <c r="C23"/>
  <c r="A6"/>
  <c r="A4"/>
  <c r="G3"/>
  <c r="G28" s="1"/>
  <c r="G16" i="10" l="1"/>
  <c r="G20" s="1"/>
  <c r="G24" s="1"/>
  <c r="G26" s="1"/>
  <c r="J28" s="1"/>
  <c r="J30" s="1"/>
  <c r="J34" s="1"/>
  <c r="A3"/>
  <c r="B9"/>
  <c r="C14"/>
  <c r="C15"/>
  <c r="B22"/>
  <c r="B32"/>
  <c r="A36"/>
  <c r="B5"/>
  <c r="B6"/>
  <c r="B11"/>
  <c r="B13"/>
  <c r="A10" i="3"/>
  <c r="E13"/>
  <c r="A18"/>
  <c r="C42"/>
  <c r="A11"/>
  <c r="F15"/>
  <c r="A47" i="14" l="1"/>
  <c r="A46"/>
  <c r="A45"/>
  <c r="A44"/>
  <c r="A43"/>
  <c r="A42"/>
  <c r="D22"/>
  <c r="A19"/>
  <c r="A18"/>
  <c r="A11"/>
  <c r="A10"/>
  <c r="A9"/>
  <c r="A8"/>
  <c r="A7"/>
  <c r="A2"/>
  <c r="E1"/>
  <c r="B40" s="1"/>
  <c r="A1"/>
  <c r="E47" i="2"/>
  <c r="D47"/>
  <c r="A45"/>
  <c r="A44"/>
  <c r="D42"/>
  <c r="B41"/>
  <c r="B40"/>
  <c r="B39"/>
  <c r="B38"/>
  <c r="A37"/>
  <c r="D36"/>
  <c r="D28"/>
  <c r="A28"/>
  <c r="E24"/>
  <c r="A24"/>
  <c r="E17"/>
  <c r="D17"/>
  <c r="A15"/>
  <c r="A6" i="14" l="1"/>
  <c r="A12"/>
  <c r="A26"/>
  <c r="A39"/>
  <c r="C40"/>
  <c r="A14"/>
  <c r="A24"/>
  <c r="A35"/>
  <c r="J2" i="7" l="1"/>
  <c r="C9" s="1"/>
  <c r="A8" i="24"/>
  <c r="A46" i="23"/>
  <c r="A41"/>
  <c r="A6"/>
  <c r="A38" i="22"/>
  <c r="A33"/>
  <c r="A19"/>
  <c r="A6"/>
  <c r="A34" i="21"/>
  <c r="A33"/>
  <c r="A6"/>
  <c r="A64" i="20"/>
  <c r="A61"/>
  <c r="A33"/>
  <c r="A28"/>
  <c r="A25"/>
  <c r="A16"/>
  <c r="A6"/>
  <c r="A6" i="8"/>
  <c r="A8"/>
  <c r="C14" i="7"/>
  <c r="C13"/>
  <c r="C12"/>
  <c r="C11"/>
  <c r="D18" i="8"/>
  <c r="E17" i="7"/>
  <c r="E19"/>
  <c r="E21"/>
  <c r="E23"/>
  <c r="G13" s="1"/>
  <c r="G14"/>
  <c r="G11"/>
  <c r="I3" i="8"/>
  <c r="F13"/>
  <c r="F19"/>
  <c r="E16"/>
  <c r="E17" s="1"/>
  <c r="B19"/>
  <c r="B5" i="12"/>
  <c r="B27"/>
  <c r="B31"/>
  <c r="B10"/>
  <c r="B9"/>
  <c r="B19"/>
  <c r="B23"/>
  <c r="D19" i="8"/>
  <c r="D16"/>
  <c r="D17" s="1"/>
  <c r="B16"/>
  <c r="B17"/>
  <c r="A10"/>
  <c r="B9" i="7"/>
  <c r="D9"/>
  <c r="B12"/>
  <c r="J6" i="12"/>
  <c r="A5" i="8"/>
  <c r="C16"/>
  <c r="C17"/>
  <c r="B18"/>
  <c r="A16"/>
  <c r="A4"/>
  <c r="B14" i="7"/>
  <c r="B13"/>
  <c r="B2"/>
  <c r="B1"/>
  <c r="B11"/>
  <c r="A11" i="8"/>
  <c r="D13"/>
  <c r="G14"/>
  <c r="G12" i="7"/>
  <c r="F16" i="8"/>
  <c r="F17" s="1"/>
  <c r="B13"/>
  <c r="G15" i="7" l="1"/>
  <c r="C15"/>
  <c r="F31"/>
  <c r="E29"/>
  <c r="C25"/>
  <c r="D27"/>
  <c r="D13"/>
  <c r="E13"/>
  <c r="D12" l="1"/>
  <c r="D14"/>
  <c r="E14"/>
  <c r="E12"/>
  <c r="F12"/>
  <c r="F14"/>
  <c r="F13"/>
  <c r="D11" l="1"/>
  <c r="F11"/>
  <c r="F15" s="1"/>
  <c r="D15"/>
  <c r="E11"/>
  <c r="E15" l="1"/>
  <c r="G16" i="8" l="1"/>
  <c r="G17" s="1"/>
  <c r="H16" l="1"/>
  <c r="H17" s="1"/>
</calcChain>
</file>

<file path=xl/sharedStrings.xml><?xml version="1.0" encoding="utf-8"?>
<sst xmlns="http://schemas.openxmlformats.org/spreadsheetml/2006/main" count="541" uniqueCount="463">
  <si>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</si>
  <si>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</si>
  <si>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</si>
  <si>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</si>
  <si>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</si>
  <si>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</si>
  <si>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</si>
  <si>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</si>
  <si>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</si>
  <si>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</si>
  <si>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</si>
  <si>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</si>
  <si>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</si>
  <si>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</si>
  <si>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</si>
  <si>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</si>
  <si>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</si>
  <si>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</si>
  <si>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</si>
  <si>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</si>
  <si>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</si>
  <si>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</si>
  <si>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</si>
  <si>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</si>
  <si>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</si>
  <si>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</si>
  <si>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</si>
  <si>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</si>
  <si>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</si>
  <si>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</si>
  <si>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</si>
  <si>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</si>
  <si>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</si>
  <si>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</si>
  <si>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</si>
  <si>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</si>
  <si>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</si>
  <si>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</si>
  <si>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</si>
  <si>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</si>
  <si>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</si>
  <si>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</si>
  <si>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</si>
  <si>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</si>
  <si>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</si>
  <si>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</si>
  <si>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</si>
  <si>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</si>
  <si>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</si>
  <si>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</si>
  <si>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</si>
  <si>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</si>
  <si>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</si>
  <si>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</si>
  <si>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</si>
  <si>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</si>
  <si>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</si>
  <si>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</si>
  <si>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</si>
  <si>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</si>
  <si>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</si>
  <si>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</si>
  <si>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</si>
  <si>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</si>
  <si>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</si>
  <si>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</si>
  <si>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</si>
  <si>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</si>
  <si>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</si>
  <si>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</si>
  <si>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</si>
  <si>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</si>
  <si>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</si>
  <si>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</si>
  <si>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</si>
  <si>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</si>
  <si>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</si>
  <si>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</si>
  <si>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</si>
  <si>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</si>
  <si>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</si>
  <si>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</si>
  <si>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</si>
  <si>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</si>
  <si>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</si>
  <si>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</si>
  <si>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</si>
  <si>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</si>
  <si>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</si>
  <si>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</si>
  <si>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</si>
  <si>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</si>
  <si>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</si>
  <si>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</si>
  <si>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</si>
  <si>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</si>
  <si>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</si>
  <si>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</si>
  <si>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</si>
  <si>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</si>
  <si>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</si>
  <si>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</si>
  <si>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</si>
  <si>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</si>
  <si>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</si>
  <si>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</si>
  <si>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</si>
  <si>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</si>
  <si>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</si>
  <si>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</si>
  <si>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</si>
  <si>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</si>
  <si>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</si>
  <si>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</si>
  <si>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</si>
  <si>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</si>
  <si>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</si>
  <si>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</si>
  <si>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</si>
  <si>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</si>
  <si>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</si>
  <si>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</si>
  <si>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</si>
  <si>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</si>
  <si>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</si>
  <si>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</si>
  <si>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</si>
  <si>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</si>
  <si>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</si>
  <si>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</si>
  <si>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</si>
  <si>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</si>
  <si>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</si>
  <si>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</si>
  <si>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</si>
  <si>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</si>
  <si>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</si>
  <si>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</si>
  <si>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</si>
  <si>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</si>
  <si>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</si>
  <si>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</si>
  <si>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</si>
  <si>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</si>
  <si>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</si>
  <si>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</si>
  <si>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</si>
  <si>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</si>
  <si>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</si>
  <si>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</si>
  <si>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</si>
  <si>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</si>
  <si>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</si>
  <si>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</si>
  <si>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</si>
  <si>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</si>
  <si>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</si>
  <si>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</si>
  <si>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</si>
  <si>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</si>
  <si>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</si>
  <si>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</si>
  <si>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</si>
  <si>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</si>
  <si>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</si>
  <si>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</si>
  <si>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</si>
  <si>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</si>
  <si>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</si>
  <si>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</si>
  <si>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</si>
  <si>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</si>
  <si>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</si>
  <si>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</si>
  <si>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</si>
  <si>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</si>
  <si>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</si>
  <si>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</si>
  <si>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</si>
  <si>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</si>
  <si>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</si>
  <si>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</si>
  <si>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</si>
  <si>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</si>
  <si>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</si>
  <si>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</si>
  <si>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</si>
  <si>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</si>
  <si>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</si>
  <si>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</si>
  <si>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</si>
  <si>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</si>
  <si>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</si>
  <si>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</si>
  <si>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</si>
  <si>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</si>
  <si>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</si>
  <si>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</si>
  <si>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</si>
  <si>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</si>
  <si>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</si>
  <si>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</si>
  <si>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</si>
  <si>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</si>
  <si>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</si>
  <si>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</si>
  <si>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</si>
  <si>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</si>
  <si>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</si>
  <si>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</si>
  <si>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</si>
  <si>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</si>
  <si>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Contract Labor</t>
  </si>
  <si>
    <t>Capital Improvements</t>
  </si>
  <si>
    <t>Page No. 4</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</si>
  <si>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</si>
  <si>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</si>
  <si>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</si>
  <si>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</si>
  <si>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</si>
  <si>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</si>
  <si>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</si>
  <si>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The following were changed to this spreadsheet on 12/28/09</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</si>
  <si>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</si>
  <si>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</si>
  <si>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</si>
  <si>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</si>
  <si>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</si>
  <si>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</si>
  <si>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</si>
  <si>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</si>
  <si>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</si>
  <si>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</si>
  <si>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</si>
  <si>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</si>
  <si>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</si>
  <si>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</si>
  <si>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</si>
  <si>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</si>
  <si>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</si>
  <si>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</si>
  <si>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</si>
  <si>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</si>
  <si>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</si>
  <si>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</si>
  <si>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</si>
  <si>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</si>
  <si>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</si>
  <si>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</si>
  <si>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</si>
  <si>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Use Only</t>
  </si>
  <si>
    <t>Fund</t>
  </si>
  <si>
    <t>K.S.A.</t>
  </si>
  <si>
    <t>x</t>
  </si>
  <si>
    <t>County Clerk</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</si>
  <si>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</si>
  <si>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</si>
  <si>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</si>
  <si>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</si>
  <si>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</si>
  <si>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</si>
  <si>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</si>
  <si>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</si>
  <si>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</si>
  <si>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</si>
  <si>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</si>
  <si>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Tax Required</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</si>
  <si>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</si>
  <si>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</si>
  <si>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</si>
  <si>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</si>
  <si>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</si>
  <si>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</si>
  <si>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</si>
  <si>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</si>
  <si>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</si>
  <si>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</si>
  <si>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</si>
  <si>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</si>
  <si>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</si>
  <si>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Rate</t>
  </si>
  <si>
    <t xml:space="preserve">on the budget forms in the appropriate locations.  If any of the numbers are wrong, change  </t>
  </si>
  <si>
    <t>CERTIFICATE</t>
  </si>
  <si>
    <t>NOTICE OF BUDGET HEARING</t>
  </si>
  <si>
    <t>BUDGET SUMMARY</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</si>
  <si>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</si>
  <si>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</si>
  <si>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</si>
  <si>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</si>
  <si>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</si>
  <si>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</si>
  <si>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</si>
  <si>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</si>
  <si>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</si>
  <si>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</si>
  <si>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</si>
  <si>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</si>
  <si>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</si>
  <si>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</si>
  <si>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</si>
  <si>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</si>
  <si>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</si>
  <si>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</si>
  <si>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</si>
  <si>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</si>
  <si>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</si>
  <si>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</si>
  <si>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</si>
  <si>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</si>
  <si>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</si>
  <si>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</si>
  <si>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</si>
  <si>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</si>
  <si>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</si>
  <si>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</si>
  <si>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</si>
  <si>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</si>
  <si>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</si>
  <si>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</si>
  <si>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</si>
  <si>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</si>
  <si>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</si>
  <si>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</si>
  <si>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</si>
  <si>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</si>
  <si>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Enter Special District Name (Can be Longer than green cell)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</si>
  <si>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</si>
  <si>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</si>
  <si>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</si>
  <si>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</si>
  <si>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</si>
  <si>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</si>
  <si>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</si>
  <si>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</si>
  <si>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</si>
  <si>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</si>
  <si>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</si>
  <si>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</si>
  <si>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  G.O. Bonds</t>
  </si>
  <si>
    <t xml:space="preserve">  Revenue Bonds</t>
  </si>
  <si>
    <t xml:space="preserve">  Lease Purchase Principal</t>
  </si>
  <si>
    <t xml:space="preserve">The input for the following comes directly from </t>
  </si>
  <si>
    <t>We, the undersigned, officers of</t>
  </si>
  <si>
    <t>10-113</t>
  </si>
  <si>
    <t>LAVTR</t>
  </si>
  <si>
    <t>Slider</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</si>
  <si>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</si>
  <si>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</si>
  <si>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</si>
  <si>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</si>
  <si>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</si>
  <si>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</si>
  <si>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</si>
  <si>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</si>
  <si>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</si>
  <si>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</si>
  <si>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</si>
  <si>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</si>
  <si>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</si>
  <si>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</si>
  <si>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</si>
  <si>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</si>
  <si>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</si>
  <si>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</si>
  <si>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</si>
  <si>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</si>
  <si>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</si>
  <si>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</si>
  <si>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</si>
  <si>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</si>
  <si>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</si>
  <si>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</si>
  <si>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</si>
  <si>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</si>
  <si>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</si>
  <si>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</si>
  <si>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</si>
  <si>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</si>
  <si>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Outstanding Indebtedness, January 1:</t>
  </si>
  <si>
    <t>14. Added to instructions about non-appropriated funds limit of 5%.</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</si>
  <si>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</si>
  <si>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</si>
  <si>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</si>
  <si>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</si>
  <si>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</si>
  <si>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</si>
  <si>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</si>
  <si>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</si>
  <si>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</si>
  <si>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Miscellaneous</t>
  </si>
  <si>
    <t>Neighborhood Revitalization Rebate</t>
  </si>
  <si>
    <t>24. Expanded on the preparation of budget note 12 for instructions for the Notice of Budget Hearing.</t>
  </si>
  <si>
    <t>25. Added to instruction for submission that deadline for submission to clerk Aug 25.</t>
  </si>
  <si>
    <t>Enter County Name followed by 'County'</t>
  </si>
  <si>
    <t>ALLOCATION OF MOTOR, RECREATIONAL ,16/20M VEHICLE TAXES &amp; SLIDER</t>
  </si>
  <si>
    <t>26. Added 'excluding oil, gas, and mobile homes' to lines 9 and 11 on Clerks budget info on tab inputoth.</t>
  </si>
  <si>
    <t>Non-budgeted funds:</t>
  </si>
  <si>
    <t xml:space="preserve">Proposed Budget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</si>
  <si>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</si>
  <si>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</si>
  <si>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</si>
  <si>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</si>
  <si>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</si>
  <si>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</si>
  <si>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</si>
  <si>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</si>
  <si>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</si>
  <si>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</si>
  <si>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</si>
  <si>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</si>
  <si>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</si>
  <si>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</si>
  <si>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</si>
  <si>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</si>
  <si>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</si>
  <si>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</si>
  <si>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</si>
  <si>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</si>
  <si>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</si>
  <si>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</si>
  <si>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</si>
  <si>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</si>
  <si>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</si>
  <si>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</si>
  <si>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</si>
  <si>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</si>
  <si>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</si>
  <si>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</si>
  <si>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</si>
  <si>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</si>
  <si>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</si>
  <si>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</si>
  <si>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</si>
  <si>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</si>
  <si>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</si>
  <si>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August 17, 2010</t>
  </si>
  <si>
    <t>7:00 P.M.</t>
  </si>
  <si>
    <t>Home of Carolyn Corle in Elk Falls</t>
  </si>
  <si>
    <t>Elk County Clerk's Office</t>
  </si>
  <si>
    <t>Carolyn Corle</t>
  </si>
  <si>
    <t>ELK FALLS CEMETERY</t>
  </si>
  <si>
    <t>ELK COUNTY</t>
  </si>
  <si>
    <r>
      <rPr>
        <sz val="12"/>
        <color indexed="10"/>
        <rFont val="Times New Roman"/>
        <family val="1"/>
      </rPr>
      <t>*</t>
    </r>
    <r>
      <rPr>
        <sz val="12"/>
        <rFont val="Times New Roman"/>
        <family val="1"/>
      </rPr>
      <t>Expenditures</t>
    </r>
    <r>
      <rPr>
        <sz val="12"/>
        <color indexed="10"/>
        <rFont val="Times New Roman"/>
        <family val="1"/>
      </rPr>
      <t>*</t>
    </r>
  </si>
  <si>
    <t xml:space="preserve">  Other</t>
  </si>
  <si>
    <t>for Expenditures</t>
  </si>
  <si>
    <t>Schedule of Transfers</t>
  </si>
  <si>
    <t>Statement of Indebt. &amp; Lease/Purchase</t>
  </si>
  <si>
    <t>Assisted by:</t>
  </si>
  <si>
    <t>Address:</t>
  </si>
  <si>
    <t>FUND PAGE FOR FUNDS WITH A TAX LEVY</t>
  </si>
  <si>
    <t>Treasurer's Beginning Balance</t>
  </si>
  <si>
    <t>Treasurer's Ending Balance</t>
  </si>
  <si>
    <t>Staking Fees and Sale of Lots</t>
  </si>
  <si>
    <t>Does misc. exceed 10% of Total Receipts</t>
  </si>
  <si>
    <t>Publications</t>
  </si>
  <si>
    <t>Insurance &amp; Bond</t>
  </si>
  <si>
    <t>Operations</t>
  </si>
  <si>
    <t>Does misc. exceed 10% Total Expenditures</t>
  </si>
  <si>
    <t>Non-Appropriated Balance</t>
  </si>
  <si>
    <t>Total Expenditure/Non-Appr Balance</t>
  </si>
  <si>
    <t>Delinquent Comp Rate:</t>
  </si>
  <si>
    <t>Desired Carryover Amount:</t>
  </si>
  <si>
    <t>Estimated Mill Rate Impact:</t>
  </si>
</sst>
</file>

<file path=xl/styles.xml><?xml version="1.0" encoding="utf-8"?>
<styleSheet xmlns="http://schemas.openxmlformats.org/spreadsheetml/2006/main">
  <numFmts count="14">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0.000_);\(#,##0.000\)"/>
    <numFmt numFmtId="171" formatCode="0.000%"/>
    <numFmt numFmtId="172" formatCode="0.000"/>
    <numFmt numFmtId="173" formatCode="#,##0.000"/>
    <numFmt numFmtId="174" formatCode="[$-409]mmmm\ d\,\ yyyy;@"/>
    <numFmt numFmtId="175" formatCode="[$-409]h:mm\ AM/PM;@"/>
    <numFmt numFmtId="176" formatCode="&quot;$&quot;#,##0"/>
  </numFmts>
  <fonts count="37">
    <font>
      <sz val="12"/>
      <name val="Courier"/>
    </font>
    <font>
      <b/>
      <sz val="12"/>
      <name val="Courier"/>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sz val="8"/>
      <name val="Times New Roman"/>
      <family val="1"/>
    </font>
    <font>
      <b/>
      <sz val="12"/>
      <color indexed="10"/>
      <name val="Times New Roman"/>
      <family val="1"/>
    </font>
    <font>
      <sz val="12"/>
      <name val="Courier"/>
      <family val="3"/>
    </font>
    <font>
      <sz val="12"/>
      <name val="Courier New"/>
      <family val="3"/>
    </font>
    <font>
      <b/>
      <sz val="12"/>
      <name val="Courier"/>
      <family val="3"/>
    </font>
    <font>
      <i/>
      <sz val="12"/>
      <name val="Courier"/>
      <family val="3"/>
    </font>
    <font>
      <i/>
      <u/>
      <sz val="12"/>
      <name val="Courier"/>
      <family val="3"/>
    </font>
    <font>
      <sz val="12"/>
      <name val="Courier"/>
      <family val="3"/>
    </font>
    <font>
      <sz val="8"/>
      <name val="Courier"/>
    </font>
    <font>
      <b/>
      <u/>
      <sz val="10"/>
      <name val="Times New Roman"/>
      <family val="1"/>
    </font>
    <font>
      <b/>
      <u/>
      <sz val="10"/>
      <name val="Courier"/>
      <family val="3"/>
    </font>
    <font>
      <b/>
      <sz val="10"/>
      <name val="Times New Roman"/>
      <family val="1"/>
    </font>
    <font>
      <b/>
      <sz val="12"/>
      <color rgb="FFFF0000"/>
      <name val="Times New Roman"/>
      <family val="1"/>
    </font>
    <font>
      <b/>
      <u/>
      <sz val="12"/>
      <color rgb="FFFF0000"/>
      <name val="Times New Roman"/>
      <family val="1"/>
    </font>
  </fonts>
  <fills count="16">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s>
  <cellStyleXfs count="178">
    <xf numFmtId="0" fontId="0" fillId="0" borderId="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26"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26" fillId="0" borderId="0"/>
    <xf numFmtId="0" fontId="9" fillId="0" borderId="0"/>
    <xf numFmtId="0" fontId="9" fillId="0" borderId="0"/>
    <xf numFmtId="0" fontId="9"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5"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6" fillId="0" borderId="0"/>
    <xf numFmtId="0" fontId="9" fillId="0" borderId="0"/>
    <xf numFmtId="0" fontId="9" fillId="0" borderId="0"/>
    <xf numFmtId="0" fontId="9" fillId="0" borderId="0"/>
    <xf numFmtId="0" fontId="9" fillId="0" borderId="0"/>
    <xf numFmtId="0" fontId="26" fillId="0" borderId="0"/>
    <xf numFmtId="0" fontId="2" fillId="0" borderId="0"/>
    <xf numFmtId="0" fontId="26" fillId="0" borderId="0"/>
    <xf numFmtId="0" fontId="9" fillId="0" borderId="0"/>
    <xf numFmtId="0" fontId="9" fillId="0" borderId="0"/>
    <xf numFmtId="0" fontId="9" fillId="0" borderId="0"/>
    <xf numFmtId="0" fontId="9" fillId="0" borderId="0"/>
    <xf numFmtId="0" fontId="2" fillId="0" borderId="0"/>
  </cellStyleXfs>
  <cellXfs count="345">
    <xf numFmtId="0" fontId="0" fillId="0" borderId="0" xfId="0"/>
    <xf numFmtId="0" fontId="0" fillId="0" borderId="0" xfId="0" applyAlignment="1">
      <alignment vertical="top"/>
    </xf>
    <xf numFmtId="0" fontId="9" fillId="0" borderId="0" xfId="176"/>
    <xf numFmtId="0" fontId="6" fillId="0" borderId="0" xfId="176" applyFont="1"/>
    <xf numFmtId="0" fontId="6" fillId="0" borderId="0" xfId="176" applyFont="1" applyAlignment="1">
      <alignment horizontal="left" indent="1"/>
    </xf>
    <xf numFmtId="0" fontId="14" fillId="0" borderId="0" xfId="176"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176" applyFont="1" applyAlignment="1">
      <alignment horizontal="center"/>
    </xf>
    <xf numFmtId="0" fontId="3" fillId="0" borderId="0" xfId="176" applyFont="1" applyAlignment="1">
      <alignment horizontal="right"/>
    </xf>
    <xf numFmtId="0" fontId="6" fillId="2" borderId="0" xfId="176"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0" fontId="3" fillId="3" borderId="1" xfId="0" applyFont="1" applyFill="1" applyBorder="1" applyAlignment="1" applyProtection="1">
      <alignment horizontal="center" vertical="center"/>
    </xf>
    <xf numFmtId="0" fontId="3" fillId="5" borderId="1" xfId="0" applyFont="1" applyFill="1" applyBorder="1" applyAlignment="1" applyProtection="1">
      <alignment vertical="center"/>
    </xf>
    <xf numFmtId="0" fontId="3" fillId="3" borderId="6" xfId="0" applyFont="1" applyFill="1" applyBorder="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5" borderId="2" xfId="0" applyFont="1" applyFill="1" applyBorder="1" applyAlignment="1" applyProtection="1">
      <alignment vertical="center"/>
    </xf>
    <xf numFmtId="0" fontId="3" fillId="3" borderId="8"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2" fontId="3" fillId="2" borderId="1" xfId="0" applyNumberFormat="1" applyFont="1" applyFill="1" applyBorder="1" applyAlignment="1" applyProtection="1">
      <alignment vertical="center"/>
      <protection locked="0"/>
    </xf>
    <xf numFmtId="172" fontId="3" fillId="2" borderId="2" xfId="0" applyNumberFormat="1" applyFont="1" applyFill="1" applyBorder="1" applyAlignment="1" applyProtection="1">
      <alignment vertical="center"/>
      <protection locked="0"/>
    </xf>
    <xf numFmtId="172"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2"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2"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1"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37" fontId="3" fillId="3" borderId="3"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7"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37" fontId="3" fillId="4"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0" fontId="3" fillId="3" borderId="10" xfId="0" applyFont="1" applyFill="1" applyBorder="1" applyAlignment="1" applyProtection="1">
      <alignment vertical="center"/>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37" fontId="3" fillId="3" borderId="0" xfId="0" applyNumberFormat="1" applyFont="1" applyFill="1" applyBorder="1" applyAlignment="1" applyProtection="1">
      <alignment vertical="center"/>
    </xf>
    <xf numFmtId="0" fontId="3" fillId="3" borderId="0" xfId="0" applyFont="1" applyFill="1" applyAlignment="1" applyProtection="1">
      <alignment horizontal="left"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164" fontId="3" fillId="7" borderId="3"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165" fontId="3" fillId="4" borderId="0" xfId="0" applyNumberFormat="1" applyFont="1" applyFill="1" applyAlignment="1" applyProtection="1">
      <alignment vertical="center"/>
      <protection locked="0"/>
    </xf>
    <xf numFmtId="0" fontId="5" fillId="0" borderId="0" xfId="0" applyFont="1" applyAlignment="1">
      <alignment vertical="center"/>
    </xf>
    <xf numFmtId="0" fontId="3" fillId="0" borderId="0" xfId="0" applyFont="1" applyAlignment="1">
      <alignment vertical="center" wrapText="1"/>
    </xf>
    <xf numFmtId="0" fontId="26" fillId="0" borderId="0" xfId="164" applyFont="1"/>
    <xf numFmtId="0" fontId="9" fillId="0" borderId="0" xfId="164" applyNumberFormat="1" applyFont="1" applyAlignment="1">
      <alignment horizontal="left" vertical="center"/>
    </xf>
    <xf numFmtId="0" fontId="3" fillId="0" borderId="0" xfId="164" applyFont="1" applyAlignment="1">
      <alignment horizontal="left" vertical="center"/>
    </xf>
    <xf numFmtId="49" fontId="3" fillId="2" borderId="0" xfId="164" applyNumberFormat="1" applyFont="1" applyFill="1" applyAlignment="1" applyProtection="1">
      <alignment horizontal="left" vertical="center"/>
      <protection locked="0"/>
    </xf>
    <xf numFmtId="174" fontId="23" fillId="0" borderId="0" xfId="164" applyNumberFormat="1" applyFont="1" applyAlignment="1">
      <alignment horizontal="left" vertical="center"/>
    </xf>
    <xf numFmtId="49" fontId="3" fillId="0" borderId="0" xfId="164" applyNumberFormat="1" applyFont="1" applyAlignment="1">
      <alignment horizontal="left" vertical="center"/>
    </xf>
    <xf numFmtId="0" fontId="23" fillId="0" borderId="0" xfId="164" applyFont="1" applyAlignment="1">
      <alignment horizontal="left" vertical="center"/>
    </xf>
    <xf numFmtId="175" fontId="23" fillId="0" borderId="0" xfId="164" applyNumberFormat="1" applyFont="1" applyAlignment="1">
      <alignment horizontal="left" vertical="center"/>
    </xf>
    <xf numFmtId="0" fontId="3" fillId="2" borderId="0" xfId="164" applyFont="1" applyFill="1" applyAlignment="1" applyProtection="1">
      <alignment horizontal="left" vertical="center"/>
      <protection locked="0"/>
    </xf>
    <xf numFmtId="0" fontId="26" fillId="2" borderId="0" xfId="164" applyFont="1" applyFill="1" applyAlignment="1" applyProtection="1">
      <alignment horizontal="left" vertical="center"/>
      <protection locked="0"/>
    </xf>
    <xf numFmtId="0" fontId="2" fillId="0" borderId="0" xfId="64" applyFont="1"/>
    <xf numFmtId="0" fontId="2" fillId="0" borderId="0" xfId="64" applyFont="1" applyFill="1"/>
    <xf numFmtId="0" fontId="0" fillId="0" borderId="0" xfId="0" applyAlignment="1"/>
    <xf numFmtId="0" fontId="5" fillId="0" borderId="0" xfId="44" applyFont="1" applyAlignment="1">
      <alignment vertical="center"/>
    </xf>
    <xf numFmtId="0" fontId="3" fillId="0" borderId="0" xfId="48" applyFont="1" applyAlignment="1">
      <alignment vertical="center"/>
    </xf>
    <xf numFmtId="0" fontId="19" fillId="0" borderId="0" xfId="0" applyFont="1" applyAlignment="1">
      <alignment horizontal="center"/>
    </xf>
    <xf numFmtId="0" fontId="2" fillId="0" borderId="0" xfId="0" applyFont="1"/>
    <xf numFmtId="0" fontId="27" fillId="0" borderId="0" xfId="0" applyFont="1"/>
    <xf numFmtId="0" fontId="27" fillId="0" borderId="0" xfId="0" applyFont="1" applyAlignment="1"/>
    <xf numFmtId="0" fontId="2" fillId="0" borderId="0" xfId="0" quotePrefix="1" applyFont="1"/>
    <xf numFmtId="0" fontId="2" fillId="0" borderId="0" xfId="0" applyFont="1" applyAlignment="1"/>
    <xf numFmtId="0" fontId="27" fillId="0" borderId="0" xfId="0" applyFont="1" applyAlignment="1">
      <alignment horizontal="center"/>
    </xf>
    <xf numFmtId="0" fontId="5" fillId="0" borderId="0" xfId="43" applyFont="1" applyAlignment="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4" borderId="12" xfId="0" applyNumberFormat="1" applyFont="1" applyFill="1" applyBorder="1" applyAlignment="1" applyProtection="1">
      <alignment vertical="center"/>
      <protection locked="0"/>
    </xf>
    <xf numFmtId="3" fontId="3" fillId="3" borderId="12" xfId="0" applyNumberFormat="1" applyFont="1" applyFill="1" applyBorder="1" applyAlignment="1" applyProtection="1">
      <alignment vertical="center"/>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0" fontId="3" fillId="4" borderId="3" xfId="0" applyFont="1" applyFill="1" applyBorder="1" applyAlignment="1" applyProtection="1">
      <alignment horizontal="center" vertical="center"/>
      <protection locked="0"/>
    </xf>
    <xf numFmtId="173"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170" fontId="3" fillId="7" borderId="4" xfId="0" applyNumberFormat="1" applyFont="1" applyFill="1" applyBorder="1" applyAlignment="1" applyProtection="1">
      <alignment vertical="center"/>
    </xf>
    <xf numFmtId="0" fontId="21" fillId="10" borderId="12"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3" fillId="12" borderId="0" xfId="0" applyFont="1" applyFill="1" applyBorder="1" applyAlignment="1">
      <alignment horizontal="center" vertical="center" shrinkToFit="1"/>
    </xf>
    <xf numFmtId="0" fontId="3" fillId="13" borderId="1" xfId="0" applyFont="1" applyFill="1" applyBorder="1" applyAlignment="1" applyProtection="1">
      <alignment vertical="center"/>
    </xf>
    <xf numFmtId="0" fontId="3" fillId="13" borderId="2" xfId="0" applyFont="1" applyFill="1" applyBorder="1" applyAlignment="1" applyProtection="1">
      <alignment horizontal="right" vertical="center"/>
    </xf>
    <xf numFmtId="0" fontId="3" fillId="13" borderId="2"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3" fillId="3" borderId="9" xfId="0" applyFont="1" applyFill="1" applyBorder="1" applyAlignment="1" applyProtection="1">
      <alignment vertical="center"/>
    </xf>
    <xf numFmtId="0" fontId="0" fillId="3" borderId="9" xfId="0" applyFill="1" applyBorder="1" applyAlignment="1">
      <alignment horizontal="center" vertical="center"/>
    </xf>
    <xf numFmtId="0" fontId="0" fillId="3" borderId="1" xfId="0" applyFill="1" applyBorder="1" applyAlignment="1">
      <alignment horizontal="center" vertical="center" wrapText="1"/>
    </xf>
    <xf numFmtId="0" fontId="3" fillId="13" borderId="2" xfId="0" applyFont="1" applyFill="1" applyBorder="1" applyAlignment="1" applyProtection="1">
      <alignment vertical="center"/>
      <protection locked="0"/>
    </xf>
    <xf numFmtId="0" fontId="3" fillId="3" borderId="1" xfId="0" applyFont="1" applyFill="1" applyBorder="1" applyAlignment="1">
      <alignment vertical="center"/>
    </xf>
    <xf numFmtId="0" fontId="3" fillId="13" borderId="2" xfId="0" applyFont="1" applyFill="1" applyBorder="1" applyAlignment="1" applyProtection="1">
      <alignment horizontal="left" vertical="center"/>
    </xf>
    <xf numFmtId="0" fontId="3" fillId="12" borderId="0" xfId="0" applyFont="1" applyFill="1" applyBorder="1" applyAlignment="1" applyProtection="1">
      <alignment horizontal="left" vertical="center"/>
      <protection locked="0"/>
    </xf>
    <xf numFmtId="0" fontId="3" fillId="3" borderId="1" xfId="0" applyFont="1" applyFill="1" applyBorder="1" applyAlignment="1" applyProtection="1">
      <alignment vertical="center"/>
      <protection locked="0"/>
    </xf>
    <xf numFmtId="3" fontId="3" fillId="14" borderId="1" xfId="0" applyNumberFormat="1" applyFont="1" applyFill="1" applyBorder="1" applyAlignment="1" applyProtection="1">
      <alignment vertical="center"/>
    </xf>
    <xf numFmtId="0" fontId="4" fillId="3" borderId="0" xfId="177" applyFont="1" applyFill="1" applyAlignment="1" applyProtection="1">
      <alignment vertical="center"/>
    </xf>
    <xf numFmtId="0" fontId="4" fillId="3" borderId="0" xfId="0" applyFont="1" applyFill="1" applyBorder="1" applyAlignment="1" applyProtection="1">
      <alignment vertical="center"/>
    </xf>
    <xf numFmtId="3" fontId="21" fillId="10" borderId="3" xfId="0" applyNumberFormat="1" applyFont="1" applyFill="1" applyBorder="1" applyAlignment="1" applyProtection="1">
      <alignment horizontal="center" vertical="center"/>
    </xf>
    <xf numFmtId="0" fontId="3" fillId="12" borderId="16" xfId="0" applyFont="1" applyFill="1" applyBorder="1" applyAlignment="1" applyProtection="1">
      <alignment vertical="center"/>
    </xf>
    <xf numFmtId="0" fontId="3" fillId="12" borderId="0" xfId="0" applyFont="1" applyFill="1" applyBorder="1" applyAlignment="1" applyProtection="1">
      <alignment vertical="center"/>
    </xf>
    <xf numFmtId="0" fontId="3" fillId="12" borderId="11" xfId="0" applyFont="1" applyFill="1" applyBorder="1" applyAlignment="1" applyProtection="1">
      <alignment vertical="center"/>
    </xf>
    <xf numFmtId="176" fontId="7" fillId="12" borderId="16" xfId="0" applyNumberFormat="1" applyFont="1" applyFill="1" applyBorder="1" applyAlignment="1" applyProtection="1">
      <alignment horizontal="center" vertical="center"/>
    </xf>
    <xf numFmtId="0" fontId="7" fillId="12" borderId="0" xfId="0" applyFont="1" applyFill="1" applyBorder="1" applyAlignment="1" applyProtection="1">
      <alignment horizontal="left" vertical="center"/>
    </xf>
    <xf numFmtId="0" fontId="7" fillId="12" borderId="0" xfId="0" applyFont="1" applyFill="1" applyBorder="1" applyAlignment="1" applyProtection="1">
      <alignment vertical="center"/>
    </xf>
    <xf numFmtId="176" fontId="7" fillId="12" borderId="13" xfId="0" applyNumberFormat="1" applyFont="1" applyFill="1" applyBorder="1" applyAlignment="1" applyProtection="1">
      <alignment horizontal="center" vertical="center"/>
    </xf>
    <xf numFmtId="176" fontId="7" fillId="12" borderId="16" xfId="0" applyNumberFormat="1" applyFont="1" applyFill="1" applyBorder="1" applyAlignment="1" applyProtection="1">
      <alignment vertical="center"/>
    </xf>
    <xf numFmtId="176" fontId="34" fillId="15" borderId="13" xfId="0" applyNumberFormat="1" applyFont="1" applyFill="1" applyBorder="1" applyAlignment="1" applyProtection="1">
      <alignment horizontal="center" vertical="center"/>
    </xf>
    <xf numFmtId="0" fontId="34" fillId="15" borderId="1" xfId="0" applyFont="1" applyFill="1" applyBorder="1" applyAlignment="1" applyProtection="1">
      <alignment vertical="center"/>
    </xf>
    <xf numFmtId="0" fontId="7" fillId="15" borderId="1" xfId="0" applyFont="1" applyFill="1" applyBorder="1" applyAlignment="1" applyProtection="1">
      <alignment vertical="center"/>
    </xf>
    <xf numFmtId="0" fontId="3" fillId="15" borderId="6" xfId="0" applyFont="1" applyFill="1" applyBorder="1" applyAlignment="1" applyProtection="1">
      <alignment vertical="center"/>
    </xf>
    <xf numFmtId="37" fontId="3" fillId="3" borderId="3" xfId="0" applyNumberFormat="1" applyFont="1" applyFill="1" applyBorder="1" applyAlignment="1" applyProtection="1">
      <alignment horizontal="center" vertical="center"/>
    </xf>
    <xf numFmtId="173" fontId="34" fillId="12" borderId="12" xfId="0" applyNumberFormat="1"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0" fontId="32" fillId="12" borderId="2" xfId="0" applyFont="1" applyFill="1" applyBorder="1" applyAlignment="1" applyProtection="1">
      <alignment horizontal="center" vertical="center"/>
    </xf>
    <xf numFmtId="0" fontId="0" fillId="12" borderId="8" xfId="0" applyFill="1" applyBorder="1" applyAlignment="1" applyProtection="1">
      <alignment vertical="center"/>
    </xf>
    <xf numFmtId="0" fontId="35" fillId="3" borderId="0" xfId="0" applyFont="1" applyFill="1" applyAlignment="1" applyProtection="1">
      <alignment horizontal="center" vertical="center"/>
    </xf>
    <xf numFmtId="0" fontId="3" fillId="0" borderId="0" xfId="0" applyFont="1" applyFill="1" applyBorder="1" applyAlignment="1" applyProtection="1">
      <alignment vertical="center"/>
    </xf>
    <xf numFmtId="0" fontId="36" fillId="3" borderId="0" xfId="4" applyFont="1" applyFill="1" applyAlignment="1" applyProtection="1">
      <alignment horizontal="center" vertical="center"/>
    </xf>
    <xf numFmtId="37" fontId="3" fillId="3" borderId="0" xfId="4" applyNumberFormat="1" applyFont="1" applyFill="1" applyAlignment="1" applyProtection="1">
      <alignment horizontal="right" vertical="center"/>
    </xf>
    <xf numFmtId="0" fontId="3" fillId="3" borderId="0" xfId="15" applyFont="1" applyFill="1" applyAlignment="1" applyProtection="1">
      <alignment horizontal="right" vertical="center"/>
    </xf>
    <xf numFmtId="173" fontId="3" fillId="3" borderId="0" xfId="4" applyNumberFormat="1" applyFont="1" applyFill="1" applyAlignment="1" applyProtection="1">
      <alignment horizontal="center" vertical="center"/>
    </xf>
    <xf numFmtId="0" fontId="7" fillId="12" borderId="16" xfId="0" applyFont="1" applyFill="1" applyBorder="1" applyAlignment="1" applyProtection="1">
      <alignment vertical="center"/>
    </xf>
    <xf numFmtId="176" fontId="7" fillId="12" borderId="11" xfId="0" applyNumberFormat="1" applyFont="1" applyFill="1" applyBorder="1" applyAlignment="1" applyProtection="1">
      <alignment horizontal="center" vertical="center"/>
    </xf>
    <xf numFmtId="0" fontId="7" fillId="12" borderId="16" xfId="0" applyFont="1" applyFill="1" applyBorder="1" applyAlignment="1" applyProtection="1">
      <alignment horizontal="left" vertical="center"/>
    </xf>
    <xf numFmtId="176" fontId="7" fillId="13" borderId="3" xfId="0" applyNumberFormat="1" applyFont="1" applyFill="1" applyBorder="1" applyAlignment="1" applyProtection="1">
      <alignment horizontal="center" vertical="center"/>
      <protection locked="0"/>
    </xf>
    <xf numFmtId="0" fontId="34" fillId="12" borderId="6" xfId="0" applyFont="1" applyFill="1" applyBorder="1" applyAlignment="1" applyProtection="1">
      <alignment horizontal="center" vertical="center"/>
    </xf>
    <xf numFmtId="0" fontId="34" fillId="15" borderId="13" xfId="0" applyFont="1" applyFill="1" applyBorder="1" applyAlignment="1" applyProtection="1">
      <alignment vertical="center"/>
    </xf>
    <xf numFmtId="0" fontId="3" fillId="15" borderId="1" xfId="0" applyFont="1" applyFill="1" applyBorder="1" applyAlignment="1" applyProtection="1">
      <alignment vertical="center"/>
    </xf>
    <xf numFmtId="176" fontId="34" fillId="15" borderId="6" xfId="0" applyNumberFormat="1" applyFont="1" applyFill="1" applyBorder="1" applyAlignment="1" applyProtection="1">
      <alignment horizontal="center" vertical="center"/>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164" applyFont="1" applyAlignment="1">
      <alignment horizontal="left" vertical="center" wrapText="1"/>
    </xf>
    <xf numFmtId="0" fontId="26" fillId="0" borderId="0" xfId="164" applyFont="1" applyAlignment="1">
      <alignment horizontal="left" vertical="center" wrapText="1"/>
    </xf>
    <xf numFmtId="0" fontId="17" fillId="0" borderId="0" xfId="164" applyFont="1" applyAlignment="1">
      <alignment horizontal="left" vertical="center"/>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2" fillId="12" borderId="14" xfId="0" applyFont="1" applyFill="1" applyBorder="1" applyAlignment="1" applyProtection="1">
      <alignment horizontal="center" vertical="center"/>
    </xf>
    <xf numFmtId="0" fontId="33" fillId="0" borderId="9" xfId="0" applyFont="1" applyBorder="1" applyAlignment="1" applyProtection="1">
      <alignment horizontal="center" vertical="center"/>
    </xf>
    <xf numFmtId="0" fontId="0" fillId="0" borderId="15" xfId="0" applyBorder="1" applyAlignment="1" applyProtection="1">
      <alignment vertical="center"/>
    </xf>
    <xf numFmtId="3" fontId="3" fillId="3" borderId="9" xfId="15" applyNumberFormat="1" applyFont="1" applyFill="1" applyBorder="1" applyAlignment="1" applyProtection="1">
      <alignment horizontal="right" vertical="center"/>
    </xf>
    <xf numFmtId="0" fontId="2" fillId="0" borderId="15" xfId="15" applyBorder="1" applyAlignment="1">
      <alignment horizontal="right" vertical="center"/>
    </xf>
    <xf numFmtId="0" fontId="3" fillId="3" borderId="0" xfId="15" applyFont="1" applyFill="1" applyAlignment="1" applyProtection="1">
      <alignment horizontal="right" vertical="center"/>
    </xf>
    <xf numFmtId="0" fontId="3" fillId="0" borderId="11" xfId="15" applyFont="1" applyBorder="1" applyAlignment="1">
      <alignment horizontal="right" vertical="center"/>
    </xf>
    <xf numFmtId="0" fontId="32" fillId="12" borderId="9" xfId="0" applyFont="1" applyFill="1" applyBorder="1" applyAlignment="1" applyProtection="1">
      <alignment horizontal="center" vertical="center"/>
    </xf>
    <xf numFmtId="0" fontId="3" fillId="3" borderId="0" xfId="2" applyNumberFormat="1" applyFont="1" applyFill="1" applyBorder="1" applyAlignment="1" applyProtection="1">
      <alignment horizontal="right" vertical="center"/>
    </xf>
    <xf numFmtId="0" fontId="3" fillId="0" borderId="0" xfId="2" applyFont="1" applyAlignment="1" applyProtection="1">
      <alignment horizontal="righ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0" fontId="6" fillId="0" borderId="0" xfId="176"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0" fillId="0" borderId="0" xfId="0" applyAlignment="1">
      <alignment vertical="top" wrapText="1"/>
    </xf>
  </cellXfs>
  <cellStyles count="178">
    <cellStyle name="Comma" xfId="1" builtinId="3"/>
    <cellStyle name="Hyperlink" xfId="2" builtinId="8"/>
    <cellStyle name="Normal" xfId="0" builtinId="0"/>
    <cellStyle name="Normal 10" xfId="3"/>
    <cellStyle name="Normal 10 2" xfId="4"/>
    <cellStyle name="Normal 10 3" xfId="5"/>
    <cellStyle name="Normal 10 4" xfId="6"/>
    <cellStyle name="Normal 10 5" xfId="177"/>
    <cellStyle name="Normal 11" xfId="7"/>
    <cellStyle name="Normal 11 2" xfId="8"/>
    <cellStyle name="Normal 11 3" xfId="9"/>
    <cellStyle name="Normal 11 4" xfId="10"/>
    <cellStyle name="Normal 12" xfId="11"/>
    <cellStyle name="Normal 12 10" xfId="12"/>
    <cellStyle name="Normal 12 11" xfId="13"/>
    <cellStyle name="Normal 12 12" xfId="14"/>
    <cellStyle name="Normal 12 2" xfId="15"/>
    <cellStyle name="Normal 12 3" xfId="16"/>
    <cellStyle name="Normal 12 4" xfId="17"/>
    <cellStyle name="Normal 12 5" xfId="18"/>
    <cellStyle name="Normal 12 6" xfId="19"/>
    <cellStyle name="Normal 12 7" xfId="20"/>
    <cellStyle name="Normal 12 8" xfId="21"/>
    <cellStyle name="Normal 12 9" xfId="22"/>
    <cellStyle name="Normal 13" xfId="23"/>
    <cellStyle name="Normal 13 10" xfId="24"/>
    <cellStyle name="Normal 13 11" xfId="25"/>
    <cellStyle name="Normal 13 12" xfId="26"/>
    <cellStyle name="Normal 13 2" xfId="27"/>
    <cellStyle name="Normal 13 3" xfId="28"/>
    <cellStyle name="Normal 13 4" xfId="29"/>
    <cellStyle name="Normal 13 5" xfId="30"/>
    <cellStyle name="Normal 13 6" xfId="31"/>
    <cellStyle name="Normal 13 7" xfId="32"/>
    <cellStyle name="Normal 13 8" xfId="33"/>
    <cellStyle name="Normal 13 9" xfId="34"/>
    <cellStyle name="Normal 14" xfId="35"/>
    <cellStyle name="Normal 14 2" xfId="36"/>
    <cellStyle name="Normal 14 3" xfId="37"/>
    <cellStyle name="Normal 14 4" xfId="38"/>
    <cellStyle name="Normal 15" xfId="39"/>
    <cellStyle name="Normal 15 2" xfId="40"/>
    <cellStyle name="Normal 15 3" xfId="41"/>
    <cellStyle name="Normal 15 4" xfId="42"/>
    <cellStyle name="Normal 16" xfId="43"/>
    <cellStyle name="Normal 16 2" xfId="44"/>
    <cellStyle name="Normal 16 3" xfId="45"/>
    <cellStyle name="Normal 16 4" xfId="46"/>
    <cellStyle name="Normal 17" xfId="47"/>
    <cellStyle name="Normal 17 2" xfId="48"/>
    <cellStyle name="Normal 17 3" xfId="49"/>
    <cellStyle name="Normal 17 4" xfId="50"/>
    <cellStyle name="Normal 2 10" xfId="51"/>
    <cellStyle name="Normal 2 11" xfId="52"/>
    <cellStyle name="Normal 2 12" xfId="53"/>
    <cellStyle name="Normal 2 13" xfId="54"/>
    <cellStyle name="Normal 2 14" xfId="55"/>
    <cellStyle name="Normal 2 15" xfId="56"/>
    <cellStyle name="Normal 2 16" xfId="57"/>
    <cellStyle name="Normal 2 2" xfId="58"/>
    <cellStyle name="Normal 2 2 10" xfId="59"/>
    <cellStyle name="Normal 2 2 11" xfId="60"/>
    <cellStyle name="Normal 2 2 12" xfId="61"/>
    <cellStyle name="Normal 2 2 13" xfId="62"/>
    <cellStyle name="Normal 2 2 2" xfId="63"/>
    <cellStyle name="Normal 2 2 2 2" xfId="64"/>
    <cellStyle name="Normal 2 2 2 3" xfId="65"/>
    <cellStyle name="Normal 2 2 2 4" xfId="66"/>
    <cellStyle name="Normal 2 2 3" xfId="67"/>
    <cellStyle name="Normal 2 2 4" xfId="68"/>
    <cellStyle name="Normal 2 2 5" xfId="69"/>
    <cellStyle name="Normal 2 2 6" xfId="70"/>
    <cellStyle name="Normal 2 2 7" xfId="71"/>
    <cellStyle name="Normal 2 2 8" xfId="72"/>
    <cellStyle name="Normal 2 2 9" xfId="73"/>
    <cellStyle name="Normal 2 3" xfId="74"/>
    <cellStyle name="Normal 2 3 10" xfId="75"/>
    <cellStyle name="Normal 2 3 11" xfId="76"/>
    <cellStyle name="Normal 2 3 12" xfId="77"/>
    <cellStyle name="Normal 2 3 13" xfId="78"/>
    <cellStyle name="Normal 2 3 14" xfId="79"/>
    <cellStyle name="Normal 2 3 15" xfId="80"/>
    <cellStyle name="Normal 2 3 2" xfId="81"/>
    <cellStyle name="Normal 2 3 2 2" xfId="82"/>
    <cellStyle name="Normal 2 3 2 3" xfId="83"/>
    <cellStyle name="Normal 2 3 2 4" xfId="84"/>
    <cellStyle name="Normal 2 3 3" xfId="85"/>
    <cellStyle name="Normal 2 3 4" xfId="86"/>
    <cellStyle name="Normal 2 3 5" xfId="87"/>
    <cellStyle name="Normal 2 3 6" xfId="88"/>
    <cellStyle name="Normal 2 3 7" xfId="89"/>
    <cellStyle name="Normal 2 3 8" xfId="90"/>
    <cellStyle name="Normal 2 3 9" xfId="91"/>
    <cellStyle name="Normal 2 4" xfId="92"/>
    <cellStyle name="Normal 2 4 10" xfId="93"/>
    <cellStyle name="Normal 2 4 11" xfId="94"/>
    <cellStyle name="Normal 2 4 12" xfId="95"/>
    <cellStyle name="Normal 2 4 13" xfId="96"/>
    <cellStyle name="Normal 2 4 2" xfId="97"/>
    <cellStyle name="Normal 2 4 2 2" xfId="98"/>
    <cellStyle name="Normal 2 4 2 3" xfId="99"/>
    <cellStyle name="Normal 2 4 2 4" xfId="100"/>
    <cellStyle name="Normal 2 4 3" xfId="101"/>
    <cellStyle name="Normal 2 4 4" xfId="102"/>
    <cellStyle name="Normal 2 4 5" xfId="103"/>
    <cellStyle name="Normal 2 4 6" xfId="104"/>
    <cellStyle name="Normal 2 4 7" xfId="105"/>
    <cellStyle name="Normal 2 4 8" xfId="106"/>
    <cellStyle name="Normal 2 4 9" xfId="107"/>
    <cellStyle name="Normal 2 5" xfId="108"/>
    <cellStyle name="Normal 2 5 10" xfId="109"/>
    <cellStyle name="Normal 2 5 11" xfId="110"/>
    <cellStyle name="Normal 2 5 12" xfId="111"/>
    <cellStyle name="Normal 2 5 2" xfId="112"/>
    <cellStyle name="Normal 2 5 3" xfId="113"/>
    <cellStyle name="Normal 2 5 4" xfId="114"/>
    <cellStyle name="Normal 2 5 5" xfId="115"/>
    <cellStyle name="Normal 2 5 6" xfId="116"/>
    <cellStyle name="Normal 2 5 7" xfId="117"/>
    <cellStyle name="Normal 2 5 8" xfId="118"/>
    <cellStyle name="Normal 2 5 9" xfId="119"/>
    <cellStyle name="Normal 2 6" xfId="120"/>
    <cellStyle name="Normal 2 6 10" xfId="121"/>
    <cellStyle name="Normal 2 6 2" xfId="122"/>
    <cellStyle name="Normal 2 6 3" xfId="123"/>
    <cellStyle name="Normal 2 6 4" xfId="124"/>
    <cellStyle name="Normal 2 6 5" xfId="125"/>
    <cellStyle name="Normal 2 6 6" xfId="126"/>
    <cellStyle name="Normal 2 6 7" xfId="127"/>
    <cellStyle name="Normal 2 6 8" xfId="128"/>
    <cellStyle name="Normal 2 6 9" xfId="129"/>
    <cellStyle name="Normal 2 7" xfId="130"/>
    <cellStyle name="Normal 2 7 2" xfId="131"/>
    <cellStyle name="Normal 2 7 3" xfId="132"/>
    <cellStyle name="Normal 2 7 4" xfId="133"/>
    <cellStyle name="Normal 2 7 5" xfId="134"/>
    <cellStyle name="Normal 2 8" xfId="135"/>
    <cellStyle name="Normal 2 9" xfId="136"/>
    <cellStyle name="Normal 3 2" xfId="137"/>
    <cellStyle name="Normal 3 2 2" xfId="138"/>
    <cellStyle name="Normal 3 2 3" xfId="139"/>
    <cellStyle name="Normal 3 2 4" xfId="140"/>
    <cellStyle name="Normal 3 3" xfId="141"/>
    <cellStyle name="Normal 3 3 2" xfId="142"/>
    <cellStyle name="Normal 3 3 3" xfId="143"/>
    <cellStyle name="Normal 3 4" xfId="144"/>
    <cellStyle name="Normal 3 5" xfId="145"/>
    <cellStyle name="Normal 3 6" xfId="146"/>
    <cellStyle name="Normal 3 7" xfId="147"/>
    <cellStyle name="Normal 3 8" xfId="148"/>
    <cellStyle name="Normal 3 9" xfId="149"/>
    <cellStyle name="Normal 4 2" xfId="150"/>
    <cellStyle name="Normal 4 2 2" xfId="151"/>
    <cellStyle name="Normal 4 2 3" xfId="152"/>
    <cellStyle name="Normal 4 2 4" xfId="153"/>
    <cellStyle name="Normal 4 3" xfId="154"/>
    <cellStyle name="Normal 4 4" xfId="155"/>
    <cellStyle name="Normal 4 5" xfId="156"/>
    <cellStyle name="Normal 4 6" xfId="157"/>
    <cellStyle name="Normal 5 2" xfId="158"/>
    <cellStyle name="Normal 5 3" xfId="159"/>
    <cellStyle name="Normal 5 4" xfId="160"/>
    <cellStyle name="Normal 6 2" xfId="161"/>
    <cellStyle name="Normal 6 3" xfId="162"/>
    <cellStyle name="Normal 6 4" xfId="163"/>
    <cellStyle name="Normal 7" xfId="164"/>
    <cellStyle name="Normal 7 2" xfId="165"/>
    <cellStyle name="Normal 7 2 2" xfId="166"/>
    <cellStyle name="Normal 7 2 3" xfId="167"/>
    <cellStyle name="Normal 7 3" xfId="168"/>
    <cellStyle name="Normal 7 4" xfId="169"/>
    <cellStyle name="Normal 7 5" xfId="170"/>
    <cellStyle name="Normal 8" xfId="171"/>
    <cellStyle name="Normal 9" xfId="172"/>
    <cellStyle name="Normal 9 2" xfId="173"/>
    <cellStyle name="Normal 9 3" xfId="174"/>
    <cellStyle name="Normal 9 4" xfId="175"/>
    <cellStyle name="Normal_Township 07" xfId="176"/>
  </cellStyles>
  <dxfs count="44">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476250</xdr:colOff>
      <xdr:row>58</xdr:row>
      <xdr:rowOff>95250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8096250" cy="11144250"/>
        </a:xfrm>
        <a:prstGeom prst="rect">
          <a:avLst/>
        </a:prstGeom>
        <a:noFill/>
      </xdr:spPr>
    </xdr:pic>
    <xdr:clientData/>
  </xdr:twoCellAnchor>
  <xdr:twoCellAnchor editAs="oneCell">
    <xdr:from>
      <xdr:col>0</xdr:col>
      <xdr:colOff>152400</xdr:colOff>
      <xdr:row>0</xdr:row>
      <xdr:rowOff>152400</xdr:rowOff>
    </xdr:from>
    <xdr:to>
      <xdr:col>10</xdr:col>
      <xdr:colOff>628650</xdr:colOff>
      <xdr:row>59</xdr:row>
      <xdr:rowOff>57150</xdr:rowOff>
    </xdr:to>
    <xdr:pic>
      <xdr:nvPicPr>
        <xdr:cNvPr id="3" name="Picture 2"/>
        <xdr:cNvPicPr>
          <a:picLocks noChangeAspect="1" noChangeArrowheads="1"/>
        </xdr:cNvPicPr>
      </xdr:nvPicPr>
      <xdr:blipFill>
        <a:blip xmlns:r="http://schemas.openxmlformats.org/officeDocument/2006/relationships" r:embed="rId2"/>
        <a:srcRect/>
        <a:stretch>
          <a:fillRect/>
        </a:stretch>
      </xdr:blipFill>
      <xdr:spPr bwMode="auto">
        <a:xfrm>
          <a:off x="152400" y="152400"/>
          <a:ext cx="8096250" cy="11144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476250</xdr:colOff>
      <xdr:row>58</xdr:row>
      <xdr:rowOff>95250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8096250" cy="11144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20Budgets/Elk%20Falls%20Cemeter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PrYr"/>
      <sheetName val="inputOth"/>
      <sheetName val="cert"/>
      <sheetName val="Pub"/>
      <sheetName val="computation"/>
      <sheetName val="mvalloc"/>
      <sheetName val="gen"/>
      <sheetName val="summ"/>
      <sheetName val="Signed Cert"/>
    </sheetNames>
    <sheetDataSet>
      <sheetData sheetId="0">
        <row r="3">
          <cell r="D3" t="str">
            <v>ELK FALLS CEMETERY</v>
          </cell>
        </row>
        <row r="4">
          <cell r="D4" t="str">
            <v>ELK COUNTY</v>
          </cell>
        </row>
        <row r="6">
          <cell r="D6">
            <v>2012</v>
          </cell>
        </row>
        <row r="19">
          <cell r="B19" t="str">
            <v>General</v>
          </cell>
          <cell r="D19">
            <v>16590</v>
          </cell>
          <cell r="E19">
            <v>8319</v>
          </cell>
        </row>
        <row r="20">
          <cell r="B20" t="str">
            <v>Debt Service</v>
          </cell>
        </row>
        <row r="24">
          <cell r="E24">
            <v>8319</v>
          </cell>
        </row>
      </sheetData>
      <sheetData sheetId="1">
        <row r="7">
          <cell r="E7">
            <v>1586585</v>
          </cell>
        </row>
        <row r="8">
          <cell r="E8">
            <v>4461</v>
          </cell>
        </row>
        <row r="9">
          <cell r="E9">
            <v>18335</v>
          </cell>
        </row>
        <row r="10">
          <cell r="E10">
            <v>3093</v>
          </cell>
        </row>
        <row r="11">
          <cell r="E11">
            <v>212855</v>
          </cell>
        </row>
        <row r="42">
          <cell r="B42">
            <v>15740</v>
          </cell>
        </row>
      </sheetData>
      <sheetData sheetId="2"/>
      <sheetData sheetId="3"/>
      <sheetData sheetId="4">
        <row r="34">
          <cell r="J34">
            <v>8359</v>
          </cell>
        </row>
      </sheetData>
      <sheetData sheetId="5">
        <row r="11">
          <cell r="D11">
            <v>1078</v>
          </cell>
          <cell r="E11">
            <v>16</v>
          </cell>
          <cell r="F11">
            <v>104</v>
          </cell>
          <cell r="G11">
            <v>0</v>
          </cell>
        </row>
      </sheetData>
      <sheetData sheetId="6">
        <row r="57">
          <cell r="E57">
            <v>7480</v>
          </cell>
        </row>
      </sheetData>
      <sheetData sheetId="7">
        <row r="36">
          <cell r="E36">
            <v>5</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E52"/>
  <sheetViews>
    <sheetView workbookViewId="0">
      <selection sqref="A1:XFD54"/>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287" t="s">
        <v>233</v>
      </c>
      <c r="B1" s="288"/>
      <c r="C1" s="288"/>
      <c r="D1" s="288"/>
      <c r="E1" s="288"/>
    </row>
    <row r="2" spans="1:5">
      <c r="A2" s="17"/>
      <c r="B2" s="18"/>
      <c r="C2" s="18"/>
      <c r="D2" s="18"/>
      <c r="E2" s="18"/>
    </row>
    <row r="3" spans="1:5">
      <c r="A3" s="19" t="s">
        <v>325</v>
      </c>
      <c r="B3" s="18"/>
      <c r="C3" s="18"/>
      <c r="D3" s="20" t="s">
        <v>440</v>
      </c>
      <c r="E3" s="21"/>
    </row>
    <row r="4" spans="1:5">
      <c r="A4" s="19" t="s">
        <v>393</v>
      </c>
      <c r="B4" s="18"/>
      <c r="C4" s="18"/>
      <c r="D4" s="22" t="s">
        <v>441</v>
      </c>
      <c r="E4" s="21"/>
    </row>
    <row r="5" spans="1:5">
      <c r="A5" s="17"/>
      <c r="B5" s="18"/>
      <c r="C5" s="18"/>
      <c r="D5" s="23"/>
      <c r="E5" s="21"/>
    </row>
    <row r="6" spans="1:5">
      <c r="A6" s="19" t="s">
        <v>337</v>
      </c>
      <c r="B6" s="18"/>
      <c r="C6" s="18"/>
      <c r="D6" s="24">
        <v>2012</v>
      </c>
      <c r="E6" s="21"/>
    </row>
    <row r="7" spans="1:5">
      <c r="A7" s="18"/>
      <c r="B7" s="18"/>
      <c r="C7" s="18"/>
      <c r="D7" s="18"/>
      <c r="E7" s="18"/>
    </row>
    <row r="8" spans="1:5">
      <c r="A8" s="289" t="s">
        <v>377</v>
      </c>
      <c r="B8" s="290"/>
      <c r="C8" s="290"/>
      <c r="D8" s="290"/>
      <c r="E8" s="290"/>
    </row>
    <row r="9" spans="1:5">
      <c r="A9" s="25" t="s">
        <v>281</v>
      </c>
      <c r="B9" s="26"/>
      <c r="C9" s="26"/>
      <c r="D9" s="26"/>
      <c r="E9" s="26"/>
    </row>
    <row r="10" spans="1:5">
      <c r="A10" s="291" t="s">
        <v>376</v>
      </c>
      <c r="B10" s="292"/>
      <c r="C10" s="292"/>
      <c r="D10" s="292"/>
      <c r="E10" s="292"/>
    </row>
    <row r="11" spans="1:5">
      <c r="A11" s="27"/>
      <c r="B11" s="18"/>
      <c r="C11" s="18"/>
      <c r="D11" s="18"/>
      <c r="E11" s="18"/>
    </row>
    <row r="12" spans="1:5">
      <c r="A12" s="285" t="s">
        <v>364</v>
      </c>
      <c r="B12" s="286"/>
      <c r="C12" s="286"/>
      <c r="D12" s="286"/>
      <c r="E12" s="286"/>
    </row>
    <row r="13" spans="1:5">
      <c r="A13" s="27"/>
      <c r="B13" s="18"/>
      <c r="C13" s="18"/>
      <c r="D13" s="18"/>
      <c r="E13" s="18"/>
    </row>
    <row r="14" spans="1:5">
      <c r="A14" s="28" t="s">
        <v>341</v>
      </c>
      <c r="B14" s="29"/>
      <c r="C14" s="18"/>
      <c r="D14" s="18"/>
      <c r="E14" s="18"/>
    </row>
    <row r="15" spans="1:5">
      <c r="A15" s="30" t="str">
        <f>CONCATENATE("the ",D6-1," Budget, Certificate Page:")</f>
        <v>the 2011 Budget, Certificate Page:</v>
      </c>
      <c r="B15" s="31"/>
      <c r="C15" s="18"/>
      <c r="D15" s="18"/>
      <c r="E15" s="18"/>
    </row>
    <row r="16" spans="1:5">
      <c r="A16" s="30" t="s">
        <v>424</v>
      </c>
      <c r="B16" s="31"/>
      <c r="C16" s="18"/>
      <c r="D16" s="18"/>
      <c r="E16" s="18"/>
    </row>
    <row r="17" spans="1:5" ht="15.75" customHeight="1">
      <c r="A17" s="18"/>
      <c r="B17" s="18"/>
      <c r="C17" s="32"/>
      <c r="D17" s="33">
        <f>D6-1</f>
        <v>2011</v>
      </c>
      <c r="E17" s="293" t="str">
        <f>CONCATENATE("Amount of ",D6-2,"     Ad Valorem Tax")</f>
        <v>Amount of 2010     Ad Valorem Tax</v>
      </c>
    </row>
    <row r="18" spans="1:5">
      <c r="A18" s="17" t="s">
        <v>234</v>
      </c>
      <c r="B18" s="18"/>
      <c r="C18" s="32" t="s">
        <v>235</v>
      </c>
      <c r="D18" s="34" t="s">
        <v>442</v>
      </c>
      <c r="E18" s="294"/>
    </row>
    <row r="19" spans="1:5">
      <c r="A19" s="18"/>
      <c r="B19" s="35" t="s">
        <v>236</v>
      </c>
      <c r="C19" s="228"/>
      <c r="D19" s="37">
        <v>16590</v>
      </c>
      <c r="E19" s="37">
        <v>8319</v>
      </c>
    </row>
    <row r="20" spans="1:5">
      <c r="A20" s="18"/>
      <c r="B20" s="35" t="s">
        <v>420</v>
      </c>
      <c r="C20" s="113" t="s">
        <v>343</v>
      </c>
      <c r="D20" s="37"/>
      <c r="E20" s="37"/>
    </row>
    <row r="21" spans="1:5">
      <c r="A21" s="17" t="s">
        <v>237</v>
      </c>
      <c r="B21" s="18"/>
      <c r="C21" s="18"/>
      <c r="D21" s="39"/>
      <c r="E21" s="40"/>
    </row>
    <row r="22" spans="1:5">
      <c r="A22" s="18"/>
      <c r="B22" s="36"/>
      <c r="C22" s="228"/>
      <c r="D22" s="37"/>
      <c r="E22" s="37"/>
    </row>
    <row r="23" spans="1:5">
      <c r="A23" s="18"/>
      <c r="B23" s="36"/>
      <c r="C23" s="228"/>
      <c r="D23" s="37"/>
      <c r="E23" s="37"/>
    </row>
    <row r="24" spans="1:5">
      <c r="A24" s="41" t="str">
        <f>CONCATENATE("Total Ad Valorem Tax for ",D6-1," Budgeted Year")</f>
        <v>Total Ad Valorem Tax for 2011 Budgeted Year</v>
      </c>
      <c r="B24" s="42"/>
      <c r="C24" s="42"/>
      <c r="D24" s="43"/>
      <c r="E24" s="44">
        <f>SUM(E19:E20,E22:E23)</f>
        <v>8319</v>
      </c>
    </row>
    <row r="25" spans="1:5">
      <c r="A25" s="45" t="s">
        <v>238</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2011 Budgeted Year</v>
      </c>
      <c r="B28" s="42"/>
      <c r="C28" s="46"/>
      <c r="D28" s="47">
        <f>SUM(D19:D20,D22:D23,D26:D27)</f>
        <v>16590</v>
      </c>
      <c r="E28" s="39"/>
    </row>
    <row r="29" spans="1:5">
      <c r="A29" s="18" t="s">
        <v>396</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ht="15.75" customHeight="1">
      <c r="A36" s="28" t="s">
        <v>341</v>
      </c>
      <c r="B36" s="29"/>
      <c r="C36" s="18"/>
      <c r="D36" s="283" t="str">
        <f>CONCATENATE("",D6-3," Tax Rate          (",D6-2," Column)")</f>
        <v>2009 Tax Rate          (2010 Column)</v>
      </c>
      <c r="E36" s="39"/>
    </row>
    <row r="37" spans="1:5">
      <c r="A37" s="30" t="str">
        <f>CONCATENATE("the ",D6-1," Budget, Budget Summary Page:")</f>
        <v>the 2011 Budget, Budget Summary Page:</v>
      </c>
      <c r="B37" s="31"/>
      <c r="C37" s="18"/>
      <c r="D37" s="284"/>
      <c r="E37" s="39"/>
    </row>
    <row r="38" spans="1:5">
      <c r="A38" s="18"/>
      <c r="B38" s="38" t="str">
        <f>B19</f>
        <v>General</v>
      </c>
      <c r="C38" s="18"/>
      <c r="D38" s="49">
        <v>4.7309999999999999</v>
      </c>
      <c r="E38" s="39"/>
    </row>
    <row r="39" spans="1:5">
      <c r="A39" s="18"/>
      <c r="B39" s="38" t="str">
        <f>B20</f>
        <v>Debt Service</v>
      </c>
      <c r="C39" s="18"/>
      <c r="D39" s="49"/>
      <c r="E39" s="39"/>
    </row>
    <row r="40" spans="1:5">
      <c r="A40" s="18"/>
      <c r="B40" s="38">
        <f>B22</f>
        <v>0</v>
      </c>
      <c r="C40" s="18"/>
      <c r="D40" s="49"/>
      <c r="E40" s="39"/>
    </row>
    <row r="41" spans="1:5">
      <c r="A41" s="18"/>
      <c r="B41" s="38">
        <f>B23</f>
        <v>0</v>
      </c>
      <c r="C41" s="18"/>
      <c r="D41" s="49"/>
      <c r="E41" s="39"/>
    </row>
    <row r="42" spans="1:5" ht="16.5" thickBot="1">
      <c r="A42" s="17" t="s">
        <v>239</v>
      </c>
      <c r="B42" s="18"/>
      <c r="C42" s="18"/>
      <c r="D42" s="50">
        <f>SUM(D38:D41)</f>
        <v>4.7309999999999999</v>
      </c>
      <c r="E42" s="39"/>
    </row>
    <row r="43" spans="1:5" ht="16.5" thickTop="1">
      <c r="A43" s="18"/>
      <c r="B43" s="18"/>
      <c r="C43" s="18"/>
      <c r="D43" s="18"/>
      <c r="E43" s="39"/>
    </row>
    <row r="44" spans="1:5">
      <c r="A44" s="51" t="str">
        <f>CONCATENATE("Total Tax Levied (",D6-2," budget column)")</f>
        <v>Total Tax Levied (2010 budget column)</v>
      </c>
      <c r="B44" s="29"/>
      <c r="C44" s="18"/>
      <c r="D44" s="18"/>
      <c r="E44" s="52">
        <v>8398</v>
      </c>
    </row>
    <row r="45" spans="1:5">
      <c r="A45" s="51" t="str">
        <f>CONCATENATE("Assessed Valuation (",D6-2," budget column)")</f>
        <v>Assessed Valuation (2010 budget column)</v>
      </c>
      <c r="B45" s="29"/>
      <c r="C45" s="18"/>
      <c r="D45" s="18"/>
      <c r="E45" s="53">
        <v>1775117</v>
      </c>
    </row>
    <row r="46" spans="1:5">
      <c r="A46" s="18"/>
      <c r="B46" s="18"/>
      <c r="C46" s="18"/>
      <c r="D46" s="18"/>
      <c r="E46" s="39"/>
    </row>
    <row r="47" spans="1:5">
      <c r="A47" s="29" t="s">
        <v>378</v>
      </c>
      <c r="B47" s="29"/>
      <c r="C47" s="54"/>
      <c r="D47" s="55">
        <f>D6-3</f>
        <v>2009</v>
      </c>
      <c r="E47" s="55">
        <f>D6-2</f>
        <v>2010</v>
      </c>
    </row>
    <row r="48" spans="1:5">
      <c r="A48" s="56" t="s">
        <v>338</v>
      </c>
      <c r="B48" s="56"/>
      <c r="C48" s="57"/>
      <c r="D48" s="58"/>
      <c r="E48" s="58"/>
    </row>
    <row r="49" spans="1:5">
      <c r="A49" s="59" t="s">
        <v>339</v>
      </c>
      <c r="B49" s="59"/>
      <c r="C49" s="60"/>
      <c r="D49" s="58"/>
      <c r="E49" s="58"/>
    </row>
    <row r="50" spans="1:5">
      <c r="A50" s="59" t="s">
        <v>443</v>
      </c>
      <c r="B50" s="59"/>
      <c r="C50" s="60"/>
      <c r="D50" s="58"/>
      <c r="E50" s="58"/>
    </row>
    <row r="51" spans="1:5">
      <c r="A51" s="59" t="s">
        <v>340</v>
      </c>
      <c r="B51" s="59"/>
      <c r="C51" s="60"/>
      <c r="D51" s="58"/>
      <c r="E51" s="58"/>
    </row>
    <row r="52" spans="1:5">
      <c r="A52" s="59"/>
      <c r="B52" s="59"/>
      <c r="C52" s="61"/>
      <c r="D52" s="58"/>
      <c r="E52" s="58"/>
    </row>
  </sheetData>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oddFooter>&amp;Lrevised 9/22/09</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I36"/>
  <sheetViews>
    <sheetView workbookViewId="0">
      <selection activeCell="B24" sqref="B24"/>
    </sheetView>
  </sheetViews>
  <sheetFormatPr defaultRowHeight="15.75"/>
  <cols>
    <col min="1" max="1" width="15.77734375" style="98" customWidth="1"/>
    <col min="2" max="2" width="12.77734375" style="98" customWidth="1"/>
    <col min="3" max="3" width="8.77734375" style="98" customWidth="1"/>
    <col min="4" max="4" width="12.77734375" style="98" customWidth="1"/>
    <col min="5" max="5" width="8.77734375" style="98" customWidth="1"/>
    <col min="6" max="6" width="12.77734375" style="98" customWidth="1"/>
    <col min="7" max="7" width="10.77734375" style="98" customWidth="1"/>
    <col min="8" max="8" width="8.77734375" style="98" customWidth="1"/>
    <col min="9" max="16384" width="8.88671875" style="98"/>
  </cols>
  <sheetData>
    <row r="1" spans="1:9">
      <c r="A1" s="289" t="s">
        <v>283</v>
      </c>
      <c r="B1" s="289"/>
      <c r="C1" s="289"/>
      <c r="D1" s="289"/>
      <c r="E1" s="289"/>
      <c r="F1" s="289"/>
      <c r="G1" s="289"/>
      <c r="H1" s="330"/>
    </row>
    <row r="2" spans="1:9">
      <c r="A2" s="18"/>
      <c r="B2" s="18"/>
      <c r="C2" s="18"/>
      <c r="D2" s="18"/>
      <c r="E2" s="18"/>
      <c r="F2" s="18"/>
      <c r="G2" s="18"/>
      <c r="H2" s="18"/>
    </row>
    <row r="3" spans="1:9">
      <c r="A3" s="324" t="s">
        <v>308</v>
      </c>
      <c r="B3" s="324"/>
      <c r="C3" s="324"/>
      <c r="D3" s="324"/>
      <c r="E3" s="324"/>
      <c r="F3" s="324"/>
      <c r="G3" s="324"/>
      <c r="H3" s="324"/>
      <c r="I3" s="54">
        <f>inputPrYr!D6</f>
        <v>2012</v>
      </c>
    </row>
    <row r="4" spans="1:9">
      <c r="A4" s="333" t="str">
        <f>inputPrYr!D3</f>
        <v>ELK FALLS CEMETERY</v>
      </c>
      <c r="B4" s="333"/>
      <c r="C4" s="333"/>
      <c r="D4" s="333"/>
      <c r="E4" s="333"/>
      <c r="F4" s="333"/>
      <c r="G4" s="333"/>
      <c r="H4" s="333"/>
    </row>
    <row r="5" spans="1:9">
      <c r="A5" s="333" t="str">
        <f>inputPrYr!D4</f>
        <v>ELK COUNTY</v>
      </c>
      <c r="B5" s="333"/>
      <c r="C5" s="333"/>
      <c r="D5" s="333"/>
      <c r="E5" s="333"/>
      <c r="F5" s="333"/>
      <c r="G5" s="333"/>
      <c r="H5" s="333"/>
    </row>
    <row r="6" spans="1:9">
      <c r="A6" s="305" t="str">
        <f>CONCATENATE("will meet on ",inputBudSum!B5," at ",inputBudSum!B7," at ",inputBudSum!B9," for the purpose of hearing and")</f>
        <v>will meet on August 17, 2010 at 7:00 P.M. at Home of Carolyn Corle in Elk Falls for the purpose of hearing and</v>
      </c>
      <c r="B6" s="305"/>
      <c r="C6" s="305"/>
      <c r="D6" s="305"/>
      <c r="E6" s="305"/>
      <c r="F6" s="305"/>
      <c r="G6" s="305"/>
      <c r="H6" s="305"/>
    </row>
    <row r="7" spans="1:9">
      <c r="A7" s="100" t="s">
        <v>17</v>
      </c>
      <c r="B7" s="26"/>
      <c r="C7" s="26"/>
      <c r="D7" s="26"/>
      <c r="E7" s="26"/>
      <c r="F7" s="26"/>
      <c r="G7" s="26"/>
      <c r="H7" s="26"/>
    </row>
    <row r="8" spans="1:9">
      <c r="A8" s="100" t="str">
        <f>CONCATENATE("Detailed budget information is available at ",inputBudSum!B12," and will be available at this hearing.")</f>
        <v>Detailed budget information is available at Elk County Clerk's Office and will be available at this hearing.</v>
      </c>
      <c r="B8" s="26"/>
      <c r="C8" s="26"/>
      <c r="D8" s="26"/>
      <c r="E8" s="26"/>
      <c r="F8" s="26"/>
      <c r="G8" s="26"/>
      <c r="H8" s="26"/>
    </row>
    <row r="9" spans="1:9">
      <c r="A9" s="25" t="s">
        <v>284</v>
      </c>
      <c r="B9" s="26"/>
      <c r="C9" s="26"/>
      <c r="D9" s="26"/>
      <c r="E9" s="26"/>
      <c r="F9" s="26"/>
      <c r="G9" s="26"/>
      <c r="H9" s="26"/>
    </row>
    <row r="10" spans="1:9">
      <c r="A10" s="100" t="str">
        <f>CONCATENATE("Proposed Budget ",I3," Expenditures and Amount of ",I3-1," Ad Valorem Tax establish the maximum limits")</f>
        <v>Proposed Budget 2012 Expenditures and Amount of 2011 Ad Valorem Tax establish the maximum limits</v>
      </c>
      <c r="B10" s="26"/>
      <c r="C10" s="26"/>
      <c r="D10" s="26"/>
      <c r="E10" s="26"/>
      <c r="F10" s="26"/>
      <c r="G10" s="26"/>
      <c r="H10" s="26"/>
    </row>
    <row r="11" spans="1:9">
      <c r="A11" s="100" t="str">
        <f>CONCATENATE("of the ",I3," budget.  Estimated Tax Rate is subject to change depending on the final assessed valuation.")</f>
        <v>of the 2012 budget.  Estimated Tax Rate is subject to change depending on the final assessed valuation.</v>
      </c>
      <c r="B11" s="26"/>
      <c r="C11" s="26"/>
      <c r="D11" s="26"/>
      <c r="E11" s="26"/>
      <c r="F11" s="26"/>
      <c r="G11" s="26"/>
      <c r="H11" s="26"/>
    </row>
    <row r="12" spans="1:9">
      <c r="A12" s="18"/>
      <c r="B12" s="101"/>
      <c r="C12" s="101"/>
      <c r="D12" s="101"/>
      <c r="E12" s="101"/>
      <c r="F12" s="101"/>
      <c r="G12" s="101"/>
      <c r="H12" s="101"/>
    </row>
    <row r="13" spans="1:9">
      <c r="A13" s="18"/>
      <c r="B13" s="185" t="str">
        <f>CONCATENATE("Prior Year Actual ",I3-2,"")</f>
        <v>Prior Year Actual 2010</v>
      </c>
      <c r="C13" s="186"/>
      <c r="D13" s="187" t="str">
        <f>CONCATENATE("Current Year Estimate for ",I3-1,"")</f>
        <v>Current Year Estimate for 2011</v>
      </c>
      <c r="E13" s="186"/>
      <c r="F13" s="185" t="str">
        <f>CONCATENATE("Proposed Budget Year for ",I3,"")</f>
        <v>Proposed Budget Year for 2012</v>
      </c>
      <c r="G13" s="188"/>
      <c r="H13" s="186"/>
    </row>
    <row r="14" spans="1:9">
      <c r="A14" s="18"/>
      <c r="B14" s="107"/>
      <c r="C14" s="189" t="s">
        <v>274</v>
      </c>
      <c r="D14" s="107"/>
      <c r="E14" s="189" t="s">
        <v>274</v>
      </c>
      <c r="F14" s="170"/>
      <c r="G14" s="331" t="str">
        <f>CONCATENATE("Amount of ",I3-1," Ad Valorem Tax")</f>
        <v>Amount of 2011 Ad Valorem Tax</v>
      </c>
      <c r="H14" s="189" t="s">
        <v>274</v>
      </c>
    </row>
    <row r="15" spans="1:9">
      <c r="A15" s="41" t="s">
        <v>275</v>
      </c>
      <c r="B15" s="116" t="s">
        <v>276</v>
      </c>
      <c r="C15" s="190" t="s">
        <v>366</v>
      </c>
      <c r="D15" s="116" t="s">
        <v>276</v>
      </c>
      <c r="E15" s="190" t="s">
        <v>366</v>
      </c>
      <c r="F15" s="116" t="s">
        <v>276</v>
      </c>
      <c r="G15" s="332"/>
      <c r="H15" s="190" t="s">
        <v>366</v>
      </c>
    </row>
    <row r="16" spans="1:9">
      <c r="A16" s="38" t="str">
        <f>inputPrYr!B19</f>
        <v>General</v>
      </c>
      <c r="B16" s="126" t="str">
        <f>IF(gen!$C$41&lt;&gt;0,gen!$C$41,"  ")</f>
        <v xml:space="preserve">  </v>
      </c>
      <c r="C16" s="124">
        <f>IF(inputPrYr!D38&gt;0,inputPrYr!D38,"  ")</f>
        <v>4.7309999999999999</v>
      </c>
      <c r="D16" s="126" t="str">
        <f>IF(gen!$E$41&lt;&gt;0,gen!$E$41,"  ")</f>
        <v xml:space="preserve">  </v>
      </c>
      <c r="E16" s="124">
        <f>IF(inputOth!D16&gt;0,inputOth!D16,"  ")</f>
        <v>4.7249999999999996</v>
      </c>
      <c r="F16" s="126" t="str">
        <f>IF(gen!$G$41&lt;&gt;0,gen!$G$41,"  ")</f>
        <v xml:space="preserve">  </v>
      </c>
      <c r="G16" s="126">
        <f>IF(gen!$G$47&lt;&gt;0,gen!$G$47,"  ")</f>
        <v>7480</v>
      </c>
      <c r="H16" s="124">
        <f>IF(gen!G47&gt;0,ROUND(G16/$F$19*1000,3)," ")</f>
        <v>4.7149999999999999</v>
      </c>
    </row>
    <row r="17" spans="1:8">
      <c r="A17" s="35" t="s">
        <v>326</v>
      </c>
      <c r="B17" s="169">
        <f t="shared" ref="B17:H17" si="0">SUM(B16:B16)</f>
        <v>0</v>
      </c>
      <c r="C17" s="191">
        <f t="shared" si="0"/>
        <v>4.7309999999999999</v>
      </c>
      <c r="D17" s="169">
        <f t="shared" si="0"/>
        <v>0</v>
      </c>
      <c r="E17" s="191">
        <f t="shared" si="0"/>
        <v>4.7249999999999996</v>
      </c>
      <c r="F17" s="169">
        <f t="shared" si="0"/>
        <v>0</v>
      </c>
      <c r="G17" s="169">
        <f t="shared" si="0"/>
        <v>7480</v>
      </c>
      <c r="H17" s="191">
        <f t="shared" si="0"/>
        <v>4.7149999999999999</v>
      </c>
    </row>
    <row r="18" spans="1:8">
      <c r="A18" s="35" t="s">
        <v>277</v>
      </c>
      <c r="B18" s="192">
        <f>inputPrYr!E44</f>
        <v>8398</v>
      </c>
      <c r="C18" s="170"/>
      <c r="D18" s="192">
        <f>inputPrYr!E24</f>
        <v>8319</v>
      </c>
      <c r="E18" s="170"/>
      <c r="F18" s="193" t="s">
        <v>350</v>
      </c>
      <c r="G18" s="18"/>
      <c r="H18" s="18"/>
    </row>
    <row r="19" spans="1:8">
      <c r="A19" s="35" t="s">
        <v>346</v>
      </c>
      <c r="B19" s="169">
        <f>inputPrYr!E45</f>
        <v>1775117</v>
      </c>
      <c r="C19" s="170"/>
      <c r="D19" s="169">
        <f>inputOth!E24</f>
        <v>1760754</v>
      </c>
      <c r="E19" s="170"/>
      <c r="F19" s="169">
        <f>inputOth!E7</f>
        <v>1586585</v>
      </c>
      <c r="G19" s="18"/>
      <c r="H19" s="18"/>
    </row>
    <row r="20" spans="1:8">
      <c r="A20" s="21"/>
      <c r="B20" s="183"/>
      <c r="C20" s="71"/>
      <c r="D20" s="183"/>
      <c r="E20" s="71"/>
      <c r="F20" s="183"/>
      <c r="G20" s="18"/>
      <c r="H20" s="18"/>
    </row>
    <row r="21" spans="1:8">
      <c r="A21" s="54"/>
      <c r="B21" s="18"/>
      <c r="C21" s="18"/>
      <c r="D21" s="18"/>
      <c r="E21" s="18"/>
      <c r="F21" s="18"/>
      <c r="G21" s="18"/>
      <c r="H21" s="54"/>
    </row>
    <row r="22" spans="1:8">
      <c r="A22" s="184" t="s">
        <v>278</v>
      </c>
      <c r="B22" s="18"/>
      <c r="C22" s="18"/>
      <c r="D22" s="18"/>
      <c r="E22" s="171"/>
      <c r="F22" s="171"/>
      <c r="G22" s="18"/>
      <c r="H22" s="54"/>
    </row>
    <row r="23" spans="1:8">
      <c r="A23" s="62" t="s">
        <v>439</v>
      </c>
      <c r="B23" s="18"/>
      <c r="C23" s="18"/>
      <c r="D23" s="18"/>
      <c r="E23" s="18"/>
      <c r="F23" s="18"/>
      <c r="G23" s="18"/>
      <c r="H23" s="62"/>
    </row>
    <row r="24" spans="1:8">
      <c r="A24" s="98" t="s">
        <v>279</v>
      </c>
      <c r="B24" s="26"/>
      <c r="C24" s="18"/>
      <c r="D24" s="138" t="s">
        <v>267</v>
      </c>
      <c r="E24" s="194">
        <v>5</v>
      </c>
      <c r="F24" s="18"/>
      <c r="G24" s="18"/>
      <c r="H24" s="54"/>
    </row>
    <row r="25" spans="1:8">
      <c r="A25" s="16"/>
    </row>
    <row r="26" spans="1:8">
      <c r="B26" s="16"/>
      <c r="C26" s="16"/>
      <c r="D26" s="16"/>
      <c r="E26" s="16"/>
      <c r="F26" s="16"/>
      <c r="G26" s="16"/>
      <c r="H26" s="16"/>
    </row>
    <row r="27" spans="1:8">
      <c r="A27" s="16"/>
    </row>
    <row r="28" spans="1:8">
      <c r="A28" s="16"/>
      <c r="B28" s="16"/>
      <c r="C28" s="16"/>
      <c r="D28" s="16"/>
      <c r="E28" s="16"/>
      <c r="F28" s="16"/>
      <c r="G28" s="16"/>
      <c r="H28" s="16"/>
    </row>
    <row r="29" spans="1:8">
      <c r="A29" s="16"/>
      <c r="B29" s="16"/>
      <c r="C29" s="16"/>
      <c r="D29" s="16"/>
      <c r="E29" s="16"/>
      <c r="F29" s="16"/>
      <c r="G29" s="16"/>
      <c r="H29" s="16"/>
    </row>
    <row r="30" spans="1:8">
      <c r="A30" s="16"/>
      <c r="B30" s="16"/>
      <c r="C30" s="16"/>
      <c r="D30" s="16"/>
      <c r="E30" s="16"/>
      <c r="F30" s="16"/>
      <c r="G30" s="16"/>
      <c r="H30" s="16"/>
    </row>
    <row r="31" spans="1:8">
      <c r="A31" s="16"/>
      <c r="B31" s="16"/>
      <c r="C31" s="16"/>
      <c r="D31" s="16"/>
      <c r="E31" s="16"/>
      <c r="F31" s="16"/>
      <c r="G31" s="16"/>
      <c r="H31" s="16"/>
    </row>
    <row r="32" spans="1:8">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B36" s="16"/>
      <c r="C36" s="16"/>
      <c r="D36" s="16"/>
      <c r="E36" s="16"/>
      <c r="F36" s="16"/>
      <c r="G36" s="16"/>
      <c r="H36" s="16"/>
    </row>
  </sheetData>
  <mergeCells count="6">
    <mergeCell ref="A1:H1"/>
    <mergeCell ref="G14:G15"/>
    <mergeCell ref="A3:H3"/>
    <mergeCell ref="A4:H4"/>
    <mergeCell ref="A5:H5"/>
    <mergeCell ref="A6:H6"/>
  </mergeCells>
  <phoneticPr fontId="0" type="noConversion"/>
  <pageMargins left="1" right="1" top="0.5" bottom="0.5" header="0.5" footer="0.5"/>
  <pageSetup scale="69" orientation="portrait" blackAndWhite="1" horizontalDpi="120" verticalDpi="144" r:id="rId1"/>
  <headerFooter alignWithMargins="0">
    <oddHeader xml:space="preserve">&amp;RState of Kansas
Special District
</oddHeader>
    <oddFooter>&amp;Lrevised 12/08/09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342" t="s">
        <v>331</v>
      </c>
      <c r="C1" s="342"/>
      <c r="D1" s="342"/>
      <c r="E1" s="342"/>
      <c r="F1" s="342"/>
      <c r="G1" s="342"/>
      <c r="H1" s="342"/>
    </row>
    <row r="2" spans="2:10">
      <c r="B2" s="6"/>
      <c r="C2"/>
      <c r="D2"/>
      <c r="E2"/>
      <c r="F2"/>
      <c r="G2"/>
      <c r="H2"/>
    </row>
    <row r="3" spans="2:10">
      <c r="B3" s="343" t="s">
        <v>328</v>
      </c>
      <c r="C3" s="343"/>
      <c r="D3" s="343"/>
      <c r="E3" s="343"/>
      <c r="F3" s="343"/>
      <c r="G3" s="343"/>
      <c r="H3" s="343"/>
    </row>
    <row r="4" spans="2:10">
      <c r="B4" s="7"/>
      <c r="C4"/>
      <c r="D4"/>
      <c r="E4"/>
      <c r="F4"/>
      <c r="G4"/>
      <c r="H4"/>
    </row>
    <row r="5" spans="2:10">
      <c r="B5" s="335" t="str">
        <f>CONCATENATE("A resolution expressing the property taxation policy of the Board of ",(inputPrYr!D3)," District with respect to financing the ",inputPrYr!D6," annual budget for ", (inputPrYr!D3)," , ",(inputPrYr!D4)," , Kansas.")</f>
        <v>A resolution expressing the property taxation policy of the Board of ELK FALLS CEMETERY District with respect to financing the 2012 annual budget for ELK FALLS CEMETERY , ELK COUNTY , Kansas.</v>
      </c>
      <c r="C5" s="336"/>
      <c r="D5" s="336"/>
      <c r="E5" s="336"/>
      <c r="F5" s="336"/>
      <c r="G5" s="336"/>
      <c r="H5" s="336"/>
    </row>
    <row r="6" spans="2:10">
      <c r="B6" s="336"/>
      <c r="C6" s="336"/>
      <c r="D6" s="336"/>
      <c r="E6" s="336"/>
      <c r="F6" s="336"/>
      <c r="G6" s="336"/>
      <c r="H6" s="336"/>
      <c r="J6" s="2" t="str">
        <f>CONCATENATE(J7)</f>
        <v/>
      </c>
    </row>
    <row r="7" spans="2:10">
      <c r="B7" s="11"/>
      <c r="C7"/>
      <c r="D7"/>
      <c r="E7"/>
      <c r="F7"/>
      <c r="G7"/>
      <c r="H7"/>
    </row>
    <row r="8" spans="2:10">
      <c r="B8" s="12" t="s">
        <v>351</v>
      </c>
      <c r="C8"/>
      <c r="D8"/>
      <c r="E8"/>
      <c r="F8"/>
      <c r="G8"/>
      <c r="H8"/>
    </row>
    <row r="9" spans="2:10">
      <c r="B9" s="12" t="str">
        <f>CONCATENATE("",inputPrYr!D6," ",(inputPrYr!D3), " district budget exceed the amount levied to finance the")</f>
        <v>2012 ELK FALLS CEMETERY district budget exceed the amount levied to finance the</v>
      </c>
      <c r="C9"/>
      <c r="D9"/>
      <c r="E9"/>
      <c r="F9"/>
      <c r="G9"/>
      <c r="H9"/>
    </row>
    <row r="10" spans="2:10">
      <c r="B10" s="12" t="str">
        <f>CONCATENATE("",inputPrYr!D6-1," ",inputPrYr!D3," except with regard to revenue produced and attributable to the")</f>
        <v>2011 ELK FALLS CEMETERY except with regard to revenue produced and attributable to the</v>
      </c>
      <c r="C10"/>
      <c r="D10"/>
      <c r="E10"/>
      <c r="F10"/>
      <c r="G10"/>
      <c r="H10"/>
    </row>
    <row r="11" spans="2:10">
      <c r="B11" s="339" t="s">
        <v>352</v>
      </c>
      <c r="C11" s="344"/>
      <c r="D11" s="344"/>
      <c r="E11" s="344"/>
      <c r="F11" s="344"/>
      <c r="G11" s="344"/>
      <c r="H11" s="344"/>
    </row>
    <row r="12" spans="2:10">
      <c r="B12" s="344"/>
      <c r="C12" s="344"/>
      <c r="D12" s="344"/>
      <c r="E12" s="344"/>
      <c r="F12" s="344"/>
      <c r="G12" s="344"/>
      <c r="H12" s="344"/>
    </row>
    <row r="13" spans="2:10">
      <c r="B13" s="344"/>
      <c r="C13" s="344"/>
      <c r="D13" s="344"/>
      <c r="E13" s="344"/>
      <c r="F13" s="344"/>
      <c r="G13" s="344"/>
      <c r="H13" s="344"/>
    </row>
    <row r="14" spans="2:10">
      <c r="B14" s="344"/>
      <c r="C14" s="344"/>
      <c r="D14" s="344"/>
      <c r="E14" s="344"/>
      <c r="F14" s="344"/>
      <c r="G14" s="344"/>
      <c r="H14" s="344"/>
    </row>
    <row r="15" spans="2:10">
      <c r="B15" s="1"/>
      <c r="C15" s="1"/>
      <c r="D15" s="1"/>
      <c r="E15" s="1"/>
      <c r="F15" s="1"/>
      <c r="G15" s="1"/>
      <c r="H15" s="1"/>
    </row>
    <row r="16" spans="2:10">
      <c r="B16" s="337" t="s">
        <v>335</v>
      </c>
      <c r="C16" s="338"/>
      <c r="D16" s="338"/>
      <c r="E16" s="338"/>
      <c r="F16" s="338"/>
      <c r="G16" s="338"/>
      <c r="H16" s="338"/>
    </row>
    <row r="17" spans="2:8">
      <c r="B17" s="338"/>
      <c r="C17" s="338"/>
      <c r="D17" s="338"/>
      <c r="E17" s="338"/>
      <c r="F17" s="338"/>
      <c r="G17" s="338"/>
      <c r="H17" s="338"/>
    </row>
    <row r="18" spans="2:8">
      <c r="B18" s="12"/>
      <c r="C18"/>
      <c r="D18"/>
      <c r="E18"/>
      <c r="F18"/>
      <c r="G18"/>
      <c r="H18"/>
    </row>
    <row r="19" spans="2:8">
      <c r="B19" s="12" t="str">
        <f>CONCATENATE("Whereas, ",(inputPrYr!D3)," provides essential services to district residents; and")</f>
        <v>Whereas, ELK FALLS CEMETERY provides essential services to district residents; and</v>
      </c>
      <c r="C19"/>
      <c r="D19"/>
      <c r="E19"/>
      <c r="F19"/>
      <c r="G19"/>
      <c r="H19"/>
    </row>
    <row r="20" spans="2:8">
      <c r="B20" s="12"/>
      <c r="C20"/>
      <c r="D20"/>
      <c r="E20"/>
      <c r="F20"/>
      <c r="G20"/>
      <c r="H20"/>
    </row>
    <row r="21" spans="2:8">
      <c r="B21" s="12" t="s">
        <v>336</v>
      </c>
      <c r="C21"/>
      <c r="D21"/>
      <c r="E21"/>
      <c r="F21"/>
      <c r="G21"/>
      <c r="H21"/>
    </row>
    <row r="22" spans="2:8">
      <c r="B22" s="12"/>
      <c r="C22"/>
      <c r="D22"/>
      <c r="E22"/>
      <c r="F22"/>
      <c r="G22"/>
      <c r="H22"/>
    </row>
    <row r="23" spans="2:8">
      <c r="B23" s="339"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ELK FALLS CEMETERY that is our desire to notify the public of the possibility of increased property taxes to finance the 2012 ELK FALLS CEMETERY  budget as defined above.</v>
      </c>
      <c r="C23" s="340"/>
      <c r="D23" s="340"/>
      <c r="E23" s="340"/>
      <c r="F23" s="340"/>
      <c r="G23" s="340"/>
      <c r="H23" s="340"/>
    </row>
    <row r="24" spans="2:8">
      <c r="B24" s="340"/>
      <c r="C24" s="340"/>
      <c r="D24" s="340"/>
      <c r="E24" s="340"/>
      <c r="F24" s="340"/>
      <c r="G24" s="340"/>
      <c r="H24" s="340"/>
    </row>
    <row r="25" spans="2:8">
      <c r="B25" s="340"/>
      <c r="C25" s="340"/>
      <c r="D25" s="340"/>
      <c r="E25" s="340"/>
      <c r="F25" s="340"/>
      <c r="G25" s="340"/>
      <c r="H25" s="340"/>
    </row>
    <row r="26" spans="2:8">
      <c r="B26" s="12"/>
      <c r="C26"/>
      <c r="D26"/>
      <c r="E26"/>
      <c r="F26"/>
      <c r="G26"/>
      <c r="H26"/>
    </row>
    <row r="27" spans="2:8">
      <c r="B27" s="337" t="str">
        <f>CONCATENATE("Adopted this _________ day of ___________, ",inputPrYr!D6-1," by the ",(inputPrYr!D3)," District Board, ",(inputPrYr!D4),", Kansas.")</f>
        <v>Adopted this _________ day of ___________, 2011 by the ELK FALLS CEMETERY District Board, ELK COUNTY, Kansas.</v>
      </c>
      <c r="C27" s="336"/>
      <c r="D27" s="336"/>
      <c r="E27" s="336"/>
      <c r="F27" s="336"/>
      <c r="G27" s="336"/>
      <c r="H27" s="336"/>
    </row>
    <row r="28" spans="2:8">
      <c r="B28" s="336"/>
      <c r="C28" s="336"/>
      <c r="D28" s="336"/>
      <c r="E28" s="336"/>
      <c r="F28" s="336"/>
      <c r="G28" s="336"/>
      <c r="H28" s="336"/>
    </row>
    <row r="29" spans="2:8">
      <c r="B29" s="8"/>
      <c r="C29"/>
      <c r="D29"/>
      <c r="E29"/>
      <c r="F29"/>
      <c r="G29"/>
      <c r="H29"/>
    </row>
    <row r="30" spans="2:8">
      <c r="B30" s="8"/>
      <c r="C30"/>
      <c r="D30"/>
      <c r="E30"/>
      <c r="F30"/>
      <c r="G30"/>
      <c r="H30"/>
    </row>
    <row r="31" spans="2:8">
      <c r="B31" s="9" t="str">
        <f>CONCATENATE(" ",(inputPrYr!D3)," District Board")</f>
        <v xml:space="preserve"> ELK FALLS CEMETERY District Board</v>
      </c>
      <c r="C31"/>
      <c r="D31"/>
      <c r="E31"/>
      <c r="F31"/>
      <c r="G31"/>
      <c r="H31"/>
    </row>
    <row r="32" spans="2:8">
      <c r="B32" s="8"/>
      <c r="C32"/>
      <c r="D32"/>
      <c r="E32"/>
      <c r="F32"/>
      <c r="G32"/>
      <c r="H32"/>
    </row>
    <row r="33" spans="2:8">
      <c r="B33"/>
      <c r="C33"/>
      <c r="D33"/>
      <c r="E33" s="341" t="s">
        <v>329</v>
      </c>
      <c r="F33" s="341"/>
      <c r="G33" s="341"/>
      <c r="H33" s="341"/>
    </row>
    <row r="34" spans="2:8">
      <c r="B34"/>
      <c r="C34"/>
      <c r="D34"/>
      <c r="E34" s="341" t="s">
        <v>332</v>
      </c>
      <c r="F34" s="341"/>
      <c r="G34" s="341"/>
      <c r="H34" s="341"/>
    </row>
    <row r="35" spans="2:8">
      <c r="B35" s="8"/>
      <c r="C35"/>
      <c r="D35"/>
      <c r="E35" s="341"/>
      <c r="F35" s="341"/>
      <c r="G35" s="341"/>
      <c r="H35" s="341"/>
    </row>
    <row r="36" spans="2:8">
      <c r="B36"/>
      <c r="C36"/>
      <c r="D36"/>
      <c r="E36" s="341" t="s">
        <v>329</v>
      </c>
      <c r="F36" s="341"/>
      <c r="G36" s="341"/>
      <c r="H36" s="341"/>
    </row>
    <row r="37" spans="2:8">
      <c r="B37"/>
      <c r="C37"/>
      <c r="D37"/>
      <c r="E37" s="341" t="s">
        <v>333</v>
      </c>
      <c r="F37" s="341"/>
      <c r="G37" s="341"/>
      <c r="H37" s="341"/>
    </row>
    <row r="38" spans="2:8">
      <c r="B38" s="8"/>
      <c r="C38"/>
      <c r="D38"/>
      <c r="E38" s="341"/>
      <c r="F38" s="341"/>
      <c r="G38" s="341"/>
      <c r="H38" s="341"/>
    </row>
    <row r="39" spans="2:8">
      <c r="B39"/>
      <c r="C39"/>
      <c r="D39"/>
      <c r="E39" s="341" t="s">
        <v>329</v>
      </c>
      <c r="F39" s="341"/>
      <c r="G39" s="341"/>
      <c r="H39" s="341"/>
    </row>
    <row r="40" spans="2:8">
      <c r="B40"/>
      <c r="C40"/>
      <c r="D40"/>
      <c r="E40" s="341" t="s">
        <v>334</v>
      </c>
      <c r="F40" s="341"/>
      <c r="G40" s="341"/>
      <c r="H40" s="341"/>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267</v>
      </c>
      <c r="E45" s="15"/>
      <c r="F45" s="13"/>
      <c r="G45" s="13"/>
      <c r="H45" s="13"/>
    </row>
    <row r="46" spans="2:8">
      <c r="B46" s="10" t="s">
        <v>330</v>
      </c>
      <c r="E46" s="334"/>
      <c r="F46" s="334"/>
      <c r="G46" s="334"/>
      <c r="H46" s="334"/>
    </row>
    <row r="47" spans="2:8">
      <c r="B47" s="3"/>
      <c r="E47" s="334"/>
      <c r="F47" s="334"/>
      <c r="G47" s="334"/>
      <c r="H47" s="334"/>
    </row>
    <row r="48" spans="2:8">
      <c r="E48" s="334"/>
      <c r="F48" s="334"/>
      <c r="G48" s="334"/>
      <c r="H48" s="334"/>
    </row>
    <row r="49" spans="2:8">
      <c r="E49" s="334"/>
      <c r="F49" s="334"/>
      <c r="G49" s="334"/>
      <c r="H49" s="334"/>
    </row>
    <row r="50" spans="2:8">
      <c r="B50" s="3"/>
      <c r="E50" s="334"/>
      <c r="F50" s="334"/>
      <c r="G50" s="334"/>
      <c r="H50" s="334"/>
    </row>
    <row r="51" spans="2:8">
      <c r="B51" s="5"/>
    </row>
    <row r="52" spans="2:8">
      <c r="B52" s="5"/>
    </row>
    <row r="53" spans="2:8">
      <c r="B53" s="5"/>
    </row>
  </sheetData>
  <sheetProtection sheet="1" objects="1" scenarios="1"/>
  <mergeCells count="20">
    <mergeCell ref="B1:H1"/>
    <mergeCell ref="B3:H3"/>
    <mergeCell ref="B11:H14"/>
    <mergeCell ref="E39:H39"/>
    <mergeCell ref="E33:H33"/>
    <mergeCell ref="E34:H34"/>
    <mergeCell ref="E35:H35"/>
    <mergeCell ref="E36:H36"/>
    <mergeCell ref="E37:H37"/>
    <mergeCell ref="E38:H38"/>
    <mergeCell ref="E47:H47"/>
    <mergeCell ref="B5:H6"/>
    <mergeCell ref="E50:H50"/>
    <mergeCell ref="E46:H46"/>
    <mergeCell ref="E48:H48"/>
    <mergeCell ref="E49:H49"/>
    <mergeCell ref="B16:H17"/>
    <mergeCell ref="B23:H25"/>
    <mergeCell ref="B27:H28"/>
    <mergeCell ref="E40:H40"/>
  </mergeCells>
  <phoneticPr fontId="11" type="noConversion"/>
  <pageMargins left="0.75" right="0.75" top="1" bottom="1" header="0.5" footer="0.5"/>
  <pageSetup scale="72" orientation="portrait" blackAndWhite="1" r:id="rId1"/>
  <headerFooter alignWithMargins="0">
    <oddFooter>&amp;Lrevised 8/06/07</oddFooter>
  </headerFooter>
</worksheet>
</file>

<file path=xl/worksheets/sheet12.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212" t="s">
        <v>23</v>
      </c>
      <c r="B3" s="212"/>
      <c r="C3" s="212"/>
      <c r="D3" s="212"/>
      <c r="E3" s="212"/>
      <c r="F3" s="212"/>
      <c r="G3" s="212"/>
      <c r="H3" s="212"/>
      <c r="I3" s="212"/>
      <c r="J3" s="212"/>
      <c r="K3" s="212"/>
      <c r="L3" s="212"/>
    </row>
    <row r="5" spans="1:12">
      <c r="A5" s="213" t="s">
        <v>24</v>
      </c>
    </row>
    <row r="6" spans="1:12">
      <c r="A6" s="213" t="str">
        <f>CONCATENATE(inputPrYr!D6-2," 'total expenditures' exceed your ",inputPrYr!D6-2," 'budget authority.'")</f>
        <v>2010 'total expenditures' exceed your 2010 'budget authority.'</v>
      </c>
    </row>
    <row r="7" spans="1:12">
      <c r="A7" s="213"/>
    </row>
    <row r="8" spans="1:12">
      <c r="A8" s="213" t="s">
        <v>25</v>
      </c>
    </row>
    <row r="9" spans="1:12">
      <c r="A9" s="213" t="s">
        <v>26</v>
      </c>
    </row>
    <row r="10" spans="1:12">
      <c r="A10" s="213" t="s">
        <v>27</v>
      </c>
    </row>
    <row r="11" spans="1:12">
      <c r="A11" s="213"/>
    </row>
    <row r="12" spans="1:12">
      <c r="A12" s="213"/>
    </row>
    <row r="13" spans="1:12">
      <c r="A13" s="214" t="s">
        <v>28</v>
      </c>
    </row>
    <row r="15" spans="1:12">
      <c r="A15" s="213" t="s">
        <v>29</v>
      </c>
    </row>
    <row r="16" spans="1:12">
      <c r="A16" s="213" t="str">
        <f>CONCATENATE("(i.e. an audit has not been completed, or the ",inputPrYr!D6," adopted")</f>
        <v>(i.e. an audit has not been completed, or the 2012 adopted</v>
      </c>
    </row>
    <row r="17" spans="1:1">
      <c r="A17" s="213" t="s">
        <v>30</v>
      </c>
    </row>
    <row r="18" spans="1:1">
      <c r="A18" s="213" t="s">
        <v>31</v>
      </c>
    </row>
    <row r="19" spans="1:1">
      <c r="A19" s="213" t="s">
        <v>32</v>
      </c>
    </row>
    <row r="21" spans="1:1">
      <c r="A21" s="214" t="s">
        <v>33</v>
      </c>
    </row>
    <row r="22" spans="1:1">
      <c r="A22" s="214"/>
    </row>
    <row r="23" spans="1:1">
      <c r="A23" s="213" t="s">
        <v>34</v>
      </c>
    </row>
    <row r="24" spans="1:1">
      <c r="A24" s="213" t="s">
        <v>35</v>
      </c>
    </row>
    <row r="25" spans="1:1">
      <c r="A25" s="213" t="str">
        <f>CONCATENATE("particular fund.  If your ",inputPrYr!D6-2," budget was amended, did you")</f>
        <v>particular fund.  If your 2010 budget was amended, did you</v>
      </c>
    </row>
    <row r="26" spans="1:1">
      <c r="A26" s="213" t="s">
        <v>36</v>
      </c>
    </row>
    <row r="27" spans="1:1">
      <c r="A27" s="213"/>
    </row>
    <row r="28" spans="1:1">
      <c r="A28" s="213" t="str">
        <f>CONCATENATE("Next, look to see if any of your ",inputPrYr!D6-2," expenditures can be")</f>
        <v>Next, look to see if any of your 2010 expenditures can be</v>
      </c>
    </row>
    <row r="29" spans="1:1">
      <c r="A29" s="213" t="s">
        <v>37</v>
      </c>
    </row>
    <row r="30" spans="1:1">
      <c r="A30" s="213" t="s">
        <v>38</v>
      </c>
    </row>
    <row r="31" spans="1:1">
      <c r="A31" s="213" t="s">
        <v>39</v>
      </c>
    </row>
    <row r="32" spans="1:1">
      <c r="A32" s="213"/>
    </row>
    <row r="33" spans="1:1">
      <c r="A33" s="213" t="str">
        <f>CONCATENATE("Additionally, do your ",inputPrYr!D6-2," receipts contain a reimbursement")</f>
        <v>Additionally, do your 2010 receipts contain a reimbursement</v>
      </c>
    </row>
    <row r="34" spans="1:1">
      <c r="A34" s="213" t="s">
        <v>40</v>
      </c>
    </row>
    <row r="35" spans="1:1">
      <c r="A35" s="213" t="s">
        <v>41</v>
      </c>
    </row>
    <row r="36" spans="1:1">
      <c r="A36" s="213"/>
    </row>
    <row r="37" spans="1:1">
      <c r="A37" s="213" t="s">
        <v>45</v>
      </c>
    </row>
    <row r="38" spans="1:1">
      <c r="A38" s="213" t="s">
        <v>46</v>
      </c>
    </row>
    <row r="39" spans="1:1">
      <c r="A39" s="213" t="s">
        <v>47</v>
      </c>
    </row>
    <row r="40" spans="1:1">
      <c r="A40" s="213"/>
    </row>
    <row r="41" spans="1:1">
      <c r="A41" s="214" t="s">
        <v>48</v>
      </c>
    </row>
    <row r="42" spans="1:1">
      <c r="A42" s="213"/>
    </row>
    <row r="43" spans="1:1">
      <c r="A43" s="213" t="s">
        <v>49</v>
      </c>
    </row>
    <row r="44" spans="1:1">
      <c r="A44" s="213" t="s">
        <v>50</v>
      </c>
    </row>
    <row r="45" spans="1:1">
      <c r="A45" s="213" t="s">
        <v>51</v>
      </c>
    </row>
    <row r="46" spans="1:1">
      <c r="A46" s="213" t="s">
        <v>52</v>
      </c>
    </row>
    <row r="47" spans="1:1">
      <c r="A47" s="213" t="s">
        <v>53</v>
      </c>
    </row>
    <row r="48" spans="1:1">
      <c r="A48" s="213" t="s">
        <v>54</v>
      </c>
    </row>
    <row r="49" spans="1:1">
      <c r="A49" s="213" t="s">
        <v>55</v>
      </c>
    </row>
    <row r="50" spans="1:1">
      <c r="A50" s="213" t="s">
        <v>56</v>
      </c>
    </row>
    <row r="51" spans="1:1">
      <c r="A51" s="213" t="s">
        <v>57</v>
      </c>
    </row>
    <row r="52" spans="1:1">
      <c r="A52" s="213" t="s">
        <v>58</v>
      </c>
    </row>
    <row r="53" spans="1:1">
      <c r="A53" s="213" t="s">
        <v>59</v>
      </c>
    </row>
    <row r="54" spans="1:1">
      <c r="A54" s="213" t="s">
        <v>60</v>
      </c>
    </row>
    <row r="55" spans="1:1">
      <c r="A55" s="213" t="s">
        <v>61</v>
      </c>
    </row>
    <row r="56" spans="1:1">
      <c r="A56" s="213"/>
    </row>
    <row r="57" spans="1:1">
      <c r="A57" s="213" t="s">
        <v>62</v>
      </c>
    </row>
    <row r="58" spans="1:1">
      <c r="A58" s="213" t="s">
        <v>63</v>
      </c>
    </row>
    <row r="59" spans="1:1">
      <c r="A59" s="213" t="s">
        <v>64</v>
      </c>
    </row>
    <row r="60" spans="1:1">
      <c r="A60" s="213"/>
    </row>
    <row r="61" spans="1:1">
      <c r="A61" s="214" t="str">
        <f>CONCATENATE("What if the ",inputPrYr!D6-2," financial records have been closed?")</f>
        <v>What if the 2010 financial records have been closed?</v>
      </c>
    </row>
    <row r="63" spans="1:1">
      <c r="A63" s="213" t="s">
        <v>65</v>
      </c>
    </row>
    <row r="64" spans="1:1">
      <c r="A64" s="213" t="str">
        <f>CONCATENATE("(i.e. an audit for ",inputPrYr!D6-2," has been completed, or the ",inputPrYr!D6)</f>
        <v>(i.e. an audit for 2010 has been completed, or the 2012</v>
      </c>
    </row>
    <row r="65" spans="1:1">
      <c r="A65" s="213" t="s">
        <v>66</v>
      </c>
    </row>
    <row r="66" spans="1:1">
      <c r="A66" s="213" t="s">
        <v>67</v>
      </c>
    </row>
    <row r="67" spans="1:1">
      <c r="A67" s="213"/>
    </row>
    <row r="68" spans="1:1">
      <c r="A68" s="213" t="s">
        <v>68</v>
      </c>
    </row>
    <row r="69" spans="1:1">
      <c r="A69" s="213" t="s">
        <v>69</v>
      </c>
    </row>
    <row r="70" spans="1:1">
      <c r="A70" s="213" t="s">
        <v>70</v>
      </c>
    </row>
    <row r="71" spans="1:1">
      <c r="A71" s="213"/>
    </row>
    <row r="72" spans="1:1">
      <c r="A72" s="213" t="s">
        <v>71</v>
      </c>
    </row>
  </sheetData>
  <sheetProtection sheet="1"/>
  <phoneticPr fontId="31" type="noConversion"/>
  <pageMargins left="0.7" right="0.7" top="0.75" bottom="0.75" header="0.3" footer="0.3"/>
  <pageSetup orientation="portrait" r:id="rId1"/>
  <headerFooter>
    <oddFooter>&amp;Lrevised 9/25/09</oddFooter>
  </headerFooter>
</worksheet>
</file>

<file path=xl/worksheets/sheet13.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212" t="s">
        <v>72</v>
      </c>
      <c r="B3" s="212"/>
      <c r="C3" s="212"/>
      <c r="D3" s="212"/>
      <c r="E3" s="212"/>
      <c r="F3" s="212"/>
      <c r="G3" s="212"/>
      <c r="H3" s="215"/>
      <c r="I3" s="215"/>
      <c r="J3" s="215"/>
    </row>
    <row r="5" spans="1:10">
      <c r="A5" s="213" t="s">
        <v>73</v>
      </c>
    </row>
    <row r="6" spans="1:10">
      <c r="A6" t="str">
        <f>CONCATENATE(inputPrYr!D6-2," expenditures show that you finished the year with a ")</f>
        <v xml:space="preserve">2010 expenditures show that you finished the year with a </v>
      </c>
    </row>
    <row r="7" spans="1:10">
      <c r="A7" t="s">
        <v>74</v>
      </c>
    </row>
    <row r="9" spans="1:10">
      <c r="A9" t="s">
        <v>75</v>
      </c>
    </row>
    <row r="10" spans="1:10">
      <c r="A10" t="s">
        <v>76</v>
      </c>
    </row>
    <row r="11" spans="1:10">
      <c r="A11" t="s">
        <v>77</v>
      </c>
    </row>
    <row r="13" spans="1:10">
      <c r="A13" s="214" t="s">
        <v>78</v>
      </c>
    </row>
    <row r="14" spans="1:10">
      <c r="A14" s="214"/>
    </row>
    <row r="15" spans="1:10">
      <c r="A15" s="213" t="s">
        <v>79</v>
      </c>
    </row>
    <row r="16" spans="1:10">
      <c r="A16" s="213" t="s">
        <v>80</v>
      </c>
    </row>
    <row r="17" spans="1:1">
      <c r="A17" s="213" t="s">
        <v>81</v>
      </c>
    </row>
    <row r="18" spans="1:1">
      <c r="A18" s="213"/>
    </row>
    <row r="19" spans="1:1">
      <c r="A19" s="214" t="s">
        <v>82</v>
      </c>
    </row>
    <row r="20" spans="1:1">
      <c r="A20" s="214"/>
    </row>
    <row r="21" spans="1:1">
      <c r="A21" s="213" t="s">
        <v>83</v>
      </c>
    </row>
    <row r="22" spans="1:1">
      <c r="A22" s="213" t="s">
        <v>84</v>
      </c>
    </row>
    <row r="23" spans="1:1">
      <c r="A23" s="213" t="s">
        <v>85</v>
      </c>
    </row>
    <row r="24" spans="1:1">
      <c r="A24" s="213"/>
    </row>
    <row r="25" spans="1:1">
      <c r="A25" s="214" t="s">
        <v>86</v>
      </c>
    </row>
    <row r="26" spans="1:1">
      <c r="A26" s="214"/>
    </row>
    <row r="27" spans="1:1">
      <c r="A27" s="213" t="s">
        <v>87</v>
      </c>
    </row>
    <row r="28" spans="1:1">
      <c r="A28" s="213" t="s">
        <v>88</v>
      </c>
    </row>
    <row r="29" spans="1:1">
      <c r="A29" s="213" t="s">
        <v>89</v>
      </c>
    </row>
    <row r="30" spans="1:1">
      <c r="A30" s="213"/>
    </row>
    <row r="31" spans="1:1">
      <c r="A31" s="214" t="s">
        <v>90</v>
      </c>
    </row>
    <row r="32" spans="1:1">
      <c r="A32" s="214"/>
    </row>
    <row r="33" spans="1:8">
      <c r="A33" s="213" t="str">
        <f>CONCATENATE("If your financial records for ",inputPrYr!D6-2," are not closed")</f>
        <v>If your financial records for 2010 are not closed</v>
      </c>
      <c r="B33" s="213"/>
      <c r="C33" s="213"/>
      <c r="D33" s="213"/>
      <c r="E33" s="213"/>
      <c r="F33" s="213"/>
      <c r="G33" s="213"/>
      <c r="H33" s="213"/>
    </row>
    <row r="34" spans="1:8">
      <c r="A34" s="213" t="str">
        <f>CONCATENATE("(i.e. an audit has not been completed, or the ",inputPrYr!D6," adopted ")</f>
        <v xml:space="preserve">(i.e. an audit has not been completed, or the 2012 adopted </v>
      </c>
      <c r="B34" s="213"/>
      <c r="C34" s="213"/>
      <c r="D34" s="213"/>
      <c r="E34" s="213"/>
      <c r="F34" s="213"/>
      <c r="G34" s="213"/>
      <c r="H34" s="213"/>
    </row>
    <row r="35" spans="1:8">
      <c r="A35" s="213" t="s">
        <v>91</v>
      </c>
      <c r="B35" s="213"/>
      <c r="C35" s="213"/>
      <c r="D35" s="213"/>
      <c r="E35" s="213"/>
      <c r="F35" s="213"/>
      <c r="G35" s="213"/>
      <c r="H35" s="213"/>
    </row>
    <row r="36" spans="1:8">
      <c r="A36" s="213" t="s">
        <v>92</v>
      </c>
      <c r="B36" s="213"/>
      <c r="C36" s="213"/>
      <c r="D36" s="213"/>
      <c r="E36" s="213"/>
      <c r="F36" s="213"/>
      <c r="G36" s="213"/>
      <c r="H36" s="213"/>
    </row>
    <row r="37" spans="1:8">
      <c r="A37" s="213" t="s">
        <v>93</v>
      </c>
      <c r="B37" s="213"/>
      <c r="C37" s="213"/>
      <c r="D37" s="213"/>
      <c r="E37" s="213"/>
      <c r="F37" s="213"/>
      <c r="G37" s="213"/>
      <c r="H37" s="213"/>
    </row>
    <row r="38" spans="1:8">
      <c r="A38" s="213" t="s">
        <v>94</v>
      </c>
      <c r="B38" s="213"/>
      <c r="C38" s="213"/>
      <c r="D38" s="213"/>
      <c r="E38" s="213"/>
      <c r="F38" s="213"/>
      <c r="G38" s="213"/>
      <c r="H38" s="213"/>
    </row>
    <row r="39" spans="1:8">
      <c r="A39" s="213" t="s">
        <v>95</v>
      </c>
      <c r="B39" s="213"/>
      <c r="C39" s="213"/>
      <c r="D39" s="213"/>
      <c r="E39" s="213"/>
      <c r="F39" s="213"/>
      <c r="G39" s="213"/>
      <c r="H39" s="213"/>
    </row>
    <row r="40" spans="1:8">
      <c r="A40" s="213"/>
      <c r="B40" s="213"/>
      <c r="C40" s="213"/>
      <c r="D40" s="213"/>
      <c r="E40" s="213"/>
      <c r="F40" s="213"/>
      <c r="G40" s="213"/>
      <c r="H40" s="213"/>
    </row>
    <row r="41" spans="1:8">
      <c r="A41" s="213" t="s">
        <v>96</v>
      </c>
      <c r="B41" s="213"/>
      <c r="C41" s="213"/>
      <c r="D41" s="213"/>
      <c r="E41" s="213"/>
      <c r="F41" s="213"/>
      <c r="G41" s="213"/>
      <c r="H41" s="213"/>
    </row>
    <row r="42" spans="1:8">
      <c r="A42" s="213" t="s">
        <v>97</v>
      </c>
      <c r="B42" s="213"/>
      <c r="C42" s="213"/>
      <c r="D42" s="213"/>
      <c r="E42" s="213"/>
      <c r="F42" s="213"/>
      <c r="G42" s="213"/>
      <c r="H42" s="213"/>
    </row>
    <row r="43" spans="1:8">
      <c r="A43" s="213" t="s">
        <v>98</v>
      </c>
      <c r="B43" s="213"/>
      <c r="C43" s="213"/>
      <c r="D43" s="213"/>
      <c r="E43" s="213"/>
      <c r="F43" s="213"/>
      <c r="G43" s="213"/>
      <c r="H43" s="213"/>
    </row>
    <row r="44" spans="1:8">
      <c r="A44" s="213" t="s">
        <v>99</v>
      </c>
      <c r="B44" s="213"/>
      <c r="C44" s="213"/>
      <c r="D44" s="213"/>
      <c r="E44" s="213"/>
      <c r="F44" s="213"/>
      <c r="G44" s="213"/>
      <c r="H44" s="213"/>
    </row>
    <row r="45" spans="1:8">
      <c r="A45" s="213"/>
      <c r="B45" s="213"/>
      <c r="C45" s="213"/>
      <c r="D45" s="213"/>
      <c r="E45" s="213"/>
      <c r="F45" s="213"/>
      <c r="G45" s="213"/>
      <c r="H45" s="213"/>
    </row>
    <row r="46" spans="1:8">
      <c r="A46" s="213" t="s">
        <v>100</v>
      </c>
      <c r="B46" s="213"/>
      <c r="C46" s="213"/>
      <c r="D46" s="213"/>
      <c r="E46" s="213"/>
      <c r="F46" s="213"/>
      <c r="G46" s="213"/>
      <c r="H46" s="213"/>
    </row>
    <row r="47" spans="1:8">
      <c r="A47" s="213" t="s">
        <v>101</v>
      </c>
      <c r="B47" s="213"/>
      <c r="C47" s="213"/>
      <c r="D47" s="213"/>
      <c r="E47" s="213"/>
      <c r="F47" s="213"/>
      <c r="G47" s="213"/>
      <c r="H47" s="213"/>
    </row>
    <row r="48" spans="1:8">
      <c r="A48" s="213" t="s">
        <v>102</v>
      </c>
      <c r="B48" s="213"/>
      <c r="C48" s="213"/>
      <c r="D48" s="213"/>
      <c r="E48" s="213"/>
      <c r="F48" s="213"/>
      <c r="G48" s="213"/>
      <c r="H48" s="213"/>
    </row>
    <row r="49" spans="1:8">
      <c r="A49" s="213" t="s">
        <v>103</v>
      </c>
      <c r="B49" s="213"/>
      <c r="C49" s="213"/>
      <c r="D49" s="213"/>
      <c r="E49" s="213"/>
      <c r="F49" s="213"/>
      <c r="G49" s="213"/>
      <c r="H49" s="213"/>
    </row>
    <row r="50" spans="1:8">
      <c r="A50" s="213" t="s">
        <v>104</v>
      </c>
      <c r="B50" s="213"/>
      <c r="C50" s="213"/>
      <c r="D50" s="213"/>
      <c r="E50" s="213"/>
      <c r="F50" s="213"/>
      <c r="G50" s="213"/>
      <c r="H50" s="213"/>
    </row>
    <row r="51" spans="1:8">
      <c r="A51" s="213"/>
      <c r="B51" s="213"/>
      <c r="C51" s="213"/>
      <c r="D51" s="213"/>
      <c r="E51" s="213"/>
      <c r="F51" s="213"/>
      <c r="G51" s="213"/>
      <c r="H51" s="213"/>
    </row>
    <row r="52" spans="1:8">
      <c r="A52" s="214" t="s">
        <v>105</v>
      </c>
      <c r="B52" s="214"/>
      <c r="C52" s="214"/>
      <c r="D52" s="214"/>
      <c r="E52" s="214"/>
      <c r="F52" s="214"/>
      <c r="G52" s="214"/>
      <c r="H52" s="213"/>
    </row>
    <row r="53" spans="1:8">
      <c r="A53" s="214" t="s">
        <v>106</v>
      </c>
      <c r="B53" s="214"/>
      <c r="C53" s="214"/>
      <c r="D53" s="214"/>
      <c r="E53" s="214"/>
      <c r="F53" s="214"/>
      <c r="G53" s="214"/>
      <c r="H53" s="213"/>
    </row>
    <row r="54" spans="1:8">
      <c r="A54" s="213"/>
      <c r="B54" s="213"/>
      <c r="C54" s="213"/>
      <c r="D54" s="213"/>
      <c r="E54" s="213"/>
      <c r="F54" s="213"/>
      <c r="G54" s="213"/>
      <c r="H54" s="213"/>
    </row>
    <row r="55" spans="1:8">
      <c r="A55" s="213" t="s">
        <v>107</v>
      </c>
      <c r="B55" s="213"/>
      <c r="C55" s="213"/>
      <c r="D55" s="213"/>
      <c r="E55" s="213"/>
      <c r="F55" s="213"/>
      <c r="G55" s="213"/>
      <c r="H55" s="213"/>
    </row>
    <row r="56" spans="1:8">
      <c r="A56" s="213" t="s">
        <v>108</v>
      </c>
      <c r="B56" s="213"/>
      <c r="C56" s="213"/>
      <c r="D56" s="213"/>
      <c r="E56" s="213"/>
      <c r="F56" s="213"/>
      <c r="G56" s="213"/>
      <c r="H56" s="213"/>
    </row>
    <row r="57" spans="1:8">
      <c r="A57" s="213" t="s">
        <v>109</v>
      </c>
      <c r="B57" s="213"/>
      <c r="C57" s="213"/>
      <c r="D57" s="213"/>
      <c r="E57" s="213"/>
      <c r="F57" s="213"/>
      <c r="G57" s="213"/>
      <c r="H57" s="213"/>
    </row>
    <row r="58" spans="1:8">
      <c r="A58" s="213" t="s">
        <v>110</v>
      </c>
      <c r="B58" s="213"/>
      <c r="C58" s="213"/>
      <c r="D58" s="213"/>
      <c r="E58" s="213"/>
      <c r="F58" s="213"/>
      <c r="G58" s="213"/>
      <c r="H58" s="213"/>
    </row>
    <row r="59" spans="1:8">
      <c r="A59" s="213"/>
      <c r="B59" s="213"/>
      <c r="C59" s="213"/>
      <c r="D59" s="213"/>
      <c r="E59" s="213"/>
      <c r="F59" s="213"/>
      <c r="G59" s="213"/>
      <c r="H59" s="213"/>
    </row>
    <row r="60" spans="1:8">
      <c r="A60" s="213" t="s">
        <v>111</v>
      </c>
      <c r="B60" s="213"/>
      <c r="C60" s="213"/>
      <c r="D60" s="213"/>
      <c r="E60" s="213"/>
      <c r="F60" s="213"/>
      <c r="G60" s="213"/>
      <c r="H60" s="213"/>
    </row>
    <row r="61" spans="1:8">
      <c r="A61" s="213" t="s">
        <v>112</v>
      </c>
      <c r="B61" s="213"/>
      <c r="C61" s="213"/>
      <c r="D61" s="213"/>
      <c r="E61" s="213"/>
      <c r="F61" s="213"/>
      <c r="G61" s="213"/>
      <c r="H61" s="213"/>
    </row>
    <row r="62" spans="1:8">
      <c r="A62" s="213" t="s">
        <v>113</v>
      </c>
      <c r="B62" s="213"/>
      <c r="C62" s="213"/>
      <c r="D62" s="213"/>
      <c r="E62" s="213"/>
      <c r="F62" s="213"/>
      <c r="G62" s="213"/>
      <c r="H62" s="213"/>
    </row>
    <row r="63" spans="1:8">
      <c r="A63" s="213" t="s">
        <v>114</v>
      </c>
      <c r="B63" s="213"/>
      <c r="C63" s="213"/>
      <c r="D63" s="213"/>
      <c r="E63" s="213"/>
      <c r="F63" s="213"/>
      <c r="G63" s="213"/>
      <c r="H63" s="213"/>
    </row>
    <row r="64" spans="1:8">
      <c r="A64" s="213" t="s">
        <v>115</v>
      </c>
      <c r="B64" s="213"/>
      <c r="C64" s="213"/>
      <c r="D64" s="213"/>
      <c r="E64" s="213"/>
      <c r="F64" s="213"/>
      <c r="G64" s="213"/>
      <c r="H64" s="213"/>
    </row>
    <row r="65" spans="1:8">
      <c r="A65" s="213" t="s">
        <v>116</v>
      </c>
      <c r="B65" s="213"/>
      <c r="C65" s="213"/>
      <c r="D65" s="213"/>
      <c r="E65" s="213"/>
      <c r="F65" s="213"/>
      <c r="G65" s="213"/>
      <c r="H65" s="213"/>
    </row>
    <row r="66" spans="1:8">
      <c r="A66" s="213"/>
      <c r="B66" s="213"/>
      <c r="C66" s="213"/>
      <c r="D66" s="213"/>
      <c r="E66" s="213"/>
      <c r="F66" s="213"/>
      <c r="G66" s="213"/>
      <c r="H66" s="213"/>
    </row>
    <row r="67" spans="1:8">
      <c r="A67" s="213" t="s">
        <v>117</v>
      </c>
      <c r="B67" s="213"/>
      <c r="C67" s="213"/>
      <c r="D67" s="213"/>
      <c r="E67" s="213"/>
      <c r="F67" s="213"/>
      <c r="G67" s="213"/>
      <c r="H67" s="213"/>
    </row>
    <row r="68" spans="1:8">
      <c r="A68" s="213" t="s">
        <v>118</v>
      </c>
      <c r="B68" s="213"/>
      <c r="C68" s="213"/>
      <c r="D68" s="213"/>
      <c r="E68" s="213"/>
      <c r="F68" s="213"/>
      <c r="G68" s="213"/>
      <c r="H68" s="213"/>
    </row>
    <row r="69" spans="1:8">
      <c r="A69" s="213" t="s">
        <v>119</v>
      </c>
      <c r="B69" s="213"/>
      <c r="C69" s="213"/>
      <c r="D69" s="213"/>
      <c r="E69" s="213"/>
      <c r="F69" s="213"/>
      <c r="G69" s="213"/>
      <c r="H69" s="213"/>
    </row>
    <row r="70" spans="1:8">
      <c r="A70" s="213" t="s">
        <v>120</v>
      </c>
      <c r="B70" s="213"/>
      <c r="C70" s="213"/>
      <c r="D70" s="213"/>
      <c r="E70" s="213"/>
      <c r="F70" s="213"/>
      <c r="G70" s="213"/>
      <c r="H70" s="213"/>
    </row>
    <row r="71" spans="1:8">
      <c r="A71" s="213" t="s">
        <v>121</v>
      </c>
      <c r="B71" s="213"/>
      <c r="C71" s="213"/>
      <c r="D71" s="213"/>
      <c r="E71" s="213"/>
      <c r="F71" s="213"/>
      <c r="G71" s="213"/>
      <c r="H71" s="213"/>
    </row>
    <row r="72" spans="1:8">
      <c r="A72" s="213" t="s">
        <v>122</v>
      </c>
      <c r="B72" s="213"/>
      <c r="C72" s="213"/>
      <c r="D72" s="213"/>
      <c r="E72" s="213"/>
      <c r="F72" s="213"/>
      <c r="G72" s="213"/>
      <c r="H72" s="213"/>
    </row>
    <row r="73" spans="1:8">
      <c r="A73" s="213" t="s">
        <v>123</v>
      </c>
      <c r="B73" s="213"/>
      <c r="C73" s="213"/>
      <c r="D73" s="213"/>
      <c r="E73" s="213"/>
      <c r="F73" s="213"/>
      <c r="G73" s="213"/>
      <c r="H73" s="213"/>
    </row>
    <row r="74" spans="1:8">
      <c r="A74" s="213"/>
      <c r="B74" s="213"/>
      <c r="C74" s="213"/>
      <c r="D74" s="213"/>
      <c r="E74" s="213"/>
      <c r="F74" s="213"/>
      <c r="G74" s="213"/>
      <c r="H74" s="213"/>
    </row>
    <row r="75" spans="1:8">
      <c r="A75" s="213" t="s">
        <v>124</v>
      </c>
      <c r="B75" s="213"/>
      <c r="C75" s="213"/>
      <c r="D75" s="213"/>
      <c r="E75" s="213"/>
      <c r="F75" s="213"/>
      <c r="G75" s="213"/>
      <c r="H75" s="213"/>
    </row>
    <row r="76" spans="1:8">
      <c r="A76" s="213" t="s">
        <v>125</v>
      </c>
      <c r="B76" s="213"/>
      <c r="C76" s="213"/>
      <c r="D76" s="213"/>
      <c r="E76" s="213"/>
      <c r="F76" s="213"/>
      <c r="G76" s="213"/>
      <c r="H76" s="213"/>
    </row>
    <row r="77" spans="1:8">
      <c r="A77" s="213" t="s">
        <v>126</v>
      </c>
      <c r="B77" s="213"/>
      <c r="C77" s="213"/>
      <c r="D77" s="213"/>
      <c r="E77" s="213"/>
      <c r="F77" s="213"/>
      <c r="G77" s="213"/>
      <c r="H77" s="213"/>
    </row>
    <row r="78" spans="1:8">
      <c r="A78" s="213"/>
      <c r="B78" s="213"/>
      <c r="C78" s="213"/>
      <c r="D78" s="213"/>
      <c r="E78" s="213"/>
      <c r="F78" s="213"/>
      <c r="G78" s="213"/>
      <c r="H78" s="213"/>
    </row>
    <row r="79" spans="1:8">
      <c r="A79" s="213" t="s">
        <v>71</v>
      </c>
    </row>
    <row r="80" spans="1:8">
      <c r="A80" s="214"/>
    </row>
    <row r="81" spans="1:1">
      <c r="A81" s="213"/>
    </row>
    <row r="82" spans="1:1">
      <c r="A82" s="213"/>
    </row>
    <row r="83" spans="1:1">
      <c r="A83" s="213"/>
    </row>
    <row r="84" spans="1:1">
      <c r="A84" s="213"/>
    </row>
    <row r="85" spans="1:1">
      <c r="A85" s="213"/>
    </row>
    <row r="86" spans="1:1">
      <c r="A86" s="213"/>
    </row>
    <row r="87" spans="1:1">
      <c r="A87" s="213"/>
    </row>
    <row r="88" spans="1:1">
      <c r="A88" s="213"/>
    </row>
    <row r="89" spans="1:1">
      <c r="A89" s="213"/>
    </row>
    <row r="90" spans="1:1">
      <c r="A90" s="213"/>
    </row>
    <row r="91" spans="1:1">
      <c r="A91" s="213"/>
    </row>
    <row r="92" spans="1:1">
      <c r="A92" s="213"/>
    </row>
    <row r="93" spans="1:1">
      <c r="A93" s="213"/>
    </row>
    <row r="94" spans="1:1">
      <c r="A94" s="213"/>
    </row>
    <row r="95" spans="1:1">
      <c r="A95" s="213"/>
    </row>
    <row r="96" spans="1:1">
      <c r="A96" s="213"/>
    </row>
    <row r="97" spans="1:1">
      <c r="A97" s="213"/>
    </row>
    <row r="98" spans="1:1">
      <c r="A98" s="213"/>
    </row>
    <row r="99" spans="1:1">
      <c r="A99" s="213"/>
    </row>
    <row r="100" spans="1:1">
      <c r="A100" s="213"/>
    </row>
    <row r="101" spans="1:1">
      <c r="A101" s="213"/>
    </row>
    <row r="103" spans="1:1">
      <c r="A103" s="213"/>
    </row>
    <row r="104" spans="1:1">
      <c r="A104" s="213"/>
    </row>
    <row r="105" spans="1:1">
      <c r="A105" s="213"/>
    </row>
    <row r="107" spans="1:1">
      <c r="A107" s="214"/>
    </row>
    <row r="108" spans="1:1">
      <c r="A108" s="214"/>
    </row>
    <row r="109" spans="1:1">
      <c r="A109" s="214"/>
    </row>
  </sheetData>
  <sheetProtection sheet="1"/>
  <phoneticPr fontId="31" type="noConversion"/>
  <pageMargins left="0.7" right="0.7" top="0.75" bottom="0.75" header="0.3" footer="0.3"/>
  <pageSetup orientation="portrait" r:id="rId1"/>
  <headerFooter>
    <oddFooter>&amp;Lrevised 9/25/09</oddFooter>
  </headerFooter>
</worksheet>
</file>

<file path=xl/worksheets/sheet14.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212" t="s">
        <v>127</v>
      </c>
      <c r="B3" s="212"/>
      <c r="C3" s="212"/>
      <c r="D3" s="212"/>
      <c r="E3" s="212"/>
      <c r="F3" s="212"/>
      <c r="G3" s="212"/>
      <c r="H3" s="212"/>
      <c r="I3" s="212"/>
      <c r="J3" s="212"/>
      <c r="K3" s="212"/>
      <c r="L3" s="212"/>
    </row>
    <row r="4" spans="1:12">
      <c r="A4" s="212"/>
      <c r="B4" s="212"/>
      <c r="C4" s="212"/>
      <c r="D4" s="212"/>
      <c r="E4" s="212"/>
      <c r="F4" s="212"/>
      <c r="G4" s="212"/>
      <c r="H4" s="212"/>
      <c r="I4" s="212"/>
      <c r="J4" s="212"/>
      <c r="K4" s="212"/>
      <c r="L4" s="212"/>
    </row>
    <row r="5" spans="1:12">
      <c r="A5" s="213" t="s">
        <v>24</v>
      </c>
      <c r="I5" s="212"/>
      <c r="J5" s="212"/>
      <c r="K5" s="212"/>
      <c r="L5" s="212"/>
    </row>
    <row r="6" spans="1:12">
      <c r="A6" s="213" t="str">
        <f>CONCATENATE("estimated ",inputPrYr!D6-1," 'total expenditures' exceed your ",inputPrYr!D6-1,"")</f>
        <v>estimated 2011 'total expenditures' exceed your 2011</v>
      </c>
      <c r="I6" s="212"/>
      <c r="J6" s="212"/>
      <c r="K6" s="212"/>
      <c r="L6" s="212"/>
    </row>
    <row r="7" spans="1:12">
      <c r="A7" s="216" t="s">
        <v>128</v>
      </c>
      <c r="I7" s="212"/>
      <c r="J7" s="212"/>
      <c r="K7" s="212"/>
      <c r="L7" s="212"/>
    </row>
    <row r="8" spans="1:12">
      <c r="A8" s="213"/>
      <c r="I8" s="212"/>
      <c r="J8" s="212"/>
      <c r="K8" s="212"/>
      <c r="L8" s="212"/>
    </row>
    <row r="9" spans="1:12">
      <c r="A9" s="213" t="s">
        <v>129</v>
      </c>
      <c r="I9" s="212"/>
      <c r="J9" s="212"/>
      <c r="K9" s="212"/>
      <c r="L9" s="212"/>
    </row>
    <row r="10" spans="1:12">
      <c r="A10" s="213" t="s">
        <v>130</v>
      </c>
      <c r="I10" s="212"/>
      <c r="J10" s="212"/>
      <c r="K10" s="212"/>
      <c r="L10" s="212"/>
    </row>
    <row r="11" spans="1:12">
      <c r="A11" s="213" t="s">
        <v>131</v>
      </c>
      <c r="I11" s="212"/>
      <c r="J11" s="212"/>
      <c r="K11" s="212"/>
      <c r="L11" s="212"/>
    </row>
    <row r="12" spans="1:12">
      <c r="A12" s="213" t="s">
        <v>132</v>
      </c>
      <c r="I12" s="212"/>
      <c r="J12" s="212"/>
      <c r="K12" s="212"/>
      <c r="L12" s="212"/>
    </row>
    <row r="13" spans="1:12">
      <c r="A13" s="213" t="s">
        <v>133</v>
      </c>
      <c r="I13" s="212"/>
      <c r="J13" s="212"/>
      <c r="K13" s="212"/>
      <c r="L13" s="212"/>
    </row>
    <row r="14" spans="1:12">
      <c r="A14" s="212"/>
      <c r="B14" s="212"/>
      <c r="C14" s="212"/>
      <c r="D14" s="212"/>
      <c r="E14" s="212"/>
      <c r="F14" s="212"/>
      <c r="G14" s="212"/>
      <c r="H14" s="212"/>
      <c r="I14" s="212"/>
      <c r="J14" s="212"/>
      <c r="K14" s="212"/>
      <c r="L14" s="212"/>
    </row>
    <row r="15" spans="1:12">
      <c r="A15" s="214" t="s">
        <v>134</v>
      </c>
    </row>
    <row r="16" spans="1:12">
      <c r="A16" s="214" t="s">
        <v>135</v>
      </c>
    </row>
    <row r="17" spans="1:7">
      <c r="A17" s="214"/>
    </row>
    <row r="18" spans="1:7">
      <c r="A18" s="213" t="s">
        <v>136</v>
      </c>
      <c r="B18" s="213"/>
      <c r="C18" s="213"/>
      <c r="D18" s="213"/>
      <c r="E18" s="213"/>
      <c r="F18" s="213"/>
      <c r="G18" s="213"/>
    </row>
    <row r="19" spans="1:7">
      <c r="A19" s="213" t="str">
        <f>CONCATENATE("your ",inputPrYr!D6-1," numbers to see what steps might be necessary to")</f>
        <v>your 2011 numbers to see what steps might be necessary to</v>
      </c>
      <c r="B19" s="213"/>
      <c r="C19" s="213"/>
      <c r="D19" s="213"/>
      <c r="E19" s="213"/>
      <c r="F19" s="213"/>
      <c r="G19" s="213"/>
    </row>
    <row r="20" spans="1:7">
      <c r="A20" s="213" t="s">
        <v>137</v>
      </c>
      <c r="B20" s="213"/>
      <c r="C20" s="213"/>
      <c r="D20" s="213"/>
      <c r="E20" s="213"/>
      <c r="F20" s="213"/>
      <c r="G20" s="213"/>
    </row>
    <row r="21" spans="1:7">
      <c r="A21" s="213" t="s">
        <v>138</v>
      </c>
      <c r="B21" s="213"/>
      <c r="C21" s="213"/>
      <c r="D21" s="213"/>
      <c r="E21" s="213"/>
      <c r="F21" s="213"/>
      <c r="G21" s="213"/>
    </row>
    <row r="22" spans="1:7">
      <c r="A22" s="213"/>
    </row>
    <row r="23" spans="1:7">
      <c r="A23" s="214" t="s">
        <v>139</v>
      </c>
    </row>
    <row r="24" spans="1:7">
      <c r="A24" s="214"/>
    </row>
    <row r="25" spans="1:7">
      <c r="A25" s="213" t="s">
        <v>140</v>
      </c>
    </row>
    <row r="26" spans="1:7">
      <c r="A26" s="213" t="s">
        <v>141</v>
      </c>
      <c r="B26" s="213"/>
      <c r="C26" s="213"/>
      <c r="D26" s="213"/>
      <c r="E26" s="213"/>
      <c r="F26" s="213"/>
    </row>
    <row r="27" spans="1:7">
      <c r="A27" s="213" t="s">
        <v>142</v>
      </c>
      <c r="B27" s="213"/>
      <c r="C27" s="213"/>
      <c r="D27" s="213"/>
      <c r="E27" s="213"/>
      <c r="F27" s="213"/>
    </row>
    <row r="28" spans="1:7">
      <c r="A28" s="213" t="s">
        <v>143</v>
      </c>
      <c r="B28" s="213"/>
      <c r="C28" s="213"/>
      <c r="D28" s="213"/>
      <c r="E28" s="213"/>
      <c r="F28" s="213"/>
    </row>
    <row r="29" spans="1:7">
      <c r="A29" s="213"/>
      <c r="B29" s="213"/>
      <c r="C29" s="213"/>
      <c r="D29" s="213"/>
      <c r="E29" s="213"/>
      <c r="F29" s="213"/>
    </row>
    <row r="30" spans="1:7">
      <c r="A30" s="214" t="s">
        <v>144</v>
      </c>
      <c r="B30" s="214"/>
      <c r="C30" s="214"/>
      <c r="D30" s="214"/>
      <c r="E30" s="214"/>
      <c r="F30" s="214"/>
      <c r="G30" s="214"/>
    </row>
    <row r="31" spans="1:7">
      <c r="A31" s="214" t="s">
        <v>145</v>
      </c>
      <c r="B31" s="214"/>
      <c r="C31" s="214"/>
      <c r="D31" s="214"/>
      <c r="E31" s="214"/>
      <c r="F31" s="214"/>
      <c r="G31" s="214"/>
    </row>
    <row r="32" spans="1:7">
      <c r="A32" s="213"/>
      <c r="B32" s="213"/>
      <c r="C32" s="213"/>
      <c r="D32" s="213"/>
      <c r="E32" s="213"/>
      <c r="F32" s="213"/>
    </row>
    <row r="33" spans="1:6">
      <c r="A33" s="207" t="str">
        <f>CONCATENATE("Well, let's look to see if any of your ",inputPrYr!D6-1," expenditures can")</f>
        <v>Well, let's look to see if any of your 2011 expenditures can</v>
      </c>
      <c r="B33" s="213"/>
      <c r="C33" s="213"/>
      <c r="D33" s="213"/>
      <c r="E33" s="213"/>
      <c r="F33" s="213"/>
    </row>
    <row r="34" spans="1:6">
      <c r="A34" s="207" t="s">
        <v>146</v>
      </c>
      <c r="B34" s="213"/>
      <c r="C34" s="213"/>
      <c r="D34" s="213"/>
      <c r="E34" s="213"/>
      <c r="F34" s="213"/>
    </row>
    <row r="35" spans="1:6">
      <c r="A35" s="207" t="s">
        <v>38</v>
      </c>
      <c r="B35" s="213"/>
      <c r="C35" s="213"/>
      <c r="D35" s="213"/>
      <c r="E35" s="213"/>
      <c r="F35" s="213"/>
    </row>
    <row r="36" spans="1:6">
      <c r="A36" s="207" t="s">
        <v>39</v>
      </c>
      <c r="B36" s="213"/>
      <c r="C36" s="213"/>
      <c r="D36" s="213"/>
      <c r="E36" s="213"/>
      <c r="F36" s="213"/>
    </row>
    <row r="37" spans="1:6">
      <c r="A37" s="207"/>
      <c r="B37" s="213"/>
      <c r="C37" s="213"/>
      <c r="D37" s="213"/>
      <c r="E37" s="213"/>
      <c r="F37" s="213"/>
    </row>
    <row r="38" spans="1:6">
      <c r="A38" s="207" t="str">
        <f>CONCATENATE("Additionally, do your ",inputPrYr!D6-1," receipts contain a reimbursement")</f>
        <v>Additionally, do your 2011 receipts contain a reimbursement</v>
      </c>
      <c r="B38" s="213"/>
      <c r="C38" s="213"/>
      <c r="D38" s="213"/>
      <c r="E38" s="213"/>
      <c r="F38" s="213"/>
    </row>
    <row r="39" spans="1:6">
      <c r="A39" s="207" t="s">
        <v>40</v>
      </c>
      <c r="B39" s="213"/>
      <c r="C39" s="213"/>
      <c r="D39" s="213"/>
      <c r="E39" s="213"/>
      <c r="F39" s="213"/>
    </row>
    <row r="40" spans="1:6">
      <c r="A40" s="207" t="s">
        <v>41</v>
      </c>
      <c r="B40" s="213"/>
      <c r="C40" s="213"/>
      <c r="D40" s="213"/>
      <c r="E40" s="213"/>
      <c r="F40" s="213"/>
    </row>
    <row r="41" spans="1:6">
      <c r="A41" s="207"/>
      <c r="B41" s="213"/>
      <c r="C41" s="213"/>
      <c r="D41" s="213"/>
      <c r="E41" s="213"/>
      <c r="F41" s="213"/>
    </row>
    <row r="42" spans="1:6">
      <c r="A42" s="207" t="s">
        <v>147</v>
      </c>
      <c r="B42" s="213"/>
      <c r="C42" s="213"/>
      <c r="D42" s="213"/>
      <c r="E42" s="213"/>
      <c r="F42" s="213"/>
    </row>
    <row r="43" spans="1:6">
      <c r="A43" s="207" t="s">
        <v>148</v>
      </c>
      <c r="B43" s="213"/>
      <c r="C43" s="213"/>
      <c r="D43" s="213"/>
      <c r="E43" s="213"/>
      <c r="F43" s="213"/>
    </row>
    <row r="44" spans="1:6">
      <c r="A44" s="207" t="s">
        <v>149</v>
      </c>
      <c r="B44" s="213"/>
      <c r="C44" s="213"/>
      <c r="D44" s="213"/>
      <c r="E44" s="213"/>
      <c r="F44" s="213"/>
    </row>
    <row r="45" spans="1:6">
      <c r="A45" s="207" t="s">
        <v>150</v>
      </c>
      <c r="B45" s="213"/>
      <c r="C45" s="213"/>
      <c r="D45" s="213"/>
      <c r="E45" s="213"/>
      <c r="F45" s="213"/>
    </row>
    <row r="46" spans="1:6">
      <c r="A46" s="207" t="s">
        <v>151</v>
      </c>
      <c r="B46" s="213"/>
      <c r="C46" s="213"/>
      <c r="D46" s="213"/>
      <c r="E46" s="213"/>
      <c r="F46" s="213"/>
    </row>
    <row r="47" spans="1:6">
      <c r="A47" s="207"/>
      <c r="B47" s="213"/>
      <c r="C47" s="213"/>
      <c r="D47" s="213"/>
      <c r="E47" s="213"/>
      <c r="F47" s="213"/>
    </row>
    <row r="48" spans="1:6">
      <c r="A48" s="208" t="s">
        <v>152</v>
      </c>
      <c r="B48" s="213"/>
      <c r="C48" s="213"/>
      <c r="D48" s="213"/>
      <c r="E48" s="213"/>
      <c r="F48" s="213"/>
    </row>
    <row r="49" spans="1:6">
      <c r="A49" s="208" t="s">
        <v>153</v>
      </c>
      <c r="B49" s="213"/>
      <c r="C49" s="213"/>
      <c r="D49" s="213"/>
      <c r="E49" s="213"/>
      <c r="F49" s="213"/>
    </row>
    <row r="50" spans="1:6">
      <c r="A50" s="208" t="s">
        <v>154</v>
      </c>
      <c r="B50" s="213"/>
      <c r="C50" s="213"/>
      <c r="D50" s="213"/>
      <c r="E50" s="213"/>
      <c r="F50" s="213"/>
    </row>
    <row r="51" spans="1:6">
      <c r="A51" s="208" t="s">
        <v>155</v>
      </c>
    </row>
    <row r="52" spans="1:6">
      <c r="A52" s="208" t="s">
        <v>156</v>
      </c>
    </row>
    <row r="53" spans="1:6">
      <c r="A53" s="208" t="s">
        <v>157</v>
      </c>
    </row>
    <row r="55" spans="1:6">
      <c r="A55" s="213" t="s">
        <v>158</v>
      </c>
    </row>
    <row r="56" spans="1:6">
      <c r="A56" s="213" t="s">
        <v>159</v>
      </c>
    </row>
    <row r="57" spans="1:6">
      <c r="A57" s="213" t="s">
        <v>160</v>
      </c>
    </row>
    <row r="58" spans="1:6">
      <c r="A58" s="213" t="s">
        <v>161</v>
      </c>
    </row>
    <row r="59" spans="1:6">
      <c r="A59" s="213" t="s">
        <v>162</v>
      </c>
    </row>
    <row r="60" spans="1:6">
      <c r="A60" s="213" t="s">
        <v>163</v>
      </c>
    </row>
    <row r="62" spans="1:6">
      <c r="A62" s="213" t="s">
        <v>71</v>
      </c>
    </row>
  </sheetData>
  <sheetProtection sheet="1"/>
  <phoneticPr fontId="31" type="noConversion"/>
  <pageMargins left="0.7" right="0.7" top="0.75" bottom="0.75" header="0.3" footer="0.3"/>
  <pageSetup orientation="portrait" blackAndWhite="1" r:id="rId1"/>
  <headerFooter>
    <oddFooter>&amp;Lrevised 9/25/09</oddFooter>
  </headerFooter>
</worksheet>
</file>

<file path=xl/worksheets/sheet15.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212" t="s">
        <v>164</v>
      </c>
      <c r="B3" s="212"/>
      <c r="C3" s="212"/>
      <c r="D3" s="212"/>
      <c r="E3" s="212"/>
      <c r="F3" s="212"/>
      <c r="G3" s="212"/>
    </row>
    <row r="4" spans="1:7">
      <c r="A4" s="212"/>
      <c r="B4" s="212"/>
      <c r="C4" s="212"/>
      <c r="D4" s="212"/>
      <c r="E4" s="212"/>
      <c r="F4" s="212"/>
      <c r="G4" s="212"/>
    </row>
    <row r="5" spans="1:7">
      <c r="A5" s="213" t="s">
        <v>73</v>
      </c>
    </row>
    <row r="6" spans="1:7">
      <c r="A6" s="213" t="str">
        <f>CONCATENATE(inputPrYr!D6-1," estimated expenditures show that at the end of this year")</f>
        <v>2011 estimated expenditures show that at the end of this year</v>
      </c>
    </row>
    <row r="7" spans="1:7">
      <c r="A7" s="213" t="s">
        <v>165</v>
      </c>
    </row>
    <row r="8" spans="1:7">
      <c r="A8" s="213" t="s">
        <v>166</v>
      </c>
    </row>
    <row r="10" spans="1:7">
      <c r="A10" t="s">
        <v>75</v>
      </c>
    </row>
    <row r="11" spans="1:7">
      <c r="A11" t="s">
        <v>76</v>
      </c>
    </row>
    <row r="12" spans="1:7">
      <c r="A12" t="s">
        <v>77</v>
      </c>
    </row>
    <row r="13" spans="1:7">
      <c r="A13" s="212"/>
      <c r="B13" s="212"/>
      <c r="C13" s="212"/>
      <c r="D13" s="212"/>
      <c r="E13" s="212"/>
      <c r="F13" s="212"/>
      <c r="G13" s="212"/>
    </row>
    <row r="14" spans="1:7">
      <c r="A14" s="214" t="s">
        <v>167</v>
      </c>
    </row>
    <row r="15" spans="1:7">
      <c r="A15" s="213"/>
    </row>
    <row r="16" spans="1:7">
      <c r="A16" s="213" t="s">
        <v>168</v>
      </c>
    </row>
    <row r="17" spans="1:7">
      <c r="A17" s="213" t="s">
        <v>169</v>
      </c>
    </row>
    <row r="18" spans="1:7">
      <c r="A18" s="213" t="s">
        <v>170</v>
      </c>
    </row>
    <row r="19" spans="1:7">
      <c r="A19" s="213"/>
    </row>
    <row r="20" spans="1:7">
      <c r="A20" s="213" t="s">
        <v>171</v>
      </c>
    </row>
    <row r="21" spans="1:7">
      <c r="A21" s="213" t="s">
        <v>172</v>
      </c>
    </row>
    <row r="22" spans="1:7">
      <c r="A22" s="213" t="s">
        <v>173</v>
      </c>
    </row>
    <row r="23" spans="1:7">
      <c r="A23" s="213" t="s">
        <v>174</v>
      </c>
    </row>
    <row r="24" spans="1:7">
      <c r="A24" s="213"/>
    </row>
    <row r="25" spans="1:7">
      <c r="A25" s="214" t="s">
        <v>139</v>
      </c>
    </row>
    <row r="26" spans="1:7">
      <c r="A26" s="214"/>
    </row>
    <row r="27" spans="1:7">
      <c r="A27" s="213" t="s">
        <v>140</v>
      </c>
    </row>
    <row r="28" spans="1:7">
      <c r="A28" s="213" t="s">
        <v>141</v>
      </c>
      <c r="B28" s="213"/>
      <c r="C28" s="213"/>
      <c r="D28" s="213"/>
      <c r="E28" s="213"/>
      <c r="F28" s="213"/>
    </row>
    <row r="29" spans="1:7">
      <c r="A29" s="213" t="s">
        <v>142</v>
      </c>
      <c r="B29" s="213"/>
      <c r="C29" s="213"/>
      <c r="D29" s="213"/>
      <c r="E29" s="213"/>
      <c r="F29" s="213"/>
    </row>
    <row r="30" spans="1:7">
      <c r="A30" s="213" t="s">
        <v>143</v>
      </c>
      <c r="B30" s="213"/>
      <c r="C30" s="213"/>
      <c r="D30" s="213"/>
      <c r="E30" s="213"/>
      <c r="F30" s="213"/>
    </row>
    <row r="31" spans="1:7">
      <c r="A31" s="213"/>
    </row>
    <row r="32" spans="1:7">
      <c r="A32" s="214" t="s">
        <v>144</v>
      </c>
      <c r="B32" s="214"/>
      <c r="C32" s="214"/>
      <c r="D32" s="214"/>
      <c r="E32" s="214"/>
      <c r="F32" s="214"/>
      <c r="G32" s="214"/>
    </row>
    <row r="33" spans="1:7">
      <c r="A33" s="214" t="s">
        <v>145</v>
      </c>
      <c r="B33" s="214"/>
      <c r="C33" s="214"/>
      <c r="D33" s="214"/>
      <c r="E33" s="214"/>
      <c r="F33" s="214"/>
      <c r="G33" s="214"/>
    </row>
    <row r="34" spans="1:7">
      <c r="A34" s="214"/>
      <c r="B34" s="214"/>
      <c r="C34" s="214"/>
      <c r="D34" s="214"/>
      <c r="E34" s="214"/>
      <c r="F34" s="214"/>
      <c r="G34" s="214"/>
    </row>
    <row r="35" spans="1:7">
      <c r="A35" s="213" t="s">
        <v>175</v>
      </c>
      <c r="B35" s="213"/>
      <c r="C35" s="213"/>
      <c r="D35" s="213"/>
      <c r="E35" s="213"/>
      <c r="F35" s="213"/>
      <c r="G35" s="213"/>
    </row>
    <row r="36" spans="1:7">
      <c r="A36" s="213" t="s">
        <v>176</v>
      </c>
      <c r="B36" s="213"/>
      <c r="C36" s="213"/>
      <c r="D36" s="213"/>
      <c r="E36" s="213"/>
      <c r="F36" s="213"/>
      <c r="G36" s="213"/>
    </row>
    <row r="37" spans="1:7">
      <c r="A37" s="213" t="s">
        <v>177</v>
      </c>
      <c r="B37" s="213"/>
      <c r="C37" s="213"/>
      <c r="D37" s="213"/>
      <c r="E37" s="213"/>
      <c r="F37" s="213"/>
      <c r="G37" s="213"/>
    </row>
    <row r="38" spans="1:7">
      <c r="A38" s="213" t="s">
        <v>178</v>
      </c>
      <c r="B38" s="213"/>
      <c r="C38" s="213"/>
      <c r="D38" s="213"/>
      <c r="E38" s="213"/>
      <c r="F38" s="213"/>
      <c r="G38" s="213"/>
    </row>
    <row r="39" spans="1:7">
      <c r="A39" s="213" t="s">
        <v>179</v>
      </c>
      <c r="B39" s="213"/>
      <c r="C39" s="213"/>
      <c r="D39" s="213"/>
      <c r="E39" s="213"/>
      <c r="F39" s="213"/>
      <c r="G39" s="213"/>
    </row>
    <row r="40" spans="1:7">
      <c r="A40" s="214"/>
      <c r="B40" s="214"/>
      <c r="C40" s="214"/>
      <c r="D40" s="214"/>
      <c r="E40" s="214"/>
      <c r="F40" s="214"/>
      <c r="G40" s="214"/>
    </row>
    <row r="41" spans="1:7">
      <c r="A41" s="207" t="str">
        <f>CONCATENATE("So, let's look to see if any of your ",inputPrYr!D6-1," expenditures can")</f>
        <v>So, let's look to see if any of your 2011 expenditures can</v>
      </c>
      <c r="B41" s="213"/>
      <c r="C41" s="213"/>
      <c r="D41" s="213"/>
      <c r="E41" s="213"/>
      <c r="F41" s="213"/>
    </row>
    <row r="42" spans="1:7">
      <c r="A42" s="207" t="s">
        <v>146</v>
      </c>
      <c r="B42" s="213"/>
      <c r="C42" s="213"/>
      <c r="D42" s="213"/>
      <c r="E42" s="213"/>
      <c r="F42" s="213"/>
    </row>
    <row r="43" spans="1:7">
      <c r="A43" s="207" t="s">
        <v>38</v>
      </c>
      <c r="B43" s="213"/>
      <c r="C43" s="213"/>
      <c r="D43" s="213"/>
      <c r="E43" s="213"/>
      <c r="F43" s="213"/>
    </row>
    <row r="44" spans="1:7">
      <c r="A44" s="207" t="s">
        <v>39</v>
      </c>
      <c r="B44" s="213"/>
      <c r="C44" s="213"/>
      <c r="D44" s="213"/>
      <c r="E44" s="213"/>
      <c r="F44" s="213"/>
    </row>
    <row r="45" spans="1:7">
      <c r="A45" s="213"/>
    </row>
    <row r="46" spans="1:7">
      <c r="A46" s="207" t="str">
        <f>CONCATENATE("Additionally, do your ",inputPrYr!D6-1," receipts contain a reimbursement")</f>
        <v>Additionally, do your 2011 receipts contain a reimbursement</v>
      </c>
      <c r="B46" s="213"/>
      <c r="C46" s="213"/>
      <c r="D46" s="213"/>
      <c r="E46" s="213"/>
      <c r="F46" s="213"/>
    </row>
    <row r="47" spans="1:7">
      <c r="A47" s="207" t="s">
        <v>40</v>
      </c>
      <c r="B47" s="213"/>
      <c r="C47" s="213"/>
      <c r="D47" s="213"/>
      <c r="E47" s="213"/>
      <c r="F47" s="213"/>
    </row>
    <row r="48" spans="1:7">
      <c r="A48" s="207" t="s">
        <v>41</v>
      </c>
      <c r="B48" s="213"/>
      <c r="C48" s="213"/>
      <c r="D48" s="213"/>
      <c r="E48" s="213"/>
      <c r="F48" s="213"/>
    </row>
    <row r="49" spans="1:7">
      <c r="A49" s="213"/>
      <c r="B49" s="213"/>
      <c r="C49" s="213"/>
      <c r="D49" s="213"/>
      <c r="E49" s="213"/>
      <c r="F49" s="213"/>
      <c r="G49" s="213"/>
    </row>
    <row r="50" spans="1:7">
      <c r="A50" s="213" t="s">
        <v>100</v>
      </c>
      <c r="B50" s="213"/>
      <c r="C50" s="213"/>
      <c r="D50" s="213"/>
      <c r="E50" s="213"/>
      <c r="F50" s="213"/>
      <c r="G50" s="213"/>
    </row>
    <row r="51" spans="1:7">
      <c r="A51" s="213" t="s">
        <v>101</v>
      </c>
      <c r="B51" s="213"/>
      <c r="C51" s="213"/>
      <c r="D51" s="213"/>
      <c r="E51" s="213"/>
      <c r="F51" s="213"/>
      <c r="G51" s="213"/>
    </row>
    <row r="52" spans="1:7">
      <c r="A52" s="213" t="s">
        <v>102</v>
      </c>
      <c r="B52" s="213"/>
      <c r="C52" s="213"/>
      <c r="D52" s="213"/>
      <c r="E52" s="213"/>
      <c r="F52" s="213"/>
      <c r="G52" s="213"/>
    </row>
    <row r="53" spans="1:7">
      <c r="A53" s="213" t="s">
        <v>103</v>
      </c>
      <c r="B53" s="213"/>
      <c r="C53" s="213"/>
      <c r="D53" s="213"/>
      <c r="E53" s="213"/>
      <c r="F53" s="213"/>
      <c r="G53" s="213"/>
    </row>
    <row r="54" spans="1:7">
      <c r="A54" s="213" t="s">
        <v>104</v>
      </c>
      <c r="B54" s="213"/>
      <c r="C54" s="213"/>
      <c r="D54" s="213"/>
      <c r="E54" s="213"/>
      <c r="F54" s="213"/>
      <c r="G54" s="213"/>
    </row>
    <row r="55" spans="1:7">
      <c r="A55" s="213"/>
      <c r="B55" s="213"/>
      <c r="C55" s="213"/>
      <c r="D55" s="213"/>
      <c r="E55" s="213"/>
      <c r="F55" s="213"/>
      <c r="G55" s="213"/>
    </row>
    <row r="56" spans="1:7">
      <c r="A56" s="207" t="s">
        <v>42</v>
      </c>
      <c r="B56" s="213"/>
      <c r="C56" s="213"/>
      <c r="D56" s="213"/>
      <c r="E56" s="213"/>
      <c r="F56" s="213"/>
    </row>
    <row r="57" spans="1:7">
      <c r="A57" s="207" t="s">
        <v>43</v>
      </c>
      <c r="B57" s="213"/>
      <c r="C57" s="213"/>
      <c r="D57" s="213"/>
      <c r="E57" s="213"/>
      <c r="F57" s="213"/>
    </row>
    <row r="58" spans="1:7">
      <c r="A58" s="207" t="s">
        <v>44</v>
      </c>
      <c r="B58" s="213"/>
      <c r="C58" s="213"/>
      <c r="D58" s="213"/>
      <c r="E58" s="213"/>
      <c r="F58" s="213"/>
    </row>
    <row r="59" spans="1:7">
      <c r="A59" s="207"/>
      <c r="B59" s="213"/>
      <c r="C59" s="213"/>
      <c r="D59" s="213"/>
      <c r="E59" s="213"/>
      <c r="F59" s="213"/>
    </row>
    <row r="60" spans="1:7">
      <c r="A60" s="213" t="s">
        <v>180</v>
      </c>
      <c r="B60" s="213"/>
      <c r="C60" s="213"/>
      <c r="D60" s="213"/>
      <c r="E60" s="213"/>
      <c r="F60" s="213"/>
      <c r="G60" s="213"/>
    </row>
    <row r="61" spans="1:7">
      <c r="A61" s="213" t="s">
        <v>181</v>
      </c>
      <c r="B61" s="213"/>
      <c r="C61" s="213"/>
      <c r="D61" s="213"/>
      <c r="E61" s="213"/>
      <c r="F61" s="213"/>
      <c r="G61" s="213"/>
    </row>
    <row r="62" spans="1:7">
      <c r="A62" s="213" t="s">
        <v>182</v>
      </c>
      <c r="B62" s="213"/>
      <c r="C62" s="213"/>
      <c r="D62" s="213"/>
      <c r="E62" s="213"/>
      <c r="F62" s="213"/>
      <c r="G62" s="213"/>
    </row>
    <row r="63" spans="1:7">
      <c r="A63" s="213" t="s">
        <v>183</v>
      </c>
      <c r="B63" s="213"/>
      <c r="C63" s="213"/>
      <c r="D63" s="213"/>
      <c r="E63" s="213"/>
      <c r="F63" s="213"/>
      <c r="G63" s="213"/>
    </row>
    <row r="64" spans="1:7">
      <c r="A64" s="213" t="s">
        <v>184</v>
      </c>
      <c r="B64" s="213"/>
      <c r="C64" s="213"/>
      <c r="D64" s="213"/>
      <c r="E64" s="213"/>
      <c r="F64" s="213"/>
      <c r="G64" s="213"/>
    </row>
    <row r="66" spans="1:6">
      <c r="A66" s="207" t="s">
        <v>147</v>
      </c>
      <c r="B66" s="213"/>
      <c r="C66" s="213"/>
      <c r="D66" s="213"/>
      <c r="E66" s="213"/>
      <c r="F66" s="213"/>
    </row>
    <row r="67" spans="1:6">
      <c r="A67" s="207" t="s">
        <v>148</v>
      </c>
      <c r="B67" s="213"/>
      <c r="C67" s="213"/>
      <c r="D67" s="213"/>
      <c r="E67" s="213"/>
      <c r="F67" s="213"/>
    </row>
    <row r="68" spans="1:6">
      <c r="A68" s="207" t="s">
        <v>149</v>
      </c>
      <c r="B68" s="213"/>
      <c r="C68" s="213"/>
      <c r="D68" s="213"/>
      <c r="E68" s="213"/>
      <c r="F68" s="213"/>
    </row>
    <row r="69" spans="1:6">
      <c r="A69" s="207" t="s">
        <v>150</v>
      </c>
      <c r="B69" s="213"/>
      <c r="C69" s="213"/>
      <c r="D69" s="213"/>
      <c r="E69" s="213"/>
      <c r="F69" s="213"/>
    </row>
    <row r="70" spans="1:6">
      <c r="A70" s="207" t="s">
        <v>151</v>
      </c>
      <c r="B70" s="213"/>
      <c r="C70" s="213"/>
      <c r="D70" s="213"/>
      <c r="E70" s="213"/>
      <c r="F70" s="213"/>
    </row>
    <row r="71" spans="1:6">
      <c r="A71" s="213"/>
    </row>
    <row r="72" spans="1:6">
      <c r="A72" s="213" t="s">
        <v>71</v>
      </c>
    </row>
    <row r="73" spans="1:6">
      <c r="A73" s="213"/>
    </row>
    <row r="74" spans="1:6">
      <c r="A74" s="213"/>
    </row>
    <row r="75" spans="1:6">
      <c r="A75" s="213"/>
    </row>
    <row r="78" spans="1:6">
      <c r="A78" s="214"/>
    </row>
    <row r="80" spans="1:6">
      <c r="A80" s="213"/>
    </row>
    <row r="81" spans="1:1">
      <c r="A81" s="213"/>
    </row>
    <row r="82" spans="1:1">
      <c r="A82" s="213"/>
    </row>
    <row r="83" spans="1:1">
      <c r="A83" s="213"/>
    </row>
    <row r="84" spans="1:1">
      <c r="A84" s="213"/>
    </row>
    <row r="85" spans="1:1">
      <c r="A85" s="213"/>
    </row>
    <row r="86" spans="1:1">
      <c r="A86" s="213"/>
    </row>
    <row r="87" spans="1:1">
      <c r="A87" s="213"/>
    </row>
    <row r="88" spans="1:1">
      <c r="A88" s="213"/>
    </row>
    <row r="89" spans="1:1">
      <c r="A89" s="213"/>
    </row>
    <row r="90" spans="1:1">
      <c r="A90" s="213"/>
    </row>
    <row r="92" spans="1:1">
      <c r="A92" s="213"/>
    </row>
    <row r="93" spans="1:1">
      <c r="A93" s="213"/>
    </row>
    <row r="94" spans="1:1">
      <c r="A94" s="213"/>
    </row>
    <row r="95" spans="1:1">
      <c r="A95" s="213"/>
    </row>
    <row r="96" spans="1:1">
      <c r="A96" s="213"/>
    </row>
    <row r="97" spans="1:1">
      <c r="A97" s="213"/>
    </row>
    <row r="98" spans="1:1">
      <c r="A98" s="213"/>
    </row>
    <row r="99" spans="1:1">
      <c r="A99" s="213"/>
    </row>
    <row r="100" spans="1:1">
      <c r="A100" s="213"/>
    </row>
    <row r="101" spans="1:1">
      <c r="A101" s="213"/>
    </row>
    <row r="102" spans="1:1">
      <c r="A102" s="213"/>
    </row>
    <row r="103" spans="1:1">
      <c r="A103" s="213"/>
    </row>
    <row r="104" spans="1:1">
      <c r="A104" s="213"/>
    </row>
    <row r="105" spans="1:1">
      <c r="A105" s="213"/>
    </row>
    <row r="106" spans="1:1">
      <c r="A106" s="213"/>
    </row>
  </sheetData>
  <sheetProtection sheet="1"/>
  <phoneticPr fontId="31" type="noConversion"/>
  <pageMargins left="0.7" right="0.7" top="0.75" bottom="0.75" header="0.3" footer="0.3"/>
  <pageSetup orientation="portrait" r:id="rId1"/>
  <headerFooter>
    <oddFooter>&amp;Lrevised 9/25/09</oddFooter>
  </headerFooter>
</worksheet>
</file>

<file path=xl/worksheets/sheet16.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212" t="s">
        <v>185</v>
      </c>
      <c r="B3" s="212"/>
      <c r="C3" s="212"/>
      <c r="D3" s="212"/>
      <c r="E3" s="212"/>
      <c r="F3" s="212"/>
      <c r="G3" s="212"/>
    </row>
    <row r="4" spans="1:7">
      <c r="A4" s="212" t="s">
        <v>186</v>
      </c>
      <c r="B4" s="212"/>
      <c r="C4" s="212"/>
      <c r="D4" s="212"/>
      <c r="E4" s="212"/>
      <c r="F4" s="212"/>
      <c r="G4" s="212"/>
    </row>
    <row r="5" spans="1:7">
      <c r="A5" s="212"/>
      <c r="B5" s="212"/>
      <c r="C5" s="212"/>
      <c r="D5" s="212"/>
      <c r="E5" s="212"/>
      <c r="F5" s="212"/>
      <c r="G5" s="212"/>
    </row>
    <row r="6" spans="1:7">
      <c r="A6" s="212"/>
      <c r="B6" s="212"/>
      <c r="C6" s="212"/>
      <c r="D6" s="212"/>
      <c r="E6" s="212"/>
      <c r="F6" s="212"/>
      <c r="G6" s="212"/>
    </row>
    <row r="7" spans="1:7">
      <c r="A7" s="213" t="s">
        <v>24</v>
      </c>
    </row>
    <row r="8" spans="1:7">
      <c r="A8" s="213" t="str">
        <f>CONCATENATE("estimated ",inputPrYr!D6," 'total expenditures' exceed your ",inputPrYr!D6,"")</f>
        <v>estimated 2012 'total expenditures' exceed your 2012</v>
      </c>
    </row>
    <row r="9" spans="1:7">
      <c r="A9" s="216" t="s">
        <v>187</v>
      </c>
    </row>
    <row r="10" spans="1:7">
      <c r="A10" s="213"/>
    </row>
    <row r="11" spans="1:7">
      <c r="A11" s="213" t="s">
        <v>188</v>
      </c>
    </row>
    <row r="12" spans="1:7">
      <c r="A12" s="213" t="s">
        <v>189</v>
      </c>
    </row>
    <row r="13" spans="1:7">
      <c r="A13" s="213" t="s">
        <v>190</v>
      </c>
    </row>
    <row r="14" spans="1:7">
      <c r="A14" s="213"/>
    </row>
    <row r="15" spans="1:7">
      <c r="A15" s="214" t="s">
        <v>191</v>
      </c>
    </row>
    <row r="16" spans="1:7">
      <c r="A16" s="212"/>
      <c r="B16" s="212"/>
      <c r="C16" s="212"/>
      <c r="D16" s="212"/>
      <c r="E16" s="212"/>
      <c r="F16" s="212"/>
      <c r="G16" s="212"/>
    </row>
    <row r="17" spans="1:8">
      <c r="A17" s="217" t="s">
        <v>192</v>
      </c>
      <c r="B17" s="209"/>
      <c r="C17" s="209"/>
      <c r="D17" s="209"/>
      <c r="E17" s="209"/>
      <c r="F17" s="209"/>
      <c r="G17" s="209"/>
      <c r="H17" s="209"/>
    </row>
    <row r="18" spans="1:8">
      <c r="A18" s="213" t="s">
        <v>193</v>
      </c>
      <c r="B18" s="218"/>
      <c r="C18" s="218"/>
      <c r="D18" s="218"/>
      <c r="E18" s="218"/>
      <c r="F18" s="218"/>
      <c r="G18" s="218"/>
    </row>
    <row r="19" spans="1:8">
      <c r="A19" s="213" t="s">
        <v>194</v>
      </c>
    </row>
    <row r="20" spans="1:8">
      <c r="A20" s="213" t="s">
        <v>195</v>
      </c>
    </row>
    <row r="22" spans="1:8">
      <c r="A22" s="214" t="s">
        <v>196</v>
      </c>
    </row>
    <row r="24" spans="1:8">
      <c r="A24" s="213" t="s">
        <v>197</v>
      </c>
    </row>
    <row r="25" spans="1:8">
      <c r="A25" s="213" t="s">
        <v>198</v>
      </c>
    </row>
    <row r="26" spans="1:8">
      <c r="A26" s="213" t="s">
        <v>199</v>
      </c>
    </row>
    <row r="28" spans="1:8">
      <c r="A28" s="214" t="s">
        <v>200</v>
      </c>
    </row>
    <row r="30" spans="1:8">
      <c r="A30" t="s">
        <v>201</v>
      </c>
    </row>
    <row r="31" spans="1:8">
      <c r="A31" t="s">
        <v>202</v>
      </c>
    </row>
    <row r="32" spans="1:8">
      <c r="A32" t="s">
        <v>203</v>
      </c>
    </row>
    <row r="33" spans="1:1">
      <c r="A33" s="213" t="s">
        <v>204</v>
      </c>
    </row>
    <row r="35" spans="1:1">
      <c r="A35" t="s">
        <v>205</v>
      </c>
    </row>
    <row r="36" spans="1:1">
      <c r="A36" t="s">
        <v>206</v>
      </c>
    </row>
    <row r="37" spans="1:1">
      <c r="A37" t="s">
        <v>207</v>
      </c>
    </row>
    <row r="38" spans="1:1">
      <c r="A38" t="s">
        <v>208</v>
      </c>
    </row>
    <row r="40" spans="1:1">
      <c r="A40" t="s">
        <v>209</v>
      </c>
    </row>
    <row r="41" spans="1:1">
      <c r="A41" t="s">
        <v>210</v>
      </c>
    </row>
    <row r="42" spans="1:1">
      <c r="A42" t="s">
        <v>211</v>
      </c>
    </row>
    <row r="43" spans="1:1">
      <c r="A43" t="s">
        <v>215</v>
      </c>
    </row>
    <row r="44" spans="1:1">
      <c r="A44" t="s">
        <v>216</v>
      </c>
    </row>
    <row r="45" spans="1:1">
      <c r="A45" t="s">
        <v>217</v>
      </c>
    </row>
    <row r="47" spans="1:1">
      <c r="A47" t="s">
        <v>218</v>
      </c>
    </row>
    <row r="48" spans="1:1">
      <c r="A48" t="s">
        <v>219</v>
      </c>
    </row>
    <row r="49" spans="1:1">
      <c r="A49" s="213" t="s">
        <v>220</v>
      </c>
    </row>
    <row r="50" spans="1:1">
      <c r="A50" s="213" t="s">
        <v>221</v>
      </c>
    </row>
    <row r="52" spans="1:1">
      <c r="A52" t="s">
        <v>71</v>
      </c>
    </row>
  </sheetData>
  <sheetProtection sheet="1"/>
  <phoneticPr fontId="31" type="noConversion"/>
  <pageMargins left="0.7" right="0.7" top="0.75" bottom="0.75" header="0.3" footer="0.3"/>
  <pageSetup orientation="portrait" r:id="rId1"/>
  <headerFooter>
    <oddFooter>&amp;Lrevised 9/25/09</oddFooter>
  </headerFooter>
</worksheet>
</file>

<file path=xl/worksheets/sheet17.xml><?xml version="1.0" encoding="utf-8"?>
<worksheet xmlns="http://schemas.openxmlformats.org/spreadsheetml/2006/main" xmlns:r="http://schemas.openxmlformats.org/officeDocument/2006/relationships">
  <dimension ref="A1:A84"/>
  <sheetViews>
    <sheetView workbookViewId="0">
      <selection activeCell="A5" sqref="A5"/>
    </sheetView>
  </sheetViews>
  <sheetFormatPr defaultRowHeight="15.75"/>
  <cols>
    <col min="1" max="1" width="67.33203125" style="98" customWidth="1"/>
    <col min="2" max="2" width="14.5546875" style="98" customWidth="1"/>
    <col min="3" max="3" width="14.21875" style="98" customWidth="1"/>
    <col min="4" max="16384" width="8.88671875" style="98"/>
  </cols>
  <sheetData>
    <row r="1" spans="1:1">
      <c r="A1" s="210" t="s">
        <v>224</v>
      </c>
    </row>
    <row r="2" spans="1:1">
      <c r="A2" s="98" t="s">
        <v>227</v>
      </c>
    </row>
    <row r="3" spans="1:1">
      <c r="A3" s="98" t="s">
        <v>225</v>
      </c>
    </row>
    <row r="4" spans="1:1">
      <c r="A4" s="98" t="s">
        <v>226</v>
      </c>
    </row>
    <row r="6" spans="1:1">
      <c r="A6" s="219" t="s">
        <v>222</v>
      </c>
    </row>
    <row r="7" spans="1:1">
      <c r="A7" s="98" t="s">
        <v>223</v>
      </c>
    </row>
    <row r="9" spans="1:1">
      <c r="A9" s="210" t="s">
        <v>18</v>
      </c>
    </row>
    <row r="10" spans="1:1">
      <c r="A10" s="211" t="s">
        <v>19</v>
      </c>
    </row>
    <row r="11" spans="1:1">
      <c r="A11" s="211" t="s">
        <v>20</v>
      </c>
    </row>
    <row r="12" spans="1:1">
      <c r="A12" s="211" t="s">
        <v>21</v>
      </c>
    </row>
    <row r="13" spans="1:1">
      <c r="A13" s="98" t="s">
        <v>22</v>
      </c>
    </row>
    <row r="15" spans="1:1">
      <c r="A15" s="195" t="s">
        <v>434</v>
      </c>
    </row>
    <row r="16" spans="1:1">
      <c r="A16" s="98" t="s">
        <v>425</v>
      </c>
    </row>
    <row r="17" spans="1:1">
      <c r="A17" s="98" t="s">
        <v>426</v>
      </c>
    </row>
    <row r="18" spans="1:1">
      <c r="A18" s="98" t="s">
        <v>427</v>
      </c>
    </row>
    <row r="19" spans="1:1">
      <c r="A19" s="98" t="s">
        <v>428</v>
      </c>
    </row>
    <row r="20" spans="1:1">
      <c r="A20" s="98" t="s">
        <v>429</v>
      </c>
    </row>
    <row r="21" spans="1:1">
      <c r="A21" s="98" t="s">
        <v>430</v>
      </c>
    </row>
    <row r="22" spans="1:1">
      <c r="A22" s="98" t="s">
        <v>0</v>
      </c>
    </row>
    <row r="23" spans="1:1">
      <c r="A23" s="98" t="s">
        <v>1</v>
      </c>
    </row>
    <row r="24" spans="1:1">
      <c r="A24" s="98" t="s">
        <v>2</v>
      </c>
    </row>
    <row r="25" spans="1:1">
      <c r="A25" s="98" t="s">
        <v>3</v>
      </c>
    </row>
    <row r="26" spans="1:1">
      <c r="A26" s="98" t="s">
        <v>4</v>
      </c>
    </row>
    <row r="27" spans="1:1">
      <c r="A27" s="98" t="s">
        <v>5</v>
      </c>
    </row>
    <row r="29" spans="1:1">
      <c r="A29" s="195" t="s">
        <v>421</v>
      </c>
    </row>
    <row r="30" spans="1:1">
      <c r="A30" s="98" t="s">
        <v>431</v>
      </c>
    </row>
    <row r="31" spans="1:1">
      <c r="A31" s="98" t="s">
        <v>422</v>
      </c>
    </row>
    <row r="32" spans="1:1">
      <c r="A32" s="98" t="s">
        <v>423</v>
      </c>
    </row>
    <row r="34" spans="1:1">
      <c r="A34" s="195" t="s">
        <v>417</v>
      </c>
    </row>
    <row r="35" spans="1:1">
      <c r="A35" s="98" t="s">
        <v>418</v>
      </c>
    </row>
    <row r="36" spans="1:1">
      <c r="A36" s="98" t="s">
        <v>419</v>
      </c>
    </row>
    <row r="38" spans="1:1">
      <c r="A38" s="195" t="s">
        <v>400</v>
      </c>
    </row>
    <row r="39" spans="1:1">
      <c r="A39" s="98" t="s">
        <v>401</v>
      </c>
    </row>
    <row r="40" spans="1:1" ht="36" customHeight="1">
      <c r="A40" s="196" t="s">
        <v>402</v>
      </c>
    </row>
    <row r="41" spans="1:1">
      <c r="A41" s="98" t="s">
        <v>403</v>
      </c>
    </row>
    <row r="42" spans="1:1" ht="18.75" customHeight="1">
      <c r="A42" s="98" t="s">
        <v>404</v>
      </c>
    </row>
    <row r="43" spans="1:1">
      <c r="A43" s="98" t="s">
        <v>405</v>
      </c>
    </row>
    <row r="44" spans="1:1" ht="24.75" customHeight="1">
      <c r="A44" s="98" t="s">
        <v>406</v>
      </c>
    </row>
    <row r="45" spans="1:1" ht="39" customHeight="1">
      <c r="A45" s="196" t="s">
        <v>407</v>
      </c>
    </row>
    <row r="46" spans="1:1" ht="38.25" customHeight="1">
      <c r="A46" s="196" t="s">
        <v>408</v>
      </c>
    </row>
    <row r="47" spans="1:1" ht="37.5" customHeight="1">
      <c r="A47" s="196" t="s">
        <v>409</v>
      </c>
    </row>
    <row r="48" spans="1:1" ht="21" customHeight="1">
      <c r="A48" s="196" t="s">
        <v>410</v>
      </c>
    </row>
    <row r="49" spans="1:1" ht="35.25" customHeight="1">
      <c r="A49" s="196" t="s">
        <v>411</v>
      </c>
    </row>
    <row r="50" spans="1:1">
      <c r="A50" s="98" t="s">
        <v>412</v>
      </c>
    </row>
    <row r="51" spans="1:1">
      <c r="A51" s="98" t="s">
        <v>413</v>
      </c>
    </row>
    <row r="52" spans="1:1">
      <c r="A52" s="98" t="s">
        <v>414</v>
      </c>
    </row>
    <row r="53" spans="1:1">
      <c r="A53" s="98" t="s">
        <v>415</v>
      </c>
    </row>
    <row r="54" spans="1:1">
      <c r="A54" s="98" t="s">
        <v>416</v>
      </c>
    </row>
    <row r="57" spans="1:1">
      <c r="A57" s="195" t="s">
        <v>353</v>
      </c>
    </row>
    <row r="58" spans="1:1">
      <c r="A58" s="98" t="s">
        <v>354</v>
      </c>
    </row>
    <row r="59" spans="1:1">
      <c r="A59" s="98" t="s">
        <v>355</v>
      </c>
    </row>
    <row r="60" spans="1:1">
      <c r="A60" s="98" t="s">
        <v>356</v>
      </c>
    </row>
    <row r="61" spans="1:1">
      <c r="A61" s="98" t="s">
        <v>369</v>
      </c>
    </row>
    <row r="62" spans="1:1">
      <c r="A62" s="98" t="s">
        <v>357</v>
      </c>
    </row>
    <row r="63" spans="1:1">
      <c r="A63" s="98" t="s">
        <v>358</v>
      </c>
    </row>
    <row r="64" spans="1:1">
      <c r="A64" s="98" t="s">
        <v>359</v>
      </c>
    </row>
    <row r="65" spans="1:1">
      <c r="A65" s="98" t="s">
        <v>360</v>
      </c>
    </row>
    <row r="66" spans="1:1">
      <c r="A66" s="98" t="s">
        <v>370</v>
      </c>
    </row>
    <row r="67" spans="1:1">
      <c r="A67" s="98" t="s">
        <v>361</v>
      </c>
    </row>
    <row r="68" spans="1:1">
      <c r="A68" s="98" t="s">
        <v>362</v>
      </c>
    </row>
    <row r="69" spans="1:1">
      <c r="A69" s="98" t="s">
        <v>363</v>
      </c>
    </row>
    <row r="70" spans="1:1">
      <c r="A70" s="98" t="s">
        <v>371</v>
      </c>
    </row>
    <row r="71" spans="1:1">
      <c r="A71" s="98" t="s">
        <v>372</v>
      </c>
    </row>
    <row r="72" spans="1:1">
      <c r="A72" s="98" t="s">
        <v>379</v>
      </c>
    </row>
    <row r="73" spans="1:1">
      <c r="A73" s="98" t="s">
        <v>432</v>
      </c>
    </row>
    <row r="74" spans="1:1">
      <c r="A74" s="98" t="s">
        <v>228</v>
      </c>
    </row>
    <row r="75" spans="1:1">
      <c r="A75" s="98" t="s">
        <v>229</v>
      </c>
    </row>
    <row r="76" spans="1:1">
      <c r="A76" s="98" t="s">
        <v>230</v>
      </c>
    </row>
    <row r="77" spans="1:1">
      <c r="A77" s="98" t="s">
        <v>433</v>
      </c>
    </row>
    <row r="78" spans="1:1">
      <c r="A78" s="98" t="s">
        <v>387</v>
      </c>
    </row>
    <row r="79" spans="1:1">
      <c r="A79" s="98" t="s">
        <v>388</v>
      </c>
    </row>
    <row r="80" spans="1:1">
      <c r="A80" s="98" t="s">
        <v>231</v>
      </c>
    </row>
    <row r="81" spans="1:1">
      <c r="A81" s="98" t="s">
        <v>232</v>
      </c>
    </row>
    <row r="82" spans="1:1">
      <c r="A82" s="98" t="s">
        <v>391</v>
      </c>
    </row>
    <row r="83" spans="1:1">
      <c r="A83" s="98" t="s">
        <v>392</v>
      </c>
    </row>
    <row r="84" spans="1:1">
      <c r="A84" s="98" t="s">
        <v>395</v>
      </c>
    </row>
  </sheetData>
  <sheetProtection sheet="1"/>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E47"/>
  <sheetViews>
    <sheetView topLeftCell="A28" workbookViewId="0">
      <selection sqref="A1:IV49"/>
    </sheetView>
  </sheetViews>
  <sheetFormatPr defaultRowHeight="15"/>
  <cols>
    <col min="1" max="1" width="15.77734375" style="63" customWidth="1"/>
    <col min="2" max="2" width="20.77734375" style="63" customWidth="1"/>
    <col min="3" max="3" width="10.77734375" style="63" customWidth="1"/>
    <col min="4" max="4" width="15.6640625" style="63" customWidth="1"/>
    <col min="5" max="5" width="14.21875" style="63" customWidth="1"/>
    <col min="6" max="16384" width="8.88671875" style="63"/>
  </cols>
  <sheetData>
    <row r="1" spans="1:5" ht="15.75">
      <c r="A1" s="62" t="str">
        <f>[1]inputPrYr!D3</f>
        <v>ELK FALLS CEMETERY</v>
      </c>
      <c r="B1" s="62"/>
      <c r="C1" s="62"/>
      <c r="D1" s="62"/>
      <c r="E1" s="62">
        <f>[1]inputPrYr!D6</f>
        <v>2012</v>
      </c>
    </row>
    <row r="2" spans="1:5" ht="15.75">
      <c r="A2" s="62" t="str">
        <f>[1]inputPrYr!D4</f>
        <v>ELK COUNTY</v>
      </c>
      <c r="B2" s="62"/>
      <c r="C2" s="62"/>
      <c r="D2" s="62"/>
      <c r="E2" s="62"/>
    </row>
    <row r="3" spans="1:5">
      <c r="A3" s="64"/>
      <c r="B3" s="64"/>
      <c r="C3" s="64"/>
      <c r="D3" s="64"/>
      <c r="E3" s="64"/>
    </row>
    <row r="4" spans="1:5" ht="15.75">
      <c r="A4" s="285" t="s">
        <v>364</v>
      </c>
      <c r="B4" s="286"/>
      <c r="C4" s="286"/>
      <c r="D4" s="286"/>
      <c r="E4" s="286"/>
    </row>
    <row r="5" spans="1:5">
      <c r="A5" s="64"/>
      <c r="B5" s="64"/>
      <c r="C5" s="64"/>
      <c r="D5" s="64"/>
      <c r="E5" s="64"/>
    </row>
    <row r="6" spans="1:5" ht="15.75">
      <c r="A6" s="65" t="str">
        <f>CONCATENATE("From the County Clerks ",E1," Budget Information:")</f>
        <v>From the County Clerks 2012 Budget Information:</v>
      </c>
      <c r="B6" s="66"/>
      <c r="C6" s="66"/>
      <c r="D6" s="18"/>
      <c r="E6" s="39"/>
    </row>
    <row r="7" spans="1:5" ht="15.75">
      <c r="A7" s="67" t="str">
        <f>CONCATENATE("Total Assessed Valuation for ",[1]inputPrYr!D6-1,"")</f>
        <v>Total Assessed Valuation for 2011</v>
      </c>
      <c r="B7" s="42"/>
      <c r="C7" s="42"/>
      <c r="D7" s="42"/>
      <c r="E7" s="52">
        <v>1586585</v>
      </c>
    </row>
    <row r="8" spans="1:5" ht="15.75">
      <c r="A8" s="68" t="str">
        <f>CONCATENATE("New Improvements for ",[1]inputPrYr!D6-1,"")</f>
        <v>New Improvements for 2011</v>
      </c>
      <c r="B8" s="69"/>
      <c r="C8" s="69"/>
      <c r="D8" s="69"/>
      <c r="E8" s="70">
        <v>4461</v>
      </c>
    </row>
    <row r="9" spans="1:5" ht="15.75">
      <c r="A9" s="68" t="str">
        <f>CONCATENATE("Personal Property excluding oil, gas, and mobile homes- ",[1]inputPrYr!D6-1,"")</f>
        <v>Personal Property excluding oil, gas, and mobile homes- 2011</v>
      </c>
      <c r="B9" s="69"/>
      <c r="C9" s="69"/>
      <c r="D9" s="69"/>
      <c r="E9" s="70">
        <v>18335</v>
      </c>
    </row>
    <row r="10" spans="1:5" ht="15.75">
      <c r="A10" s="68" t="str">
        <f>CONCATENATE("Property that has changed in use for ",[1]inputPrYr!D6-1,"")</f>
        <v>Property that has changed in use for 2011</v>
      </c>
      <c r="B10" s="69"/>
      <c r="C10" s="69"/>
      <c r="D10" s="69"/>
      <c r="E10" s="70">
        <v>3093</v>
      </c>
    </row>
    <row r="11" spans="1:5" ht="15.75">
      <c r="A11" s="67" t="str">
        <f>CONCATENATE("Personal Property excluding oil, gas, and mobile homes- ",[1]inputPrYr!D6-2,"")</f>
        <v>Personal Property excluding oil, gas, and mobile homes- 2010</v>
      </c>
      <c r="B11" s="42"/>
      <c r="C11" s="42"/>
      <c r="D11" s="42"/>
      <c r="E11" s="70">
        <v>212855</v>
      </c>
    </row>
    <row r="12" spans="1:5" ht="15.75">
      <c r="A12" s="68" t="str">
        <f>CONCATENATE("Neighborhood Revitalization - ",E1,"")</f>
        <v>Neighborhood Revitalization - 2012</v>
      </c>
      <c r="B12" s="69"/>
      <c r="C12" s="69"/>
      <c r="D12" s="69"/>
      <c r="E12" s="70"/>
    </row>
    <row r="13" spans="1:5" ht="15.75">
      <c r="A13" s="45"/>
      <c r="B13" s="71"/>
      <c r="C13" s="71"/>
      <c r="D13" s="71"/>
      <c r="E13" s="72"/>
    </row>
    <row r="14" spans="1:5" ht="15.75">
      <c r="A14" s="73" t="str">
        <f>CONCATENATE("Actual Tax Rates for the ",E1-1," Budget:")</f>
        <v>Actual Tax Rates for the 2011 Budget:</v>
      </c>
      <c r="B14" s="71"/>
      <c r="C14" s="71"/>
      <c r="D14" s="71"/>
      <c r="E14" s="74"/>
    </row>
    <row r="15" spans="1:5" ht="15.75">
      <c r="A15" s="295" t="s">
        <v>251</v>
      </c>
      <c r="B15" s="290"/>
      <c r="C15" s="64"/>
      <c r="D15" s="75" t="s">
        <v>280</v>
      </c>
      <c r="E15" s="74"/>
    </row>
    <row r="16" spans="1:5" ht="15.75">
      <c r="A16" s="67" t="s">
        <v>236</v>
      </c>
      <c r="B16" s="42"/>
      <c r="C16" s="71"/>
      <c r="D16" s="76">
        <v>4.7249999999999996</v>
      </c>
      <c r="E16" s="74"/>
    </row>
    <row r="17" spans="1:5" ht="15.75">
      <c r="A17" s="68" t="s">
        <v>420</v>
      </c>
      <c r="B17" s="69"/>
      <c r="C17" s="71"/>
      <c r="D17" s="77"/>
      <c r="E17" s="74"/>
    </row>
    <row r="18" spans="1:5" ht="15.75">
      <c r="A18" s="68">
        <f>[1]inputPrYr!B22</f>
        <v>0</v>
      </c>
      <c r="B18" s="69"/>
      <c r="C18" s="71"/>
      <c r="D18" s="77"/>
      <c r="E18" s="74"/>
    </row>
    <row r="19" spans="1:5" ht="15.75">
      <c r="A19" s="68">
        <f>[1]inputPrYr!B23</f>
        <v>0</v>
      </c>
      <c r="B19" s="69"/>
      <c r="C19" s="71"/>
      <c r="D19" s="77"/>
      <c r="E19" s="74"/>
    </row>
    <row r="20" spans="1:5" ht="15.75">
      <c r="A20" s="68"/>
      <c r="B20" s="69"/>
      <c r="C20" s="71"/>
      <c r="D20" s="77"/>
      <c r="E20" s="74"/>
    </row>
    <row r="21" spans="1:5" ht="15.75">
      <c r="A21" s="68"/>
      <c r="B21" s="69"/>
      <c r="C21" s="71"/>
      <c r="D21" s="78"/>
      <c r="E21" s="74"/>
    </row>
    <row r="22" spans="1:5" ht="15.75">
      <c r="A22" s="79"/>
      <c r="B22" s="42" t="s">
        <v>374</v>
      </c>
      <c r="C22" s="80"/>
      <c r="D22" s="81">
        <f>SUM(D16:D21)</f>
        <v>4.7249999999999996</v>
      </c>
      <c r="E22" s="79"/>
    </row>
    <row r="23" spans="1:5">
      <c r="A23" s="79"/>
      <c r="B23" s="79"/>
      <c r="C23" s="79"/>
      <c r="D23" s="79"/>
      <c r="E23" s="79"/>
    </row>
    <row r="24" spans="1:5" ht="15.75">
      <c r="A24" s="42" t="str">
        <f>CONCATENATE("Final Assessed Valuation from the November 1, ",E1-2," Abstract")</f>
        <v>Final Assessed Valuation from the November 1, 2010 Abstract</v>
      </c>
      <c r="B24" s="82"/>
      <c r="C24" s="82"/>
      <c r="D24" s="82"/>
      <c r="E24" s="58">
        <v>1760754</v>
      </c>
    </row>
    <row r="25" spans="1:5">
      <c r="A25" s="79"/>
      <c r="B25" s="79"/>
      <c r="C25" s="79"/>
      <c r="D25" s="79"/>
      <c r="E25" s="79"/>
    </row>
    <row r="26" spans="1:5" ht="15.75">
      <c r="A26" s="83" t="str">
        <f>CONCATENATE("From the County Treasurer's Budget Information - ",E1," Budget Year Estimates:")</f>
        <v>From the County Treasurer's Budget Information - 2012 Budget Year Estimates:</v>
      </c>
      <c r="B26" s="29"/>
      <c r="C26" s="29"/>
      <c r="D26" s="84"/>
      <c r="E26" s="39"/>
    </row>
    <row r="27" spans="1:5" ht="15.75">
      <c r="A27" s="67" t="s">
        <v>240</v>
      </c>
      <c r="B27" s="42"/>
      <c r="C27" s="42"/>
      <c r="D27" s="85"/>
      <c r="E27" s="37">
        <v>1078</v>
      </c>
    </row>
    <row r="28" spans="1:5" ht="15.75">
      <c r="A28" s="68" t="s">
        <v>241</v>
      </c>
      <c r="B28" s="69"/>
      <c r="C28" s="69"/>
      <c r="D28" s="86"/>
      <c r="E28" s="37">
        <v>16</v>
      </c>
    </row>
    <row r="29" spans="1:5" ht="15.75">
      <c r="A29" s="68" t="s">
        <v>347</v>
      </c>
      <c r="B29" s="69"/>
      <c r="C29" s="69"/>
      <c r="D29" s="86"/>
      <c r="E29" s="37">
        <v>104</v>
      </c>
    </row>
    <row r="30" spans="1:5" ht="15.75">
      <c r="A30" s="68" t="s">
        <v>344</v>
      </c>
      <c r="B30" s="69"/>
      <c r="C30" s="69"/>
      <c r="D30" s="86"/>
      <c r="E30" s="37"/>
    </row>
    <row r="31" spans="1:5" ht="15.75">
      <c r="A31" s="68" t="s">
        <v>345</v>
      </c>
      <c r="B31" s="69"/>
      <c r="C31" s="69"/>
      <c r="D31" s="86"/>
      <c r="E31" s="37"/>
    </row>
    <row r="32" spans="1:5" ht="15.75">
      <c r="A32" s="67"/>
      <c r="B32" s="42"/>
      <c r="C32" s="42"/>
      <c r="D32" s="85"/>
      <c r="E32" s="37"/>
    </row>
    <row r="33" spans="1:5" ht="15.75">
      <c r="A33" s="18" t="s">
        <v>348</v>
      </c>
      <c r="B33" s="18"/>
      <c r="C33" s="18"/>
      <c r="D33" s="18"/>
      <c r="E33" s="18"/>
    </row>
    <row r="34" spans="1:5" ht="15.75">
      <c r="A34" s="87" t="s">
        <v>309</v>
      </c>
      <c r="B34" s="26"/>
      <c r="C34" s="26"/>
      <c r="D34" s="18"/>
      <c r="E34" s="18"/>
    </row>
    <row r="35" spans="1:5" ht="15.75">
      <c r="A35" s="88" t="str">
        <f>CONCATENATE("Actual Delinquency for ",E1-3," Tax (round to three decimal places)")</f>
        <v>Actual Delinquency for 2009 Tax (round to three decimal places)</v>
      </c>
      <c r="B35" s="71"/>
      <c r="C35" s="18"/>
      <c r="D35" s="18"/>
      <c r="E35" s="89">
        <v>1.0999999999999999E-2</v>
      </c>
    </row>
    <row r="36" spans="1:5" ht="15.75">
      <c r="A36" s="88" t="s">
        <v>375</v>
      </c>
      <c r="B36" s="88"/>
      <c r="C36" s="71"/>
      <c r="D36" s="71"/>
      <c r="E36" s="229"/>
    </row>
    <row r="37" spans="1:5" ht="15.75">
      <c r="A37" s="90" t="s">
        <v>349</v>
      </c>
      <c r="B37" s="90"/>
      <c r="C37" s="91"/>
      <c r="D37" s="91"/>
      <c r="E37" s="92"/>
    </row>
    <row r="38" spans="1:5">
      <c r="A38" s="64"/>
      <c r="B38" s="64"/>
      <c r="C38" s="64"/>
      <c r="D38" s="64"/>
      <c r="E38" s="64"/>
    </row>
    <row r="39" spans="1:5" ht="15.75">
      <c r="A39" s="296" t="str">
        <f>CONCATENATE("From the ",E1-2," Budget Certificate Page")</f>
        <v>From the 2010 Budget Certificate Page</v>
      </c>
      <c r="B39" s="297"/>
      <c r="C39" s="64"/>
      <c r="D39" s="64"/>
      <c r="E39" s="64"/>
    </row>
    <row r="40" spans="1:5" ht="15.75">
      <c r="A40" s="93"/>
      <c r="B40" s="93" t="str">
        <f>CONCATENATE("",E1-2," Expenditure Amounts")</f>
        <v>2010 Expenditure Amounts</v>
      </c>
      <c r="C40" s="298" t="str">
        <f>CONCATENATE("Note: If the ",E1-2," budget was amended, then the")</f>
        <v>Note: If the 2010 budget was amended, then the</v>
      </c>
      <c r="D40" s="299"/>
      <c r="E40" s="299"/>
    </row>
    <row r="41" spans="1:5" ht="15.75">
      <c r="A41" s="94" t="s">
        <v>383</v>
      </c>
      <c r="B41" s="94" t="s">
        <v>384</v>
      </c>
      <c r="C41" s="95" t="s">
        <v>385</v>
      </c>
      <c r="D41" s="96"/>
      <c r="E41" s="96"/>
    </row>
    <row r="42" spans="1:5" ht="15.75">
      <c r="A42" s="97" t="str">
        <f>[1]inputPrYr!B19</f>
        <v>General</v>
      </c>
      <c r="B42" s="58">
        <v>15740</v>
      </c>
      <c r="C42" s="95" t="s">
        <v>386</v>
      </c>
      <c r="D42" s="96"/>
      <c r="E42" s="96"/>
    </row>
    <row r="43" spans="1:5" ht="15.75">
      <c r="A43" s="97" t="str">
        <f>[1]inputPrYr!B20</f>
        <v>Debt Service</v>
      </c>
      <c r="B43" s="58"/>
      <c r="C43" s="95"/>
      <c r="D43" s="96"/>
      <c r="E43" s="96"/>
    </row>
    <row r="44" spans="1:5" ht="15.75">
      <c r="A44" s="97">
        <f>[1]inputPrYr!B22</f>
        <v>0</v>
      </c>
      <c r="B44" s="58"/>
      <c r="C44" s="64"/>
      <c r="D44" s="64"/>
      <c r="E44" s="64"/>
    </row>
    <row r="45" spans="1:5" ht="15.75">
      <c r="A45" s="97">
        <f>[1]inputPrYr!B23</f>
        <v>0</v>
      </c>
      <c r="B45" s="58"/>
      <c r="C45" s="64"/>
      <c r="D45" s="64"/>
      <c r="E45" s="64"/>
    </row>
    <row r="46" spans="1:5" ht="15.75">
      <c r="A46" s="97">
        <f>[1]inputPrYr!B26</f>
        <v>0</v>
      </c>
      <c r="B46" s="58"/>
      <c r="C46" s="64"/>
      <c r="D46" s="64"/>
      <c r="E46" s="64"/>
    </row>
    <row r="47" spans="1:5" ht="15.75">
      <c r="A47" s="97">
        <f>[1]inputPrYr!B27</f>
        <v>0</v>
      </c>
      <c r="B47" s="58"/>
      <c r="C47" s="64"/>
      <c r="D47" s="64"/>
      <c r="E47" s="64"/>
    </row>
  </sheetData>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oddFooter>&amp;Lrevised 9/22/09</oddFooter>
  </headerFooter>
</worksheet>
</file>

<file path=xl/worksheets/sheet3.xml><?xml version="1.0" encoding="utf-8"?>
<worksheet xmlns="http://schemas.openxmlformats.org/spreadsheetml/2006/main" xmlns:r="http://schemas.openxmlformats.org/officeDocument/2006/relationships">
  <dimension ref="A2:F23"/>
  <sheetViews>
    <sheetView workbookViewId="0">
      <selection activeCell="B13" sqref="B13"/>
    </sheetView>
  </sheetViews>
  <sheetFormatPr defaultRowHeight="15"/>
  <cols>
    <col min="1" max="1" width="13.77734375" customWidth="1"/>
    <col min="2" max="2" width="16.109375" customWidth="1"/>
  </cols>
  <sheetData>
    <row r="2" spans="1:6" ht="54" customHeight="1">
      <c r="A2" s="300" t="s">
        <v>6</v>
      </c>
      <c r="B2" s="301"/>
      <c r="C2" s="301"/>
      <c r="D2" s="301"/>
      <c r="E2" s="301"/>
      <c r="F2" s="301"/>
    </row>
    <row r="4" spans="1:6" ht="15.75">
      <c r="A4" s="197"/>
      <c r="B4" s="197"/>
      <c r="C4" s="197"/>
      <c r="D4" s="198"/>
      <c r="E4" s="197"/>
      <c r="F4" s="197"/>
    </row>
    <row r="5" spans="1:6" ht="15.75">
      <c r="A5" s="199" t="s">
        <v>7</v>
      </c>
      <c r="B5" s="200" t="s">
        <v>435</v>
      </c>
      <c r="C5" s="201"/>
      <c r="D5" s="199" t="s">
        <v>8</v>
      </c>
      <c r="E5" s="197"/>
      <c r="F5" s="197"/>
    </row>
    <row r="6" spans="1:6" ht="15.75">
      <c r="A6" s="199"/>
      <c r="B6" s="202"/>
      <c r="C6" s="203"/>
      <c r="D6" s="199"/>
      <c r="E6" s="197"/>
      <c r="F6" s="197"/>
    </row>
    <row r="7" spans="1:6" ht="15.75">
      <c r="A7" s="199" t="s">
        <v>9</v>
      </c>
      <c r="B7" s="200" t="s">
        <v>436</v>
      </c>
      <c r="C7" s="204"/>
      <c r="D7" s="199"/>
      <c r="E7" s="197"/>
      <c r="F7" s="197"/>
    </row>
    <row r="8" spans="1:6" ht="15.75">
      <c r="A8" s="199"/>
      <c r="B8" s="199"/>
      <c r="C8" s="199"/>
      <c r="D8" s="199"/>
      <c r="E8" s="197"/>
      <c r="F8" s="197"/>
    </row>
    <row r="9" spans="1:6" ht="15.75">
      <c r="A9" s="199" t="s">
        <v>10</v>
      </c>
      <c r="B9" s="205" t="s">
        <v>437</v>
      </c>
      <c r="C9" s="205"/>
      <c r="D9" s="205"/>
      <c r="E9" s="206"/>
      <c r="F9" s="197"/>
    </row>
    <row r="10" spans="1:6" ht="15.75">
      <c r="A10" s="199"/>
      <c r="B10" s="199"/>
      <c r="C10" s="199"/>
      <c r="D10" s="199"/>
      <c r="E10" s="197"/>
      <c r="F10" s="197"/>
    </row>
    <row r="11" spans="1:6" ht="15.75">
      <c r="A11" s="199"/>
      <c r="B11" s="199"/>
      <c r="C11" s="199"/>
      <c r="D11" s="199"/>
      <c r="E11" s="197"/>
      <c r="F11" s="197"/>
    </row>
    <row r="12" spans="1:6" ht="15.75">
      <c r="A12" s="199" t="s">
        <v>11</v>
      </c>
      <c r="B12" s="205" t="s">
        <v>438</v>
      </c>
      <c r="C12" s="205"/>
      <c r="D12" s="205"/>
      <c r="E12" s="206"/>
      <c r="F12" s="197"/>
    </row>
    <row r="15" spans="1:6" ht="15.75">
      <c r="A15" s="302" t="s">
        <v>12</v>
      </c>
      <c r="B15" s="302"/>
      <c r="C15" s="199"/>
      <c r="D15" s="199"/>
      <c r="E15" s="199"/>
      <c r="F15" s="197"/>
    </row>
    <row r="16" spans="1:6" ht="15.75">
      <c r="A16" s="199"/>
      <c r="B16" s="199"/>
      <c r="C16" s="199"/>
      <c r="D16" s="199"/>
      <c r="E16" s="199"/>
      <c r="F16" s="197"/>
    </row>
    <row r="17" spans="1:5" ht="15.75">
      <c r="A17" s="199" t="s">
        <v>7</v>
      </c>
      <c r="B17" s="202" t="s">
        <v>13</v>
      </c>
      <c r="C17" s="199"/>
      <c r="D17" s="199"/>
      <c r="E17" s="199"/>
    </row>
    <row r="18" spans="1:5" ht="15.75">
      <c r="A18" s="199"/>
      <c r="B18" s="199"/>
      <c r="C18" s="199"/>
      <c r="D18" s="199"/>
      <c r="E18" s="199"/>
    </row>
    <row r="19" spans="1:5" ht="15.75">
      <c r="A19" s="199" t="s">
        <v>9</v>
      </c>
      <c r="B19" s="199" t="s">
        <v>14</v>
      </c>
      <c r="C19" s="199"/>
      <c r="D19" s="199"/>
      <c r="E19" s="199"/>
    </row>
    <row r="20" spans="1:5" ht="15.75">
      <c r="A20" s="199"/>
      <c r="B20" s="199"/>
      <c r="C20" s="199"/>
      <c r="D20" s="199"/>
      <c r="E20" s="199"/>
    </row>
    <row r="21" spans="1:5" ht="15.75">
      <c r="A21" s="199" t="s">
        <v>10</v>
      </c>
      <c r="B21" s="199" t="s">
        <v>16</v>
      </c>
      <c r="C21" s="199"/>
      <c r="D21" s="199"/>
      <c r="E21" s="199"/>
    </row>
    <row r="22" spans="1:5" ht="15.75">
      <c r="A22" s="199"/>
      <c r="B22" s="199"/>
      <c r="C22" s="199"/>
      <c r="D22" s="199"/>
      <c r="E22" s="199"/>
    </row>
    <row r="23" spans="1:5" ht="15.75">
      <c r="A23" s="199" t="s">
        <v>11</v>
      </c>
      <c r="B23" s="199" t="s">
        <v>15</v>
      </c>
      <c r="C23" s="199"/>
      <c r="D23" s="199"/>
      <c r="E23" s="199"/>
    </row>
  </sheetData>
  <sheetProtection sheet="1" objects="1" scenarios="1"/>
  <mergeCells count="2">
    <mergeCell ref="A2:F2"/>
    <mergeCell ref="A15:B15"/>
  </mergeCells>
  <phoneticPr fontId="31" type="noConversion"/>
  <pageMargins left="0.7" right="0.7" top="0.75" bottom="0.75" header="0.3" footer="0.3"/>
  <pageSetup orientation="portrait" r:id="rId1"/>
  <headerFooter>
    <oddFooter>&amp;Lrevised 12/08/09</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election sqref="A1:IV1"/>
    </sheetView>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
  <sheetViews>
    <sheetView tabSelected="1" workbookViewId="0">
      <selection sqref="A1:IV1"/>
    </sheetView>
  </sheetViews>
  <sheetFormatPr defaultRowHeight="1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pageSetUpPr fitToPage="1"/>
  </sheetPr>
  <dimension ref="A1:H57"/>
  <sheetViews>
    <sheetView topLeftCell="A13" workbookViewId="0">
      <selection activeCell="H27" sqref="H27"/>
    </sheetView>
  </sheetViews>
  <sheetFormatPr defaultRowHeight="15.75"/>
  <cols>
    <col min="1" max="1" width="11.77734375" style="98" customWidth="1"/>
    <col min="2" max="3" width="9.77734375" style="98" customWidth="1"/>
    <col min="4" max="4" width="8.77734375" style="98" customWidth="1"/>
    <col min="5" max="6" width="14.77734375" style="98" customWidth="1"/>
    <col min="7" max="7" width="10.77734375" style="98" customWidth="1"/>
    <col min="8" max="8" width="2.6640625" style="98" customWidth="1"/>
    <col min="9" max="9" width="3.21875" style="98" customWidth="1"/>
    <col min="10" max="16384" width="8.88671875" style="98"/>
  </cols>
  <sheetData>
    <row r="1" spans="1:8">
      <c r="A1" s="62"/>
      <c r="B1" s="62"/>
      <c r="C1" s="62"/>
      <c r="D1" s="62"/>
      <c r="E1" s="62"/>
      <c r="F1" s="62"/>
      <c r="G1" s="62"/>
    </row>
    <row r="2" spans="1:8">
      <c r="A2" s="304" t="s">
        <v>282</v>
      </c>
      <c r="B2" s="304"/>
      <c r="C2" s="304"/>
      <c r="D2" s="304"/>
      <c r="E2" s="304"/>
      <c r="F2" s="304"/>
      <c r="G2" s="304"/>
    </row>
    <row r="3" spans="1:8">
      <c r="A3" s="18"/>
      <c r="B3" s="18"/>
      <c r="C3" s="18"/>
      <c r="D3" s="18"/>
      <c r="E3" s="18"/>
      <c r="F3" s="18"/>
      <c r="G3" s="62">
        <f>[1]inputPrYr!D6</f>
        <v>2012</v>
      </c>
    </row>
    <row r="4" spans="1:8">
      <c r="A4" s="305" t="str">
        <f>CONCATENATE("To the Clerk of ",[1]inputPrYr!D4,", State of Kansas")</f>
        <v>To the Clerk of ELK COUNTY, State of Kansas</v>
      </c>
      <c r="B4" s="305"/>
      <c r="C4" s="305"/>
      <c r="D4" s="305"/>
      <c r="E4" s="305"/>
      <c r="F4" s="305"/>
      <c r="G4" s="305"/>
    </row>
    <row r="5" spans="1:8">
      <c r="A5" s="100" t="s">
        <v>342</v>
      </c>
      <c r="B5" s="26"/>
      <c r="C5" s="26"/>
      <c r="D5" s="26"/>
      <c r="E5" s="26"/>
      <c r="F5" s="26"/>
      <c r="G5" s="26"/>
    </row>
    <row r="6" spans="1:8">
      <c r="A6" s="287" t="str">
        <f>[1]inputPrYr!D3</f>
        <v>ELK FALLS CEMETERY</v>
      </c>
      <c r="B6" s="287"/>
      <c r="C6" s="287"/>
      <c r="D6" s="287"/>
      <c r="E6" s="287"/>
      <c r="F6" s="287"/>
      <c r="G6" s="287"/>
    </row>
    <row r="7" spans="1:8">
      <c r="A7" s="18"/>
      <c r="B7" s="18"/>
      <c r="C7" s="18"/>
      <c r="D7" s="18"/>
      <c r="E7" s="18"/>
      <c r="F7" s="18"/>
      <c r="G7" s="18"/>
    </row>
    <row r="8" spans="1:8">
      <c r="A8" s="100" t="s">
        <v>242</v>
      </c>
      <c r="B8" s="26"/>
      <c r="C8" s="26"/>
      <c r="D8" s="26"/>
      <c r="E8" s="26"/>
      <c r="F8" s="26"/>
      <c r="G8" s="26"/>
    </row>
    <row r="9" spans="1:8">
      <c r="A9" s="100" t="s">
        <v>243</v>
      </c>
      <c r="B9" s="26"/>
      <c r="C9" s="26"/>
      <c r="D9" s="26"/>
      <c r="E9" s="26"/>
      <c r="F9" s="26"/>
      <c r="G9" s="26"/>
    </row>
    <row r="10" spans="1:8">
      <c r="A10" s="100" t="str">
        <f>CONCATENATE("maximum expenditures for the various funds for the year ",G3,"; and (3) the")</f>
        <v>maximum expenditures for the various funds for the year 2012; and (3) the</v>
      </c>
      <c r="B10" s="26"/>
      <c r="C10" s="26"/>
      <c r="D10" s="26"/>
      <c r="E10" s="26"/>
      <c r="F10" s="26"/>
      <c r="G10" s="26"/>
    </row>
    <row r="11" spans="1:8">
      <c r="A11" s="100" t="str">
        <f>CONCATENATE("Amount(s) of ",G3-1," Ad Valorem Tax are within statutory  limitations for the ",G3," Budget.")</f>
        <v>Amount(s) of 2011 Ad Valorem Tax are within statutory  limitations for the 2012 Budget.</v>
      </c>
      <c r="B11" s="26"/>
      <c r="C11" s="26"/>
      <c r="D11" s="26"/>
      <c r="E11" s="26"/>
      <c r="F11" s="26"/>
      <c r="G11" s="26"/>
    </row>
    <row r="12" spans="1:8">
      <c r="A12" s="17"/>
      <c r="B12" s="18"/>
      <c r="C12" s="18"/>
      <c r="D12" s="101"/>
      <c r="E12" s="102"/>
      <c r="F12" s="102"/>
      <c r="G12" s="102"/>
    </row>
    <row r="13" spans="1:8">
      <c r="A13" s="18"/>
      <c r="B13" s="18"/>
      <c r="C13" s="18"/>
      <c r="D13" s="18"/>
      <c r="E13" s="306" t="str">
        <f>CONCATENATE("",G3," Adopted Budget")</f>
        <v>2012 Adopted Budget</v>
      </c>
      <c r="F13" s="307"/>
      <c r="G13" s="308"/>
    </row>
    <row r="14" spans="1:8">
      <c r="A14" s="17"/>
      <c r="B14" s="18"/>
      <c r="C14" s="18"/>
      <c r="D14" s="42"/>
      <c r="E14" s="103" t="s">
        <v>244</v>
      </c>
      <c r="F14" s="104"/>
      <c r="G14" s="105" t="s">
        <v>245</v>
      </c>
      <c r="H14" s="106"/>
    </row>
    <row r="15" spans="1:8" ht="15.75" customHeight="1">
      <c r="A15" s="18"/>
      <c r="B15" s="18"/>
      <c r="C15" s="18"/>
      <c r="D15" s="104" t="s">
        <v>246</v>
      </c>
      <c r="E15" s="107" t="s">
        <v>384</v>
      </c>
      <c r="F15" s="309" t="str">
        <f>CONCATENATE("Amount of ",G3-1," Ad Valorem Tax")</f>
        <v>Amount of 2011 Ad Valorem Tax</v>
      </c>
      <c r="G15" s="105" t="s">
        <v>247</v>
      </c>
    </row>
    <row r="16" spans="1:8">
      <c r="A16" s="17" t="s">
        <v>248</v>
      </c>
      <c r="B16" s="18"/>
      <c r="C16" s="18"/>
      <c r="D16" s="107" t="s">
        <v>249</v>
      </c>
      <c r="E16" s="107" t="s">
        <v>444</v>
      </c>
      <c r="F16" s="309"/>
      <c r="G16" s="105" t="s">
        <v>250</v>
      </c>
    </row>
    <row r="17" spans="1:7" ht="4.5" customHeight="1">
      <c r="A17" s="108"/>
      <c r="B17" s="108"/>
      <c r="C17" s="108"/>
      <c r="D17" s="109"/>
      <c r="E17" s="109"/>
      <c r="F17" s="110"/>
      <c r="G17" s="111"/>
    </row>
    <row r="18" spans="1:7">
      <c r="A18" s="112" t="str">
        <f>CONCATENATE("Computation to Determine Limit for ",G3,"")</f>
        <v>Computation to Determine Limit for 2012</v>
      </c>
      <c r="B18" s="108"/>
      <c r="C18" s="108"/>
      <c r="D18" s="113">
        <v>2</v>
      </c>
      <c r="E18" s="102"/>
      <c r="F18" s="102"/>
      <c r="G18" s="114"/>
    </row>
    <row r="19" spans="1:7">
      <c r="A19" s="115" t="s">
        <v>380</v>
      </c>
      <c r="B19" s="108"/>
      <c r="C19" s="108"/>
      <c r="D19" s="113">
        <v>3</v>
      </c>
      <c r="E19" s="102"/>
      <c r="F19" s="102"/>
      <c r="G19" s="114"/>
    </row>
    <row r="20" spans="1:7">
      <c r="A20" s="115" t="s">
        <v>445</v>
      </c>
      <c r="B20" s="108"/>
      <c r="C20" s="108"/>
      <c r="D20" s="116">
        <v>4</v>
      </c>
      <c r="E20" s="102"/>
      <c r="F20" s="102"/>
      <c r="G20" s="114"/>
    </row>
    <row r="21" spans="1:7">
      <c r="A21" s="112" t="s">
        <v>446</v>
      </c>
      <c r="B21" s="108"/>
      <c r="C21" s="108"/>
      <c r="D21" s="116">
        <v>5</v>
      </c>
      <c r="E21" s="102"/>
      <c r="F21" s="102"/>
      <c r="G21" s="114"/>
    </row>
    <row r="22" spans="1:7">
      <c r="A22" s="117" t="s">
        <v>251</v>
      </c>
      <c r="B22" s="118"/>
      <c r="C22" s="119" t="s">
        <v>252</v>
      </c>
      <c r="D22" s="113"/>
      <c r="E22" s="120"/>
      <c r="F22" s="42"/>
      <c r="G22" s="46"/>
    </row>
    <row r="23" spans="1:7">
      <c r="A23" s="121" t="s">
        <v>236</v>
      </c>
      <c r="B23" s="118"/>
      <c r="C23" s="113">
        <f>[1]inputPrYr!C19</f>
        <v>0</v>
      </c>
      <c r="D23" s="122">
        <v>6</v>
      </c>
      <c r="E23" s="123">
        <v>20155</v>
      </c>
      <c r="F23" s="123">
        <v>7480</v>
      </c>
      <c r="G23" s="124">
        <v>4.6139999999999999</v>
      </c>
    </row>
    <row r="24" spans="1:7">
      <c r="A24" s="121" t="s">
        <v>420</v>
      </c>
      <c r="B24" s="118"/>
      <c r="C24" s="113" t="s">
        <v>343</v>
      </c>
      <c r="D24" s="122">
        <v>0</v>
      </c>
      <c r="E24" s="47">
        <v>0</v>
      </c>
      <c r="F24" s="47">
        <v>0</v>
      </c>
      <c r="G24" s="124">
        <v>0</v>
      </c>
    </row>
    <row r="25" spans="1:7">
      <c r="A25" s="127" t="s">
        <v>326</v>
      </c>
      <c r="B25" s="69"/>
      <c r="C25" s="118"/>
      <c r="D25" s="128" t="s">
        <v>253</v>
      </c>
      <c r="E25" s="230">
        <f>SUM(E23:E24)</f>
        <v>20155</v>
      </c>
      <c r="F25" s="231">
        <f>SUM(F23:F24)</f>
        <v>7480</v>
      </c>
      <c r="G25" s="232">
        <f>IF(SUM(G23:G24)=0,"",SUM(G23:G24))</f>
        <v>4.6139999999999999</v>
      </c>
    </row>
    <row r="26" spans="1:7">
      <c r="A26" s="121" t="s">
        <v>373</v>
      </c>
      <c r="B26" s="69"/>
      <c r="C26" s="118"/>
      <c r="D26" s="131">
        <f>[1]summ!E36</f>
        <v>5</v>
      </c>
      <c r="E26" s="135" t="s">
        <v>368</v>
      </c>
      <c r="F26" s="233" t="str">
        <f>IF(F25&gt;[1]computation!J34,"Yes","No")</f>
        <v>No</v>
      </c>
      <c r="G26" s="234" t="s">
        <v>327</v>
      </c>
    </row>
    <row r="27" spans="1:7">
      <c r="A27" s="121" t="s">
        <v>390</v>
      </c>
      <c r="B27" s="133"/>
      <c r="C27" s="134"/>
      <c r="D27" s="131">
        <v>0</v>
      </c>
      <c r="E27" s="235"/>
      <c r="F27" s="71"/>
      <c r="G27" s="140">
        <v>1621216</v>
      </c>
    </row>
    <row r="28" spans="1:7">
      <c r="A28" s="136" t="s">
        <v>367</v>
      </c>
      <c r="B28" s="69"/>
      <c r="C28" s="118"/>
      <c r="D28" s="131">
        <v>0</v>
      </c>
      <c r="E28" s="62"/>
      <c r="F28" s="71"/>
      <c r="G28" s="310" t="str">
        <f>CONCATENATE("Nov. 1, ",G3," Total Assessed Valuation")</f>
        <v>Nov. 1, 2012 Total Assessed Valuation</v>
      </c>
    </row>
    <row r="29" spans="1:7" ht="15.75" customHeight="1">
      <c r="A29" s="21"/>
      <c r="B29" s="71"/>
      <c r="C29" s="18"/>
      <c r="D29" s="137"/>
      <c r="E29" s="62"/>
      <c r="F29" s="71"/>
      <c r="G29" s="311"/>
    </row>
    <row r="30" spans="1:7">
      <c r="A30" s="138" t="s">
        <v>447</v>
      </c>
      <c r="B30" s="71"/>
      <c r="C30" s="71"/>
      <c r="D30" s="71"/>
      <c r="E30" s="132"/>
      <c r="F30" s="71"/>
      <c r="G30" s="18"/>
    </row>
    <row r="31" spans="1:7">
      <c r="A31" s="236"/>
      <c r="B31" s="236"/>
      <c r="C31" s="71"/>
      <c r="D31" s="71"/>
      <c r="E31" s="139"/>
      <c r="F31" s="71"/>
      <c r="G31" s="18"/>
    </row>
    <row r="32" spans="1:7">
      <c r="A32" s="237"/>
      <c r="B32" s="238"/>
      <c r="C32" s="71"/>
      <c r="D32" s="71"/>
      <c r="E32" s="239"/>
      <c r="F32" s="71"/>
      <c r="G32" s="18"/>
    </row>
    <row r="33" spans="1:7">
      <c r="A33" s="141" t="s">
        <v>448</v>
      </c>
      <c r="B33" s="71"/>
      <c r="C33" s="71"/>
      <c r="D33" s="240"/>
      <c r="E33" s="241"/>
      <c r="F33" s="240"/>
      <c r="G33" s="240"/>
    </row>
    <row r="34" spans="1:7">
      <c r="A34" s="236"/>
      <c r="B34" s="236"/>
      <c r="C34" s="71"/>
      <c r="D34" s="42"/>
      <c r="E34" s="242"/>
      <c r="F34" s="242"/>
      <c r="G34" s="42"/>
    </row>
    <row r="35" spans="1:7">
      <c r="A35" s="238"/>
      <c r="B35" s="243"/>
      <c r="C35" s="54"/>
      <c r="D35" s="18"/>
      <c r="E35" s="142"/>
      <c r="F35" s="142"/>
      <c r="G35" s="18"/>
    </row>
    <row r="36" spans="1:7">
      <c r="A36" s="238"/>
      <c r="B36" s="238"/>
      <c r="C36" s="18"/>
      <c r="D36" s="42"/>
      <c r="E36" s="244"/>
      <c r="F36" s="42"/>
      <c r="G36" s="42"/>
    </row>
    <row r="37" spans="1:7">
      <c r="A37" s="245"/>
      <c r="B37" s="238"/>
      <c r="C37" s="17"/>
      <c r="D37" s="246"/>
      <c r="E37" s="143"/>
      <c r="F37" s="18"/>
      <c r="G37" s="18"/>
    </row>
    <row r="38" spans="1:7">
      <c r="A38" s="21"/>
      <c r="B38" s="71"/>
      <c r="C38" s="71"/>
      <c r="D38" s="247"/>
      <c r="E38" s="247"/>
      <c r="F38" s="144"/>
      <c r="G38" s="144"/>
    </row>
    <row r="39" spans="1:7">
      <c r="A39" s="21"/>
      <c r="B39" s="102"/>
      <c r="C39" s="71"/>
      <c r="D39" s="143"/>
      <c r="E39" s="143"/>
      <c r="F39" s="54"/>
      <c r="G39" s="54"/>
    </row>
    <row r="40" spans="1:7">
      <c r="A40" s="21"/>
      <c r="B40" s="71"/>
      <c r="C40" s="71"/>
      <c r="D40" s="247"/>
      <c r="E40" s="247"/>
      <c r="F40" s="144"/>
      <c r="G40" s="144"/>
    </row>
    <row r="41" spans="1:7">
      <c r="A41" s="71"/>
      <c r="B41" s="71"/>
      <c r="C41" s="71"/>
      <c r="D41" s="54"/>
      <c r="E41" s="54"/>
      <c r="F41" s="54"/>
      <c r="G41" s="54"/>
    </row>
    <row r="42" spans="1:7">
      <c r="A42" s="17" t="s">
        <v>365</v>
      </c>
      <c r="B42" s="18"/>
      <c r="C42" s="17">
        <f>G3-1</f>
        <v>2011</v>
      </c>
      <c r="D42" s="42"/>
      <c r="E42" s="42"/>
      <c r="F42" s="144"/>
      <c r="G42" s="144"/>
    </row>
    <row r="43" spans="1:7">
      <c r="A43" s="143"/>
      <c r="B43" s="71"/>
      <c r="C43" s="17"/>
      <c r="D43" s="18"/>
      <c r="E43" s="18"/>
      <c r="F43" s="26"/>
      <c r="G43" s="26"/>
    </row>
    <row r="44" spans="1:7">
      <c r="A44" s="312"/>
      <c r="B44" s="313"/>
      <c r="C44" s="18"/>
      <c r="D44" s="42"/>
      <c r="E44" s="42"/>
      <c r="F44" s="42"/>
      <c r="G44" s="42"/>
    </row>
    <row r="45" spans="1:7">
      <c r="A45" s="26" t="s">
        <v>254</v>
      </c>
      <c r="B45" s="26"/>
      <c r="C45" s="18"/>
      <c r="D45" s="16"/>
      <c r="E45" s="16"/>
      <c r="F45" s="16"/>
      <c r="G45" s="303"/>
    </row>
    <row r="46" spans="1:7">
      <c r="A46" s="16"/>
      <c r="B46" s="16"/>
      <c r="C46" s="16"/>
      <c r="D46" s="16"/>
      <c r="E46" s="16"/>
      <c r="F46" s="16"/>
      <c r="G46" s="303"/>
    </row>
    <row r="47" spans="1:7">
      <c r="A47" s="16"/>
      <c r="B47" s="16"/>
      <c r="C47" s="16"/>
      <c r="D47" s="16"/>
      <c r="E47" s="16"/>
      <c r="F47" s="16"/>
      <c r="G47" s="303"/>
    </row>
    <row r="48" spans="1:7">
      <c r="A48" s="16"/>
      <c r="B48" s="16"/>
      <c r="C48" s="16"/>
      <c r="D48" s="16"/>
      <c r="E48" s="16"/>
      <c r="F48" s="16"/>
      <c r="G48" s="303"/>
    </row>
    <row r="49" spans="1:7">
      <c r="A49" s="16"/>
      <c r="B49" s="16"/>
      <c r="C49" s="16"/>
      <c r="D49" s="145"/>
      <c r="E49" s="16"/>
      <c r="F49" s="16"/>
      <c r="G49" s="303"/>
    </row>
    <row r="50" spans="1:7">
      <c r="G50" s="303"/>
    </row>
    <row r="51" spans="1:7">
      <c r="G51" s="303"/>
    </row>
    <row r="52" spans="1:7">
      <c r="G52" s="303"/>
    </row>
    <row r="53" spans="1:7">
      <c r="G53" s="303"/>
    </row>
    <row r="54" spans="1:7">
      <c r="G54" s="303"/>
    </row>
    <row r="55" spans="1:7">
      <c r="G55" s="303"/>
    </row>
    <row r="56" spans="1:7">
      <c r="G56" s="303"/>
    </row>
    <row r="57" spans="1:7">
      <c r="G57" s="303"/>
    </row>
  </sheetData>
  <mergeCells count="8">
    <mergeCell ref="G45:G57"/>
    <mergeCell ref="A2:G2"/>
    <mergeCell ref="A4:G4"/>
    <mergeCell ref="A6:G6"/>
    <mergeCell ref="E13:G13"/>
    <mergeCell ref="F15:F16"/>
    <mergeCell ref="G28:G29"/>
    <mergeCell ref="A44:B44"/>
  </mergeCells>
  <phoneticPr fontId="0" type="noConversion"/>
  <pageMargins left="0.5" right="0.5" top="0" bottom="0.5" header="0" footer="0.5"/>
  <pageSetup scale="84" orientation="portrait" blackAndWhite="1" horizontalDpi="120" verticalDpi="144" r:id="rId1"/>
  <headerFooter alignWithMargins="0">
    <oddHeader xml:space="preserve">&amp;RState of Kansas
Special District
</oddHeader>
    <oddFooter>&amp;Lrevised 3/19/09&amp;CPage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J65"/>
  <sheetViews>
    <sheetView topLeftCell="A41" workbookViewId="0">
      <selection sqref="A1:IV69"/>
    </sheetView>
  </sheetViews>
  <sheetFormatPr defaultRowHeight="15.75"/>
  <cols>
    <col min="1" max="1" width="0.109375" style="98" customWidth="1"/>
    <col min="2" max="2" width="30.44140625" style="98" customWidth="1"/>
    <col min="3" max="3" width="16" style="98" customWidth="1"/>
    <col min="4" max="4" width="25.109375" style="98" customWidth="1"/>
    <col min="5" max="5" width="9.6640625" style="98" customWidth="1"/>
    <col min="6" max="6" width="70.77734375" style="98" customWidth="1"/>
    <col min="7" max="7" width="15.77734375" style="98" customWidth="1"/>
    <col min="8" max="16384" width="8.88671875" style="98"/>
  </cols>
  <sheetData>
    <row r="1" spans="2:6">
      <c r="B1" s="18" t="str">
        <f>[1]inputPrYr!D3</f>
        <v>ELK FALLS CEMETERY</v>
      </c>
      <c r="C1" s="171"/>
      <c r="D1" s="18"/>
      <c r="E1" s="167"/>
    </row>
    <row r="2" spans="2:6">
      <c r="B2" s="18" t="str">
        <f>[1]inputPrYr!D4</f>
        <v>ELK COUNTY</v>
      </c>
      <c r="C2" s="171"/>
      <c r="D2" s="18"/>
      <c r="E2" s="138"/>
    </row>
    <row r="3" spans="2:6">
      <c r="B3" s="249" t="s">
        <v>449</v>
      </c>
      <c r="C3" s="171"/>
      <c r="D3" s="18"/>
      <c r="E3" s="172"/>
      <c r="F3" s="167">
        <f>[1]inputPrYr!$D$6</f>
        <v>2012</v>
      </c>
    </row>
    <row r="4" spans="2:6">
      <c r="B4" s="18"/>
      <c r="C4" s="102"/>
      <c r="D4" s="102"/>
      <c r="E4" s="102"/>
    </row>
    <row r="5" spans="2:6">
      <c r="B5" s="17" t="s">
        <v>255</v>
      </c>
      <c r="C5" s="220" t="s">
        <v>399</v>
      </c>
      <c r="D5" s="221" t="s">
        <v>398</v>
      </c>
      <c r="E5" s="173" t="s">
        <v>397</v>
      </c>
    </row>
    <row r="6" spans="2:6">
      <c r="B6" s="250" t="str">
        <f>[1]inputPrYr!B19</f>
        <v>General</v>
      </c>
      <c r="C6" s="222" t="str">
        <f>CONCATENATE("Actual ",F3-2,"")</f>
        <v>Actual 2010</v>
      </c>
      <c r="D6" s="222" t="str">
        <f>CONCATENATE("Estimate ",F3-1,"")</f>
        <v>Estimate 2011</v>
      </c>
      <c r="E6" s="174" t="str">
        <f>CONCATENATE("Year ",F3,"")</f>
        <v>Year 2012</v>
      </c>
    </row>
    <row r="7" spans="2:6">
      <c r="B7" s="121" t="s">
        <v>322</v>
      </c>
      <c r="C7" s="223">
        <v>14010</v>
      </c>
      <c r="D7" s="224">
        <f>C51</f>
        <v>17863</v>
      </c>
      <c r="E7" s="47">
        <f>D51</f>
        <v>11477</v>
      </c>
    </row>
    <row r="8" spans="2:6">
      <c r="B8" s="175" t="s">
        <v>324</v>
      </c>
      <c r="C8" s="176"/>
      <c r="D8" s="176"/>
      <c r="E8" s="126"/>
    </row>
    <row r="9" spans="2:6">
      <c r="B9" s="121" t="s">
        <v>256</v>
      </c>
      <c r="C9" s="223">
        <v>8239</v>
      </c>
      <c r="D9" s="224">
        <f>[1]inputPrYr!E19</f>
        <v>8319</v>
      </c>
      <c r="E9" s="128" t="s">
        <v>253</v>
      </c>
    </row>
    <row r="10" spans="2:6">
      <c r="B10" s="121" t="s">
        <v>257</v>
      </c>
      <c r="C10" s="223">
        <v>165</v>
      </c>
      <c r="D10" s="223"/>
      <c r="E10" s="168"/>
    </row>
    <row r="11" spans="2:6">
      <c r="B11" s="121" t="s">
        <v>258</v>
      </c>
      <c r="C11" s="223">
        <v>792</v>
      </c>
      <c r="D11" s="223">
        <v>928</v>
      </c>
      <c r="E11" s="47">
        <f>[1]mvalloc!D11</f>
        <v>1078</v>
      </c>
    </row>
    <row r="12" spans="2:6">
      <c r="B12" s="121" t="s">
        <v>259</v>
      </c>
      <c r="C12" s="223">
        <v>12</v>
      </c>
      <c r="D12" s="223">
        <v>16</v>
      </c>
      <c r="E12" s="47">
        <f>[1]mvalloc!E11</f>
        <v>16</v>
      </c>
    </row>
    <row r="13" spans="2:6">
      <c r="B13" s="176" t="s">
        <v>307</v>
      </c>
      <c r="C13" s="223">
        <v>56</v>
      </c>
      <c r="D13" s="223">
        <v>104</v>
      </c>
      <c r="E13" s="47">
        <f>[1]mvalloc!F11</f>
        <v>104</v>
      </c>
    </row>
    <row r="14" spans="2:6">
      <c r="B14" s="176" t="s">
        <v>344</v>
      </c>
      <c r="C14" s="223"/>
      <c r="D14" s="223"/>
      <c r="E14" s="47">
        <f>[1]inputOth!E30</f>
        <v>0</v>
      </c>
    </row>
    <row r="15" spans="2:6">
      <c r="B15" s="176" t="s">
        <v>345</v>
      </c>
      <c r="C15" s="223"/>
      <c r="D15" s="223"/>
      <c r="E15" s="47">
        <f>[1]mvalloc!G11</f>
        <v>0</v>
      </c>
    </row>
    <row r="16" spans="2:6">
      <c r="B16" s="177" t="s">
        <v>260</v>
      </c>
      <c r="C16" s="223"/>
      <c r="D16" s="223"/>
      <c r="E16" s="168"/>
    </row>
    <row r="17" spans="2:5">
      <c r="B17" s="177"/>
      <c r="C17" s="223"/>
      <c r="D17" s="223"/>
      <c r="E17" s="168"/>
    </row>
    <row r="18" spans="2:5">
      <c r="B18" s="177" t="s">
        <v>450</v>
      </c>
      <c r="C18" s="223">
        <v>0</v>
      </c>
      <c r="D18" s="223">
        <v>837</v>
      </c>
      <c r="E18" s="168"/>
    </row>
    <row r="19" spans="2:5">
      <c r="B19" s="177"/>
      <c r="C19" s="223"/>
      <c r="D19" s="223"/>
      <c r="E19" s="168"/>
    </row>
    <row r="20" spans="2:5">
      <c r="B20" s="177" t="s">
        <v>451</v>
      </c>
      <c r="C20" s="223">
        <v>-837</v>
      </c>
      <c r="D20" s="223"/>
      <c r="E20" s="168"/>
    </row>
    <row r="21" spans="2:5">
      <c r="B21" s="177"/>
      <c r="C21" s="223"/>
      <c r="D21" s="223"/>
      <c r="E21" s="168"/>
    </row>
    <row r="22" spans="2:5">
      <c r="B22" s="177" t="s">
        <v>452</v>
      </c>
      <c r="C22" s="223">
        <v>700</v>
      </c>
      <c r="D22" s="223"/>
      <c r="E22" s="168"/>
    </row>
    <row r="23" spans="2:5">
      <c r="B23" s="177"/>
      <c r="C23" s="223"/>
      <c r="D23" s="223"/>
      <c r="E23" s="168"/>
    </row>
    <row r="24" spans="2:5">
      <c r="B24" s="178"/>
      <c r="C24" s="223"/>
      <c r="D24" s="223"/>
      <c r="E24" s="168"/>
    </row>
    <row r="25" spans="2:5">
      <c r="B25" s="178" t="s">
        <v>261</v>
      </c>
      <c r="C25" s="223">
        <v>14</v>
      </c>
      <c r="D25" s="223"/>
      <c r="E25" s="168"/>
    </row>
    <row r="26" spans="2:5">
      <c r="B26" s="179" t="s">
        <v>389</v>
      </c>
      <c r="C26" s="177"/>
      <c r="D26" s="177"/>
      <c r="E26" s="168"/>
    </row>
    <row r="27" spans="2:5">
      <c r="B27" s="179" t="s">
        <v>453</v>
      </c>
      <c r="C27" s="225" t="str">
        <f>IF(C28*0.1&lt;C26,"Exceed 10% Rule","")</f>
        <v/>
      </c>
      <c r="D27" s="225" t="str">
        <f>IF(D28*0.1&lt;D26,"Exceed 10% Rule","")</f>
        <v/>
      </c>
      <c r="E27" s="251" t="str">
        <f>IF(E28*0.1+E57&lt;E26,"Exceed 10% Rule","")</f>
        <v/>
      </c>
    </row>
    <row r="28" spans="2:5">
      <c r="B28" s="180" t="s">
        <v>262</v>
      </c>
      <c r="C28" s="226">
        <f>SUM(C9:C26)</f>
        <v>9141</v>
      </c>
      <c r="D28" s="226">
        <f>SUM(D9:D26)</f>
        <v>10204</v>
      </c>
      <c r="E28" s="181">
        <f>SUM(E9:E26)</f>
        <v>1198</v>
      </c>
    </row>
    <row r="29" spans="2:5">
      <c r="B29" s="180" t="s">
        <v>263</v>
      </c>
      <c r="C29" s="226">
        <f>C7+C28</f>
        <v>23151</v>
      </c>
      <c r="D29" s="226">
        <f>D7+D28</f>
        <v>28067</v>
      </c>
      <c r="E29" s="181">
        <f>E7+E28</f>
        <v>12675</v>
      </c>
    </row>
    <row r="30" spans="2:5">
      <c r="B30" s="121" t="s">
        <v>264</v>
      </c>
      <c r="C30" s="125"/>
      <c r="D30" s="125"/>
      <c r="E30" s="38"/>
    </row>
    <row r="31" spans="2:5">
      <c r="B31" s="177"/>
      <c r="C31" s="223"/>
      <c r="D31" s="223"/>
      <c r="E31" s="168"/>
    </row>
    <row r="32" spans="2:5">
      <c r="B32" s="177" t="s">
        <v>212</v>
      </c>
      <c r="C32" s="223">
        <v>4800</v>
      </c>
      <c r="D32" s="223">
        <v>7799</v>
      </c>
      <c r="E32" s="168">
        <v>9000</v>
      </c>
    </row>
    <row r="33" spans="2:10">
      <c r="B33" s="177" t="s">
        <v>454</v>
      </c>
      <c r="C33" s="223">
        <v>64</v>
      </c>
      <c r="D33" s="223">
        <v>91</v>
      </c>
      <c r="E33" s="168">
        <v>91</v>
      </c>
    </row>
    <row r="34" spans="2:10">
      <c r="B34" s="177" t="s">
        <v>455</v>
      </c>
      <c r="C34" s="223">
        <v>210</v>
      </c>
      <c r="D34" s="223">
        <v>350</v>
      </c>
      <c r="E34" s="168">
        <v>350</v>
      </c>
    </row>
    <row r="35" spans="2:10">
      <c r="B35" s="177" t="s">
        <v>456</v>
      </c>
      <c r="C35" s="223">
        <v>214</v>
      </c>
      <c r="D35" s="223"/>
      <c r="E35" s="168">
        <v>214</v>
      </c>
    </row>
    <row r="36" spans="2:10">
      <c r="B36" s="177" t="s">
        <v>213</v>
      </c>
      <c r="C36" s="223"/>
      <c r="D36" s="223">
        <v>8350</v>
      </c>
      <c r="E36" s="168">
        <v>10500</v>
      </c>
    </row>
    <row r="37" spans="2:10">
      <c r="B37" s="177"/>
      <c r="C37" s="223"/>
      <c r="D37" s="223"/>
      <c r="E37" s="168"/>
    </row>
    <row r="38" spans="2:10">
      <c r="B38" s="177"/>
      <c r="C38" s="223"/>
      <c r="D38" s="223"/>
      <c r="E38" s="168"/>
    </row>
    <row r="39" spans="2:10">
      <c r="B39" s="177"/>
      <c r="C39" s="223"/>
      <c r="D39" s="223"/>
      <c r="E39" s="168"/>
    </row>
    <row r="40" spans="2:10">
      <c r="B40" s="177"/>
      <c r="C40" s="223"/>
      <c r="D40" s="223"/>
      <c r="E40" s="168"/>
    </row>
    <row r="41" spans="2:10">
      <c r="B41" s="177"/>
      <c r="C41" s="223"/>
      <c r="D41" s="223"/>
      <c r="E41" s="168"/>
    </row>
    <row r="42" spans="2:10">
      <c r="B42" s="177"/>
      <c r="C42" s="223"/>
      <c r="D42" s="223"/>
      <c r="E42" s="168"/>
    </row>
    <row r="43" spans="2:10">
      <c r="B43" s="177"/>
      <c r="C43" s="223"/>
      <c r="D43" s="223"/>
      <c r="E43" s="168"/>
      <c r="G43" s="314" t="str">
        <f>CONCATENATE("Projected Carryover Into ",F3+1,"")</f>
        <v>Projected Carryover Into 2013</v>
      </c>
      <c r="H43" s="315"/>
      <c r="I43" s="315"/>
      <c r="J43" s="316"/>
    </row>
    <row r="44" spans="2:10">
      <c r="B44" s="177"/>
      <c r="C44" s="223"/>
      <c r="D44" s="223"/>
      <c r="E44" s="168"/>
      <c r="G44" s="252"/>
      <c r="H44" s="253"/>
      <c r="I44" s="253"/>
      <c r="J44" s="254"/>
    </row>
    <row r="45" spans="2:10">
      <c r="B45" s="177"/>
      <c r="C45" s="223"/>
      <c r="D45" s="223"/>
      <c r="E45" s="168"/>
      <c r="G45" s="255">
        <f>D51</f>
        <v>11477</v>
      </c>
      <c r="H45" s="256" t="str">
        <f>CONCATENATE("",F3-1," Ending Cash Balance (est.)")</f>
        <v>2011 Ending Cash Balance (est.)</v>
      </c>
      <c r="I45" s="257"/>
      <c r="J45" s="254"/>
    </row>
    <row r="46" spans="2:10">
      <c r="B46" s="177"/>
      <c r="C46" s="223"/>
      <c r="D46" s="223"/>
      <c r="E46" s="168"/>
      <c r="G46" s="255">
        <f>E28</f>
        <v>1198</v>
      </c>
      <c r="H46" s="257" t="str">
        <f>CONCATENATE("",F3," Non-AV Receipts (est.)")</f>
        <v>2012 Non-AV Receipts (est.)</v>
      </c>
      <c r="I46" s="257"/>
      <c r="J46" s="254"/>
    </row>
    <row r="47" spans="2:10">
      <c r="B47" s="125" t="s">
        <v>390</v>
      </c>
      <c r="C47" s="223"/>
      <c r="D47" s="223"/>
      <c r="E47" s="169">
        <v>0</v>
      </c>
      <c r="G47" s="258">
        <f>E57</f>
        <v>7480</v>
      </c>
      <c r="H47" s="257" t="str">
        <f>CONCATENATE("",F3," Ad Valorem Tax (est.)")</f>
        <v>2012 Ad Valorem Tax (est.)</v>
      </c>
      <c r="I47" s="257"/>
      <c r="J47" s="254"/>
    </row>
    <row r="48" spans="2:10">
      <c r="B48" s="125" t="s">
        <v>389</v>
      </c>
      <c r="C48" s="223"/>
      <c r="D48" s="223"/>
      <c r="E48" s="37"/>
      <c r="G48" s="255">
        <f>SUM(G45:G47)</f>
        <v>20155</v>
      </c>
      <c r="H48" s="257" t="str">
        <f>CONCATENATE("Total ",E4," Resources Available")</f>
        <v>Total  Resources Available</v>
      </c>
      <c r="I48" s="257"/>
      <c r="J48" s="254"/>
    </row>
    <row r="49" spans="2:10">
      <c r="B49" s="125" t="s">
        <v>457</v>
      </c>
      <c r="C49" s="225" t="str">
        <f>IF(C50*0.1&lt;C48,"Exceed 10% Rule","")</f>
        <v/>
      </c>
      <c r="D49" s="225" t="str">
        <f>IF(D50*0.1&lt;D48,"Exceed 10% Rule","")</f>
        <v/>
      </c>
      <c r="E49" s="251" t="str">
        <f>IF(E50*0.1&lt;E48,"Exceed 10% Rule","")</f>
        <v/>
      </c>
      <c r="G49" s="259"/>
      <c r="H49" s="257"/>
      <c r="I49" s="257"/>
      <c r="J49" s="254"/>
    </row>
    <row r="50" spans="2:10">
      <c r="B50" s="180" t="s">
        <v>265</v>
      </c>
      <c r="C50" s="226">
        <f>SUM(C31:C48)</f>
        <v>5288</v>
      </c>
      <c r="D50" s="226">
        <f>SUM(D31:D48)</f>
        <v>16590</v>
      </c>
      <c r="E50" s="181">
        <f>SUM(E31:E48)</f>
        <v>20155</v>
      </c>
      <c r="G50" s="258">
        <f>C50*0.05+C50</f>
        <v>5552.4</v>
      </c>
      <c r="H50" s="257" t="str">
        <f>CONCATENATE("Less ",F3-2," Expenditures + 5%")</f>
        <v>Less 2010 Expenditures + 5%</v>
      </c>
      <c r="I50" s="257"/>
      <c r="J50" s="254"/>
    </row>
    <row r="51" spans="2:10">
      <c r="B51" s="121" t="s">
        <v>323</v>
      </c>
      <c r="C51" s="227">
        <f>C29-C50</f>
        <v>17863</v>
      </c>
      <c r="D51" s="227">
        <f>D29-D50</f>
        <v>11477</v>
      </c>
      <c r="E51" s="128" t="s">
        <v>253</v>
      </c>
      <c r="G51" s="260">
        <f>G48-G50</f>
        <v>14602.6</v>
      </c>
      <c r="H51" s="261" t="str">
        <f>CONCATENATE("Projected ",F3+1," Carryover (est.)")</f>
        <v>Projected 2013 Carryover (est.)</v>
      </c>
      <c r="I51" s="262"/>
      <c r="J51" s="263"/>
    </row>
    <row r="52" spans="2:10">
      <c r="B52" s="138" t="str">
        <f>CONCATENATE("",F3-2,"/",F3-1," Budget Authority Amount:")</f>
        <v>2010/2011 Budget Authority Amount:</v>
      </c>
      <c r="C52" s="122">
        <f>[1]inputOth!B42</f>
        <v>15740</v>
      </c>
      <c r="D52" s="264">
        <f>[1]inputPrYr!D19</f>
        <v>16590</v>
      </c>
      <c r="E52" s="128" t="s">
        <v>253</v>
      </c>
      <c r="F52" s="182"/>
      <c r="G52" s="16"/>
      <c r="H52" s="16"/>
      <c r="I52" s="16"/>
      <c r="J52" s="16"/>
    </row>
    <row r="53" spans="2:10">
      <c r="B53" s="138"/>
      <c r="C53" s="317" t="s">
        <v>458</v>
      </c>
      <c r="D53" s="318"/>
      <c r="E53" s="37"/>
      <c r="F53" s="182" t="str">
        <f>IF(E50/0.95-E50&lt;E53,"Exceeds 5%","")</f>
        <v/>
      </c>
      <c r="G53" s="265">
        <f>IF([1]inputOth!E7=0,"",ROUND([1]gen!E57/[1]inputOth!E7*1000,3))</f>
        <v>4.7149999999999999</v>
      </c>
      <c r="H53" s="266" t="str">
        <f>CONCATENATE("Projected ",F3-1," Mill Rate (est.)")</f>
        <v>Projected 2011 Mill Rate (est.)</v>
      </c>
      <c r="I53" s="267"/>
      <c r="J53" s="268"/>
    </row>
    <row r="54" spans="2:10">
      <c r="B54" s="269" t="str">
        <f>CONCATENATE(C70,"     ",D70)</f>
        <v xml:space="preserve">     </v>
      </c>
      <c r="C54" s="319" t="s">
        <v>459</v>
      </c>
      <c r="D54" s="320"/>
      <c r="E54" s="47">
        <f>E50+E53</f>
        <v>20155</v>
      </c>
      <c r="G54" s="270"/>
      <c r="H54" s="270"/>
      <c r="I54" s="270"/>
      <c r="J54" s="270"/>
    </row>
    <row r="55" spans="2:10">
      <c r="B55" s="269" t="str">
        <f>CONCATENATE(C71,"     ",D71)</f>
        <v xml:space="preserve">     </v>
      </c>
      <c r="C55" s="271"/>
      <c r="D55" s="272" t="s">
        <v>266</v>
      </c>
      <c r="E55" s="44">
        <f>IF(E54-E29&gt;0,E54-E29,0)</f>
        <v>7480</v>
      </c>
      <c r="G55" s="314" t="str">
        <f>CONCATENATE("Desired Carryover Into ",F3+1,"")</f>
        <v>Desired Carryover Into 2013</v>
      </c>
      <c r="H55" s="321"/>
      <c r="I55" s="321"/>
      <c r="J55" s="316"/>
    </row>
    <row r="56" spans="2:10">
      <c r="B56" s="158"/>
      <c r="C56" s="273" t="s">
        <v>460</v>
      </c>
      <c r="D56" s="274">
        <f>[1]inputOth!$E$36</f>
        <v>0</v>
      </c>
      <c r="E56" s="47">
        <f>ROUND(IF(D56&gt;0,(E55*D56),0),0)</f>
        <v>0</v>
      </c>
      <c r="G56" s="275"/>
      <c r="H56" s="253"/>
      <c r="I56" s="257"/>
      <c r="J56" s="276"/>
    </row>
    <row r="57" spans="2:10">
      <c r="B57" s="18"/>
      <c r="C57" s="322" t="str">
        <f>CONCATENATE("Amount of  ",$F$3-1," Ad Valorem Tax")</f>
        <v>Amount of  2011 Ad Valorem Tax</v>
      </c>
      <c r="D57" s="323"/>
      <c r="E57" s="44">
        <f>E55+E56</f>
        <v>7480</v>
      </c>
      <c r="G57" s="277" t="s">
        <v>461</v>
      </c>
      <c r="H57" s="257"/>
      <c r="I57" s="257"/>
      <c r="J57" s="278"/>
    </row>
    <row r="58" spans="2:10">
      <c r="B58" s="18"/>
      <c r="C58" s="18"/>
      <c r="D58" s="18"/>
      <c r="E58" s="18"/>
      <c r="G58" s="275" t="s">
        <v>462</v>
      </c>
      <c r="H58" s="253"/>
      <c r="I58" s="253"/>
      <c r="J58" s="279" t="str">
        <f>IF([1]gen!J57=0,"",ROUND((J57+E57-G51)/[1]inputOth!E7*1000,3)-G53)</f>
        <v/>
      </c>
    </row>
    <row r="59" spans="2:10">
      <c r="B59" s="18"/>
      <c r="C59" s="18"/>
      <c r="D59" s="18"/>
      <c r="E59" s="18"/>
      <c r="G59" s="280" t="str">
        <f>CONCATENATE("",F3," Total Expenditures Must Be:")</f>
        <v>2012 Total Expenditures Must Be:</v>
      </c>
      <c r="H59" s="281"/>
      <c r="I59" s="262"/>
      <c r="J59" s="282">
        <f>IF((J57&gt;0),(E50+J57-G51),0)</f>
        <v>0</v>
      </c>
    </row>
    <row r="60" spans="2:10">
      <c r="B60" s="18"/>
      <c r="C60" s="18"/>
      <c r="D60" s="18"/>
      <c r="E60" s="18"/>
    </row>
    <row r="61" spans="2:10">
      <c r="B61" s="18"/>
      <c r="C61" s="18"/>
      <c r="D61" s="18"/>
      <c r="E61" s="18"/>
    </row>
    <row r="62" spans="2:10">
      <c r="B62" s="18"/>
      <c r="C62" s="171"/>
      <c r="D62" s="171"/>
      <c r="E62" s="171"/>
    </row>
    <row r="63" spans="2:10">
      <c r="B63" s="138"/>
      <c r="C63" s="18" t="s">
        <v>214</v>
      </c>
      <c r="D63" s="18"/>
      <c r="E63" s="18"/>
    </row>
    <row r="65" spans="2:2">
      <c r="B65" s="63"/>
    </row>
  </sheetData>
  <mergeCells count="5">
    <mergeCell ref="G43:J43"/>
    <mergeCell ref="C53:D53"/>
    <mergeCell ref="C54:D54"/>
    <mergeCell ref="G55:J55"/>
    <mergeCell ref="C57:D57"/>
  </mergeCells>
  <phoneticPr fontId="0" type="noConversion"/>
  <conditionalFormatting sqref="G43">
    <cfRule type="cellIs" dxfId="43" priority="35" stopIfTrue="1" operator="greaterThan">
      <formula>$G$41/0.95-$G$41</formula>
    </cfRule>
  </conditionalFormatting>
  <conditionalFormatting sqref="C39:D39">
    <cfRule type="cellIs" dxfId="42" priority="36" stopIfTrue="1" operator="greaterThan">
      <formula>$C$41*0.1</formula>
    </cfRule>
  </conditionalFormatting>
  <conditionalFormatting sqref="E39:F39">
    <cfRule type="cellIs" dxfId="41" priority="37" stopIfTrue="1" operator="greaterThan">
      <formula>$E$41*0.1</formula>
    </cfRule>
  </conditionalFormatting>
  <conditionalFormatting sqref="G39">
    <cfRule type="cellIs" dxfId="40" priority="38" stopIfTrue="1" operator="greaterThan">
      <formula>$G$41*0.1</formula>
    </cfRule>
  </conditionalFormatting>
  <conditionalFormatting sqref="C24:D24">
    <cfRule type="cellIs" dxfId="39" priority="39" stopIfTrue="1" operator="greaterThan">
      <formula>$C$26*0.1</formula>
    </cfRule>
  </conditionalFormatting>
  <conditionalFormatting sqref="E24:F24">
    <cfRule type="cellIs" dxfId="38" priority="40" stopIfTrue="1" operator="greaterThan">
      <formula>$E$26*0.1</formula>
    </cfRule>
  </conditionalFormatting>
  <conditionalFormatting sqref="C42:D42">
    <cfRule type="cellIs" dxfId="37" priority="41" stopIfTrue="1" operator="lessThan">
      <formula>0</formula>
    </cfRule>
  </conditionalFormatting>
  <conditionalFormatting sqref="C41:D41">
    <cfRule type="cellIs" dxfId="36" priority="42" stopIfTrue="1" operator="greaterThan">
      <formula>$B$43</formula>
    </cfRule>
  </conditionalFormatting>
  <conditionalFormatting sqref="E41:F41">
    <cfRule type="cellIs" dxfId="35" priority="43" stopIfTrue="1" operator="greaterThan">
      <formula>$C$43</formula>
    </cfRule>
  </conditionalFormatting>
  <conditionalFormatting sqref="G24">
    <cfRule type="cellIs" dxfId="34" priority="44" stopIfTrue="1" operator="greaterThan">
      <formula>$G$26*0.1+$G$47</formula>
    </cfRule>
  </conditionalFormatting>
  <conditionalFormatting sqref="E42:F42">
    <cfRule type="cellIs" dxfId="33" priority="34" stopIfTrue="1" operator="lessThan">
      <formula>0</formula>
    </cfRule>
  </conditionalFormatting>
  <conditionalFormatting sqref="E53">
    <cfRule type="cellIs" dxfId="32" priority="33" stopIfTrue="1" operator="greaterThan">
      <formula>$E$50/0.95-$E$50</formula>
    </cfRule>
  </conditionalFormatting>
  <conditionalFormatting sqref="C48">
    <cfRule type="cellIs" dxfId="31" priority="32" stopIfTrue="1" operator="greaterThan">
      <formula>$C$50*0.1</formula>
    </cfRule>
  </conditionalFormatting>
  <conditionalFormatting sqref="D48">
    <cfRule type="cellIs" dxfId="30" priority="31" stopIfTrue="1" operator="greaterThan">
      <formula>$D$50*0.1</formula>
    </cfRule>
  </conditionalFormatting>
  <conditionalFormatting sqref="E48">
    <cfRule type="cellIs" dxfId="29" priority="30" stopIfTrue="1" operator="greaterThan">
      <formula>$E$50*0.1</formula>
    </cfRule>
  </conditionalFormatting>
  <conditionalFormatting sqref="C26">
    <cfRule type="cellIs" dxfId="28" priority="29" stopIfTrue="1" operator="greaterThan">
      <formula>$C$28*0.1</formula>
    </cfRule>
  </conditionalFormatting>
  <conditionalFormatting sqref="D26">
    <cfRule type="cellIs" dxfId="27" priority="28" stopIfTrue="1" operator="greaterThan">
      <formula>$D$28*0.1</formula>
    </cfRule>
  </conditionalFormatting>
  <conditionalFormatting sqref="C51">
    <cfRule type="cellIs" dxfId="26" priority="27" stopIfTrue="1" operator="lessThan">
      <formula>0</formula>
    </cfRule>
  </conditionalFormatting>
  <conditionalFormatting sqref="E26">
    <cfRule type="cellIs" dxfId="25" priority="26" stopIfTrue="1" operator="greaterThan">
      <formula>$E$28*0.1+$E$57</formula>
    </cfRule>
  </conditionalFormatting>
  <conditionalFormatting sqref="D51">
    <cfRule type="cellIs" dxfId="24" priority="25" stopIfTrue="1" operator="lessThan">
      <formula>0</formula>
    </cfRule>
  </conditionalFormatting>
  <conditionalFormatting sqref="D50">
    <cfRule type="cellIs" dxfId="23" priority="24" stopIfTrue="1" operator="greaterThan">
      <formula>$D$52</formula>
    </cfRule>
  </conditionalFormatting>
  <conditionalFormatting sqref="C50">
    <cfRule type="cellIs" dxfId="22" priority="23" stopIfTrue="1" operator="greaterThan">
      <formula>$C$52</formula>
    </cfRule>
  </conditionalFormatting>
  <conditionalFormatting sqref="E53">
    <cfRule type="cellIs" dxfId="21" priority="22" stopIfTrue="1" operator="greaterThan">
      <formula>$E$50/0.95-$E$50</formula>
    </cfRule>
  </conditionalFormatting>
  <conditionalFormatting sqref="C48">
    <cfRule type="cellIs" dxfId="20" priority="21" stopIfTrue="1" operator="greaterThan">
      <formula>$C$50*0.1</formula>
    </cfRule>
  </conditionalFormatting>
  <conditionalFormatting sqref="D48">
    <cfRule type="cellIs" dxfId="19" priority="20" stopIfTrue="1" operator="greaterThan">
      <formula>$D$50*0.1</formula>
    </cfRule>
  </conditionalFormatting>
  <conditionalFormatting sqref="E48">
    <cfRule type="cellIs" dxfId="18" priority="19" stopIfTrue="1" operator="greaterThan">
      <formula>$E$50*0.1</formula>
    </cfRule>
  </conditionalFormatting>
  <conditionalFormatting sqref="C26">
    <cfRule type="cellIs" dxfId="17" priority="18" stopIfTrue="1" operator="greaterThan">
      <formula>$C$28*0.1</formula>
    </cfRule>
  </conditionalFormatting>
  <conditionalFormatting sqref="D26">
    <cfRule type="cellIs" dxfId="16" priority="17" stopIfTrue="1" operator="greaterThan">
      <formula>$D$28*0.1</formula>
    </cfRule>
  </conditionalFormatting>
  <conditionalFormatting sqref="C51">
    <cfRule type="cellIs" dxfId="15" priority="16" stopIfTrue="1" operator="lessThan">
      <formula>0</formula>
    </cfRule>
  </conditionalFormatting>
  <conditionalFormatting sqref="E26">
    <cfRule type="cellIs" dxfId="14" priority="15" stopIfTrue="1" operator="greaterThan">
      <formula>$E$28*0.1+$E$57</formula>
    </cfRule>
  </conditionalFormatting>
  <conditionalFormatting sqref="D51">
    <cfRule type="cellIs" dxfId="13" priority="14" stopIfTrue="1" operator="lessThan">
      <formula>0</formula>
    </cfRule>
  </conditionalFormatting>
  <conditionalFormatting sqref="D50">
    <cfRule type="cellIs" dxfId="12" priority="13" stopIfTrue="1" operator="greaterThan">
      <formula>$D$52</formula>
    </cfRule>
  </conditionalFormatting>
  <conditionalFormatting sqref="C50">
    <cfRule type="cellIs" dxfId="11" priority="12" stopIfTrue="1" operator="greaterThan">
      <formula>$C$52</formula>
    </cfRule>
  </conditionalFormatting>
  <conditionalFormatting sqref="E53">
    <cfRule type="cellIs" dxfId="10" priority="11" stopIfTrue="1" operator="greaterThan">
      <formula>$E$50/0.95-$E$50</formula>
    </cfRule>
  </conditionalFormatting>
  <conditionalFormatting sqref="C48">
    <cfRule type="cellIs" dxfId="9" priority="10" stopIfTrue="1" operator="greaterThan">
      <formula>$C$50*0.1</formula>
    </cfRule>
  </conditionalFormatting>
  <conditionalFormatting sqref="D48">
    <cfRule type="cellIs" dxfId="8" priority="9" stopIfTrue="1" operator="greaterThan">
      <formula>$D$50*0.1</formula>
    </cfRule>
  </conditionalFormatting>
  <conditionalFormatting sqref="E48">
    <cfRule type="cellIs" dxfId="7" priority="8" stopIfTrue="1" operator="greaterThan">
      <formula>$E$50*0.1</formula>
    </cfRule>
  </conditionalFormatting>
  <conditionalFormatting sqref="C26">
    <cfRule type="cellIs" dxfId="6" priority="7" stopIfTrue="1" operator="greaterThan">
      <formula>$C$28*0.1</formula>
    </cfRule>
  </conditionalFormatting>
  <conditionalFormatting sqref="D26">
    <cfRule type="cellIs" dxfId="5" priority="6" stopIfTrue="1" operator="greaterThan">
      <formula>$D$28*0.1</formula>
    </cfRule>
  </conditionalFormatting>
  <conditionalFormatting sqref="C51">
    <cfRule type="cellIs" dxfId="4" priority="5" stopIfTrue="1" operator="lessThan">
      <formula>0</formula>
    </cfRule>
  </conditionalFormatting>
  <conditionalFormatting sqref="E26">
    <cfRule type="cellIs" dxfId="3" priority="4" stopIfTrue="1" operator="greaterThan">
      <formula>$E$28*0.1+$E$57</formula>
    </cfRule>
  </conditionalFormatting>
  <conditionalFormatting sqref="D51">
    <cfRule type="cellIs" dxfId="2" priority="3" stopIfTrue="1" operator="lessThan">
      <formula>0</formula>
    </cfRule>
  </conditionalFormatting>
  <conditionalFormatting sqref="D50">
    <cfRule type="cellIs" dxfId="1" priority="2" stopIfTrue="1" operator="greaterThan">
      <formula>$D$52</formula>
    </cfRule>
  </conditionalFormatting>
  <conditionalFormatting sqref="C50">
    <cfRule type="cellIs" dxfId="0" priority="1" stopIfTrue="1" operator="greaterThan">
      <formula>$C$52</formula>
    </cfRule>
  </conditionalFormatting>
  <pageMargins left="1" right="1" top="0.5" bottom="0.5" header="0.5" footer="0.5"/>
  <pageSetup scale="72" orientation="portrait" blackAndWhite="1" horizontalDpi="120" verticalDpi="144" r:id="rId1"/>
  <headerFooter alignWithMargins="0">
    <oddHeader xml:space="preserve">&amp;RState of Kansas
Special District
</oddHeader>
    <oddFooter>&amp;Lrevised 9/25/09</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7"/>
  <sheetViews>
    <sheetView topLeftCell="A12" zoomScale="85" workbookViewId="0">
      <selection sqref="A1:IV39"/>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[1]inputPrYr!D3</f>
        <v>ELK FALLS CEMETERY</v>
      </c>
      <c r="D1" s="18"/>
      <c r="E1" s="18"/>
      <c r="F1" s="18"/>
      <c r="G1" s="18"/>
      <c r="H1" s="18"/>
      <c r="I1" s="18"/>
      <c r="J1" s="18">
        <f>[1]inputPrYr!D6</f>
        <v>2012</v>
      </c>
    </row>
    <row r="2" spans="1:10" ht="15.95" customHeight="1">
      <c r="A2" s="18"/>
      <c r="B2" s="18"/>
      <c r="C2" s="18" t="str">
        <f>[1]inputPrYr!D4</f>
        <v>ELK COUNTY</v>
      </c>
      <c r="D2" s="18"/>
      <c r="E2" s="18"/>
      <c r="F2" s="18"/>
      <c r="G2" s="18"/>
      <c r="H2" s="18"/>
      <c r="I2" s="18"/>
      <c r="J2" s="18"/>
    </row>
    <row r="3" spans="1:10" ht="15.75">
      <c r="A3" s="289" t="str">
        <f>CONCATENATE("Computation to Determine Limit for ",J1,"")</f>
        <v>Computation to Determine Limit for 2012</v>
      </c>
      <c r="B3" s="304"/>
      <c r="C3" s="304"/>
      <c r="D3" s="304"/>
      <c r="E3" s="304"/>
      <c r="F3" s="304"/>
      <c r="G3" s="304"/>
      <c r="H3" s="304"/>
      <c r="I3" s="304"/>
      <c r="J3" s="304"/>
    </row>
    <row r="4" spans="1:10" ht="15.75">
      <c r="A4" s="18"/>
      <c r="B4" s="18"/>
      <c r="C4" s="18"/>
      <c r="D4" s="18"/>
      <c r="E4" s="304"/>
      <c r="F4" s="304"/>
      <c r="G4" s="304"/>
      <c r="H4" s="99"/>
      <c r="I4" s="18"/>
      <c r="J4" s="147" t="s">
        <v>288</v>
      </c>
    </row>
    <row r="5" spans="1:10" ht="15.75">
      <c r="A5" s="148" t="s">
        <v>289</v>
      </c>
      <c r="B5" s="18" t="str">
        <f>CONCATENATE("Total Tax Levy Amount in ",J1-1," Budget")</f>
        <v>Total Tax Levy Amount in 2011 Budget</v>
      </c>
      <c r="C5" s="18"/>
      <c r="D5" s="18"/>
      <c r="E5" s="39"/>
      <c r="F5" s="39"/>
      <c r="G5" s="39"/>
      <c r="H5" s="149" t="s">
        <v>290</v>
      </c>
      <c r="I5" s="39" t="s">
        <v>291</v>
      </c>
      <c r="J5" s="248">
        <f>[1]inputPrYr!E24</f>
        <v>8319</v>
      </c>
    </row>
    <row r="6" spans="1:10" ht="15.75">
      <c r="A6" s="148" t="s">
        <v>292</v>
      </c>
      <c r="B6" s="18" t="str">
        <f>CONCATENATE("Debt Service Levy in ",J1-1," Budget")</f>
        <v>Debt Service Levy in 2011 Budget</v>
      </c>
      <c r="C6" s="18"/>
      <c r="D6" s="18"/>
      <c r="E6" s="39"/>
      <c r="F6" s="39"/>
      <c r="G6" s="39"/>
      <c r="H6" s="149" t="s">
        <v>293</v>
      </c>
      <c r="I6" s="39" t="s">
        <v>291</v>
      </c>
      <c r="J6" s="150">
        <f>[1]inputPrYr!E20</f>
        <v>0</v>
      </c>
    </row>
    <row r="7" spans="1:10" ht="15.75">
      <c r="A7" s="148" t="s">
        <v>316</v>
      </c>
      <c r="B7" s="27" t="s">
        <v>310</v>
      </c>
      <c r="C7" s="18"/>
      <c r="D7" s="18"/>
      <c r="E7" s="39"/>
      <c r="F7" s="39"/>
      <c r="G7" s="39"/>
      <c r="H7" s="39"/>
      <c r="I7" s="39" t="s">
        <v>291</v>
      </c>
      <c r="J7" s="43">
        <f>J5-J6</f>
        <v>8319</v>
      </c>
    </row>
    <row r="8" spans="1:10" ht="15.75">
      <c r="A8" s="18"/>
      <c r="B8" s="18"/>
      <c r="C8" s="18"/>
      <c r="D8" s="18"/>
      <c r="E8" s="39"/>
      <c r="F8" s="39"/>
      <c r="G8" s="39"/>
      <c r="H8" s="39"/>
      <c r="I8" s="39"/>
      <c r="J8" s="39"/>
    </row>
    <row r="9" spans="1:10" ht="15.75">
      <c r="A9" s="18"/>
      <c r="B9" s="27" t="str">
        <f>CONCATENATE("",J1-1," Valuation Information for Valuation Adjustments:")</f>
        <v>2011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294</v>
      </c>
      <c r="B11" s="27" t="str">
        <f>CONCATENATE("New Improvements for ",J1-1,":")</f>
        <v>New Improvements for 2011:</v>
      </c>
      <c r="C11" s="18"/>
      <c r="D11" s="18"/>
      <c r="E11" s="149"/>
      <c r="F11" s="149" t="s">
        <v>290</v>
      </c>
      <c r="G11" s="151">
        <f>[1]inputOth!E8</f>
        <v>4461</v>
      </c>
      <c r="H11" s="152"/>
      <c r="I11" s="39"/>
      <c r="J11" s="39"/>
    </row>
    <row r="12" spans="1:10" ht="15.75">
      <c r="A12" s="148"/>
      <c r="B12" s="148"/>
      <c r="C12" s="18"/>
      <c r="D12" s="18"/>
      <c r="E12" s="149"/>
      <c r="F12" s="149"/>
      <c r="G12" s="152"/>
      <c r="H12" s="152"/>
      <c r="I12" s="39"/>
      <c r="J12" s="39"/>
    </row>
    <row r="13" spans="1:10" ht="15.75">
      <c r="A13" s="148" t="s">
        <v>295</v>
      </c>
      <c r="B13" s="27" t="str">
        <f>CONCATENATE("Increase in Personal Property for ",J1-1,":")</f>
        <v>Increase in Personal Property for 2011:</v>
      </c>
      <c r="C13" s="18"/>
      <c r="D13" s="18"/>
      <c r="E13" s="149"/>
      <c r="F13" s="149"/>
      <c r="G13" s="152"/>
      <c r="H13" s="152"/>
      <c r="I13" s="39"/>
      <c r="J13" s="39"/>
    </row>
    <row r="14" spans="1:10" ht="15.75">
      <c r="A14" s="18"/>
      <c r="B14" s="18" t="s">
        <v>296</v>
      </c>
      <c r="C14" s="18" t="str">
        <f>CONCATENATE("Personal Property ",J1-1,"")</f>
        <v>Personal Property 2011</v>
      </c>
      <c r="D14" s="148" t="s">
        <v>290</v>
      </c>
      <c r="E14" s="151">
        <f>[1]inputOth!E9</f>
        <v>18335</v>
      </c>
      <c r="F14" s="149"/>
      <c r="G14" s="39"/>
      <c r="H14" s="39"/>
      <c r="I14" s="152"/>
      <c r="J14" s="39"/>
    </row>
    <row r="15" spans="1:10" ht="15.75">
      <c r="A15" s="148"/>
      <c r="B15" s="18" t="s">
        <v>297</v>
      </c>
      <c r="C15" s="18" t="str">
        <f>CONCATENATE("Personal Property ",J1-2,"")</f>
        <v>Personal Property 2010</v>
      </c>
      <c r="D15" s="148" t="s">
        <v>293</v>
      </c>
      <c r="E15" s="43">
        <f>[1]inputOth!E11</f>
        <v>212855</v>
      </c>
      <c r="F15" s="149"/>
      <c r="G15" s="152"/>
      <c r="H15" s="152"/>
      <c r="I15" s="39"/>
      <c r="J15" s="39"/>
    </row>
    <row r="16" spans="1:10" ht="15.75">
      <c r="A16" s="148"/>
      <c r="B16" s="18" t="s">
        <v>298</v>
      </c>
      <c r="C16" s="18" t="s">
        <v>311</v>
      </c>
      <c r="D16" s="18"/>
      <c r="E16" s="39"/>
      <c r="F16" s="39" t="s">
        <v>290</v>
      </c>
      <c r="G16" s="151">
        <f>IF(E14&gt;E15,E14-E15,0)</f>
        <v>0</v>
      </c>
      <c r="H16" s="152"/>
      <c r="I16" s="39"/>
      <c r="J16" s="39"/>
    </row>
    <row r="17" spans="1:10" ht="15.75">
      <c r="A17" s="148"/>
      <c r="B17" s="148"/>
      <c r="C17" s="18"/>
      <c r="D17" s="18"/>
      <c r="E17" s="39"/>
      <c r="F17" s="39"/>
      <c r="G17" s="152" t="s">
        <v>306</v>
      </c>
      <c r="H17" s="152"/>
      <c r="I17" s="39"/>
      <c r="J17" s="39"/>
    </row>
    <row r="18" spans="1:10" ht="15.75">
      <c r="A18" s="148" t="s">
        <v>299</v>
      </c>
      <c r="B18" s="27" t="str">
        <f>CONCATENATE("Valuation of Property that has Changed in Use during ",J1-1,":")</f>
        <v>Valuation of Property that has Changed in Use during 2011:</v>
      </c>
      <c r="C18" s="18"/>
      <c r="D18" s="148"/>
      <c r="E18" s="39"/>
      <c r="F18" s="39"/>
      <c r="G18" s="39">
        <f>[1]inputOth!E10</f>
        <v>3093</v>
      </c>
      <c r="H18" s="39"/>
      <c r="I18" s="39"/>
      <c r="J18" s="39"/>
    </row>
    <row r="19" spans="1:10" ht="15.75">
      <c r="A19" s="18" t="s">
        <v>244</v>
      </c>
      <c r="B19" s="18"/>
      <c r="C19" s="18"/>
      <c r="D19" s="18"/>
      <c r="E19" s="152"/>
      <c r="F19" s="39"/>
      <c r="G19" s="153"/>
      <c r="H19" s="152"/>
      <c r="I19" s="39"/>
      <c r="J19" s="39"/>
    </row>
    <row r="20" spans="1:10" ht="15.75">
      <c r="A20" s="148" t="s">
        <v>300</v>
      </c>
      <c r="B20" s="27" t="s">
        <v>312</v>
      </c>
      <c r="C20" s="18"/>
      <c r="D20" s="148"/>
      <c r="E20" s="39"/>
      <c r="F20" s="39"/>
      <c r="G20" s="151">
        <f>G11+G16+G18</f>
        <v>7554</v>
      </c>
      <c r="H20" s="152"/>
      <c r="I20" s="39"/>
      <c r="J20" s="39"/>
    </row>
    <row r="21" spans="1:10" ht="15.75">
      <c r="A21" s="148"/>
      <c r="B21" s="148"/>
      <c r="C21" s="27"/>
      <c r="D21" s="18"/>
      <c r="E21" s="39"/>
      <c r="F21" s="39"/>
      <c r="G21" s="152"/>
      <c r="H21" s="152"/>
      <c r="I21" s="39"/>
      <c r="J21" s="39"/>
    </row>
    <row r="22" spans="1:10" ht="15.75">
      <c r="A22" s="148" t="s">
        <v>301</v>
      </c>
      <c r="B22" s="18" t="str">
        <f>CONCATENATE("Total Estimated Valuation July, 1,",J1-1,"")</f>
        <v>Total Estimated Valuation July, 1,2011</v>
      </c>
      <c r="C22" s="18"/>
      <c r="D22" s="18"/>
      <c r="E22" s="151">
        <f>[1]inputOth!E7</f>
        <v>1586585</v>
      </c>
      <c r="F22" s="39"/>
      <c r="G22" s="39"/>
      <c r="H22" s="39"/>
      <c r="I22" s="149"/>
      <c r="J22" s="39"/>
    </row>
    <row r="23" spans="1:10" ht="15.75">
      <c r="A23" s="148"/>
      <c r="B23" s="148"/>
      <c r="C23" s="18"/>
      <c r="D23" s="18"/>
      <c r="E23" s="152"/>
      <c r="F23" s="39"/>
      <c r="G23" s="39"/>
      <c r="H23" s="39"/>
      <c r="I23" s="149"/>
      <c r="J23" s="39"/>
    </row>
    <row r="24" spans="1:10" ht="15.75">
      <c r="A24" s="148" t="s">
        <v>302</v>
      </c>
      <c r="B24" s="27" t="s">
        <v>313</v>
      </c>
      <c r="C24" s="18"/>
      <c r="D24" s="18"/>
      <c r="E24" s="39"/>
      <c r="F24" s="39"/>
      <c r="G24" s="151">
        <f>E22-G20</f>
        <v>1579031</v>
      </c>
      <c r="H24" s="152"/>
      <c r="I24" s="149"/>
      <c r="J24" s="39"/>
    </row>
    <row r="25" spans="1:10" ht="15.75">
      <c r="A25" s="148"/>
      <c r="B25" s="148"/>
      <c r="C25" s="27"/>
      <c r="D25" s="18"/>
      <c r="E25" s="39"/>
      <c r="F25" s="39"/>
      <c r="G25" s="153"/>
      <c r="H25" s="152"/>
      <c r="I25" s="149"/>
      <c r="J25" s="39"/>
    </row>
    <row r="26" spans="1:10" ht="15.75">
      <c r="A26" s="148" t="s">
        <v>303</v>
      </c>
      <c r="B26" s="18" t="s">
        <v>314</v>
      </c>
      <c r="C26" s="18"/>
      <c r="D26" s="18"/>
      <c r="E26" s="18"/>
      <c r="F26" s="18"/>
      <c r="G26" s="154">
        <f>IF(G20&gt;0,G20/G24,0)</f>
        <v>4.7839466102945413E-3</v>
      </c>
      <c r="H26" s="71"/>
      <c r="I26" s="18"/>
      <c r="J26" s="18"/>
    </row>
    <row r="27" spans="1:10" ht="15.75">
      <c r="A27" s="148"/>
      <c r="B27" s="148"/>
      <c r="C27" s="18"/>
      <c r="D27" s="18"/>
      <c r="E27" s="18"/>
      <c r="F27" s="18"/>
      <c r="G27" s="71"/>
      <c r="H27" s="71"/>
      <c r="I27" s="18"/>
      <c r="J27" s="18"/>
    </row>
    <row r="28" spans="1:10" ht="15.75">
      <c r="A28" s="148" t="s">
        <v>304</v>
      </c>
      <c r="B28" s="18" t="s">
        <v>315</v>
      </c>
      <c r="C28" s="18"/>
      <c r="D28" s="18"/>
      <c r="E28" s="18"/>
      <c r="F28" s="18"/>
      <c r="G28" s="71"/>
      <c r="H28" s="155" t="s">
        <v>290</v>
      </c>
      <c r="I28" s="18" t="s">
        <v>291</v>
      </c>
      <c r="J28" s="151">
        <f>ROUND(G26*J7,0)</f>
        <v>40</v>
      </c>
    </row>
    <row r="29" spans="1:10" ht="15.75">
      <c r="A29" s="148"/>
      <c r="B29" s="148"/>
      <c r="C29" s="18"/>
      <c r="D29" s="18"/>
      <c r="E29" s="18"/>
      <c r="F29" s="18"/>
      <c r="G29" s="71"/>
      <c r="H29" s="155"/>
      <c r="I29" s="18"/>
      <c r="J29" s="152"/>
    </row>
    <row r="30" spans="1:10" ht="16.5" thickBot="1">
      <c r="A30" s="148" t="s">
        <v>305</v>
      </c>
      <c r="B30" s="27" t="s">
        <v>320</v>
      </c>
      <c r="C30" s="18"/>
      <c r="D30" s="18"/>
      <c r="E30" s="18"/>
      <c r="F30" s="18"/>
      <c r="G30" s="18"/>
      <c r="H30" s="18"/>
      <c r="I30" s="18" t="s">
        <v>291</v>
      </c>
      <c r="J30" s="156">
        <f>J7+J28</f>
        <v>8359</v>
      </c>
    </row>
    <row r="31" spans="1:10" ht="16.5" thickTop="1">
      <c r="A31" s="148"/>
      <c r="B31" s="27"/>
      <c r="C31" s="18"/>
      <c r="D31" s="18"/>
      <c r="E31" s="18"/>
      <c r="F31" s="18"/>
      <c r="G31" s="18"/>
      <c r="H31" s="18"/>
      <c r="I31" s="18"/>
      <c r="J31" s="18"/>
    </row>
    <row r="32" spans="1:10" ht="15.75">
      <c r="A32" s="148" t="s">
        <v>318</v>
      </c>
      <c r="B32" s="27" t="str">
        <f>CONCATENATE("Debt Service Levy in this ",J1," Budget")</f>
        <v>Debt Service Levy in this 2012 Budget</v>
      </c>
      <c r="C32" s="18"/>
      <c r="D32" s="18"/>
      <c r="E32" s="18"/>
      <c r="F32" s="18"/>
      <c r="G32" s="18"/>
      <c r="H32" s="18"/>
      <c r="I32" s="18"/>
      <c r="J32" s="157">
        <v>0</v>
      </c>
    </row>
    <row r="33" spans="1:10" ht="15.75">
      <c r="A33" s="148"/>
      <c r="B33" s="27"/>
      <c r="C33" s="18"/>
      <c r="D33" s="18"/>
      <c r="E33" s="18"/>
      <c r="F33" s="18"/>
      <c r="G33" s="18"/>
      <c r="H33" s="18"/>
      <c r="I33" s="18"/>
      <c r="J33" s="71"/>
    </row>
    <row r="34" spans="1:10" ht="16.5" thickBot="1">
      <c r="A34" s="148" t="s">
        <v>319</v>
      </c>
      <c r="B34" s="27" t="s">
        <v>321</v>
      </c>
      <c r="C34" s="18"/>
      <c r="D34" s="18"/>
      <c r="E34" s="18"/>
      <c r="F34" s="18"/>
      <c r="G34" s="18"/>
      <c r="H34" s="18"/>
      <c r="I34" s="18"/>
      <c r="J34" s="156">
        <f>J30+J32</f>
        <v>8359</v>
      </c>
    </row>
    <row r="35" spans="1:10" ht="16.5" thickTop="1">
      <c r="A35" s="18"/>
      <c r="B35" s="18"/>
      <c r="C35" s="18"/>
      <c r="D35" s="18"/>
      <c r="E35" s="18"/>
      <c r="F35" s="18"/>
      <c r="G35" s="18"/>
      <c r="H35" s="18"/>
      <c r="I35" s="18"/>
      <c r="J35" s="18"/>
    </row>
    <row r="36" spans="1:10" ht="15.75">
      <c r="A36" s="324" t="str">
        <f>CONCATENATE("If the ",J1," budget includes tax levies exceeding the total on line 14, you must")</f>
        <v>If the 2012 budget includes tax levies exceeding the total on line 14, you must</v>
      </c>
      <c r="B36" s="324"/>
      <c r="C36" s="324"/>
      <c r="D36" s="324"/>
      <c r="E36" s="324"/>
      <c r="F36" s="324"/>
      <c r="G36" s="324"/>
      <c r="H36" s="324"/>
      <c r="I36" s="324"/>
      <c r="J36" s="324"/>
    </row>
    <row r="37" spans="1:10" ht="15.75">
      <c r="A37" s="324" t="s">
        <v>317</v>
      </c>
      <c r="B37" s="324"/>
      <c r="C37" s="324"/>
      <c r="D37" s="324"/>
      <c r="E37" s="324"/>
      <c r="F37" s="324"/>
      <c r="G37" s="324"/>
      <c r="H37" s="324"/>
      <c r="I37" s="324"/>
      <c r="J37" s="324"/>
    </row>
  </sheetData>
  <mergeCells count="4">
    <mergeCell ref="A36:J36"/>
    <mergeCell ref="A37:J37"/>
    <mergeCell ref="A3:J3"/>
    <mergeCell ref="E4:G4"/>
  </mergeCells>
  <phoneticPr fontId="0" type="noConversion"/>
  <pageMargins left="0.5" right="0.5" top="0.75" bottom="0.5" header="0.5" footer="0.5"/>
  <pageSetup scale="85" orientation="portrait" blackAndWhite="1" r:id="rId1"/>
  <headerFooter alignWithMargins="0">
    <oddHeader xml:space="preserve">&amp;RState of Kansas
Special District
</oddHeader>
    <oddFooter>&amp;Lrevised 8/06/07&amp;CPage No. 2</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B1" sqref="A1:IV34"/>
    </sheetView>
  </sheetViews>
  <sheetFormatPr defaultRowHeight="15.75"/>
  <cols>
    <col min="1" max="1" width="8.88671875" style="166"/>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ELK FALLS CEMETERY</v>
      </c>
      <c r="C1" s="18"/>
      <c r="D1" s="18"/>
      <c r="E1" s="18"/>
      <c r="F1" s="18"/>
      <c r="G1" s="18"/>
      <c r="H1" s="18"/>
      <c r="I1" s="158"/>
      <c r="J1" s="18"/>
    </row>
    <row r="2" spans="1:10">
      <c r="A2" s="18"/>
      <c r="B2" s="18" t="str">
        <f>inputPrYr!D4</f>
        <v>ELK COUNTY</v>
      </c>
      <c r="C2" s="18"/>
      <c r="D2" s="18"/>
      <c r="E2" s="18"/>
      <c r="F2" s="18"/>
      <c r="G2" s="18"/>
      <c r="H2" s="18"/>
      <c r="I2" s="138"/>
      <c r="J2" s="18">
        <f>inputPrYr!D6</f>
        <v>2012</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325" t="s">
        <v>394</v>
      </c>
      <c r="C6" s="325"/>
      <c r="D6" s="325"/>
      <c r="E6" s="325"/>
      <c r="F6" s="325"/>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328" t="str">
        <f>CONCATENATE("",J2-1,"                    Budgeted Funds")</f>
        <v>2011                    Budgeted Funds</v>
      </c>
      <c r="C9" s="326" t="str">
        <f>CONCATENATE("Tax Levy Amount in ",J2-2," Budget")</f>
        <v>Tax Levy Amount in 2010 Budget</v>
      </c>
      <c r="D9" s="306" t="str">
        <f>CONCATENATE("Allocation for Year ",J2,"")</f>
        <v>Allocation for Year 2012</v>
      </c>
      <c r="E9" s="329"/>
      <c r="F9" s="329"/>
      <c r="G9" s="308"/>
      <c r="H9" s="18"/>
      <c r="I9" s="18"/>
      <c r="J9" s="18"/>
    </row>
    <row r="10" spans="1:10">
      <c r="A10" s="18"/>
      <c r="B10" s="327"/>
      <c r="C10" s="327"/>
      <c r="D10" s="116" t="s">
        <v>268</v>
      </c>
      <c r="E10" s="116" t="s">
        <v>269</v>
      </c>
      <c r="F10" s="116" t="s">
        <v>285</v>
      </c>
      <c r="G10" s="113" t="s">
        <v>345</v>
      </c>
      <c r="H10" s="18"/>
      <c r="I10" s="18"/>
      <c r="J10" s="18"/>
    </row>
    <row r="11" spans="1:10">
      <c r="A11" s="18"/>
      <c r="B11" s="38" t="str">
        <f>inputPrYr!B19</f>
        <v>General</v>
      </c>
      <c r="C11" s="126">
        <f>inputPrYr!E19</f>
        <v>8319</v>
      </c>
      <c r="D11" s="126">
        <f>IF(E17=0,0,E17-D12-D13-D14)</f>
        <v>1078</v>
      </c>
      <c r="E11" s="126">
        <f>IF(E19=0,0,E19-E12-E13-E14)</f>
        <v>16</v>
      </c>
      <c r="F11" s="126">
        <f>IF(E21=0,0,E21-F12-F13-F14)</f>
        <v>104</v>
      </c>
      <c r="G11" s="126">
        <f>IF(E23=0,0,E23-G12-G13-G14)</f>
        <v>0</v>
      </c>
      <c r="H11" s="18"/>
      <c r="I11" s="18"/>
      <c r="J11" s="18"/>
    </row>
    <row r="12" spans="1:10">
      <c r="A12" s="18"/>
      <c r="B12" s="38" t="str">
        <f>inputPrYr!B20</f>
        <v>Debt Service</v>
      </c>
      <c r="C12" s="126">
        <f>inputPrYr!E20</f>
        <v>0</v>
      </c>
      <c r="D12" s="126">
        <f>IF($E$17=0,0,ROUND(C12*$C$25,0))</f>
        <v>0</v>
      </c>
      <c r="E12" s="126">
        <f>IF($E$19=0,0,ROUND(C12*$D$27,0))</f>
        <v>0</v>
      </c>
      <c r="F12" s="126">
        <f>IF($E21=0,0,ROUND(C12*$E$29,0))</f>
        <v>0</v>
      </c>
      <c r="G12" s="126">
        <f>IF($E23=0,0,ROUND(C12*$F$31,0))</f>
        <v>0</v>
      </c>
      <c r="H12" s="18"/>
      <c r="I12" s="18"/>
      <c r="J12" s="18"/>
    </row>
    <row r="13" spans="1:10">
      <c r="A13" s="18"/>
      <c r="B13" s="38" t="str">
        <f>IF(inputPrYr!$B$22&gt;"  ",inputPrYr!$B$22,"  ")</f>
        <v xml:space="preserve">  </v>
      </c>
      <c r="C13" s="126">
        <f>inputPrYr!E22</f>
        <v>0</v>
      </c>
      <c r="D13" s="126">
        <f>IF($E$17=0,0,ROUND(C13*$C$25,0))</f>
        <v>0</v>
      </c>
      <c r="E13" s="126">
        <f>IF($E$19=0,0,ROUND(C13*$D$27,0))</f>
        <v>0</v>
      </c>
      <c r="F13" s="126">
        <f>IF($E21=0,0,ROUND(C13*$E$29,0))</f>
        <v>0</v>
      </c>
      <c r="G13" s="126">
        <f>IF($E23=0,0,ROUND(C13*$F$31,0))</f>
        <v>0</v>
      </c>
      <c r="H13" s="101"/>
      <c r="I13" s="101"/>
      <c r="J13" s="18"/>
    </row>
    <row r="14" spans="1:10">
      <c r="A14" s="18"/>
      <c r="B14" s="38" t="str">
        <f>IF(inputPrYr!$B$23&gt;"  ",inputPrYr!$B$23,"  ")</f>
        <v xml:space="preserve">  </v>
      </c>
      <c r="C14" s="126">
        <f>inputPrYr!E23</f>
        <v>0</v>
      </c>
      <c r="D14" s="126">
        <f>IF($E$17=0,0,ROUND(C14*$C$25,0))</f>
        <v>0</v>
      </c>
      <c r="E14" s="126">
        <f>IF($E$19=0,0,ROUND(C14*$D$27,0))</f>
        <v>0</v>
      </c>
      <c r="F14" s="126">
        <f>IF($E21=0,0,ROUND(C14*$E$29,0))</f>
        <v>0</v>
      </c>
      <c r="G14" s="126">
        <f>IF($E23=0,0,ROUND(C14*$F$31,0))</f>
        <v>0</v>
      </c>
      <c r="H14" s="18"/>
      <c r="I14" s="18"/>
      <c r="J14" s="18"/>
    </row>
    <row r="15" spans="1:10" ht="16.5" thickBot="1">
      <c r="A15" s="18"/>
      <c r="B15" s="35" t="s">
        <v>239</v>
      </c>
      <c r="C15" s="130">
        <f>SUM(C11:C14)</f>
        <v>8319</v>
      </c>
      <c r="D15" s="130">
        <f>SUM(D11:D14)</f>
        <v>1078</v>
      </c>
      <c r="E15" s="130">
        <f>SUM(E11:E14)</f>
        <v>16</v>
      </c>
      <c r="F15" s="130">
        <f>SUM(F11:F14)</f>
        <v>104</v>
      </c>
      <c r="G15" s="129">
        <f>SUM(G11:G14)</f>
        <v>0</v>
      </c>
      <c r="H15" s="18"/>
      <c r="I15" s="18"/>
      <c r="J15" s="18"/>
    </row>
    <row r="16" spans="1:10" ht="16.5" thickTop="1">
      <c r="A16" s="18"/>
      <c r="B16" s="18"/>
      <c r="C16" s="18"/>
      <c r="D16" s="18"/>
      <c r="E16" s="18"/>
      <c r="F16" s="18"/>
      <c r="G16" s="18"/>
      <c r="H16" s="18"/>
      <c r="I16" s="18"/>
      <c r="J16" s="18"/>
    </row>
    <row r="17" spans="1:10">
      <c r="A17" s="18"/>
      <c r="B17" s="17" t="s">
        <v>270</v>
      </c>
      <c r="C17" s="18"/>
      <c r="D17" s="18"/>
      <c r="E17" s="161">
        <f>inputOth!E27</f>
        <v>1078</v>
      </c>
      <c r="F17" s="18"/>
      <c r="G17" s="18"/>
      <c r="H17" s="18"/>
      <c r="I17" s="18"/>
      <c r="J17" s="18"/>
    </row>
    <row r="18" spans="1:10">
      <c r="A18" s="18"/>
      <c r="B18" s="18"/>
      <c r="C18" s="18"/>
      <c r="D18" s="159"/>
      <c r="E18" s="159"/>
      <c r="F18" s="18"/>
      <c r="G18" s="18"/>
      <c r="H18" s="18"/>
      <c r="I18" s="18"/>
      <c r="J18" s="18"/>
    </row>
    <row r="19" spans="1:10">
      <c r="A19" s="18"/>
      <c r="B19" s="17" t="s">
        <v>271</v>
      </c>
      <c r="C19" s="18"/>
      <c r="D19" s="159"/>
      <c r="E19" s="161">
        <f>inputOth!E28</f>
        <v>16</v>
      </c>
      <c r="F19" s="18"/>
      <c r="G19" s="18"/>
      <c r="H19" s="18"/>
      <c r="I19" s="18"/>
      <c r="J19" s="18"/>
    </row>
    <row r="20" spans="1:10">
      <c r="A20" s="18"/>
      <c r="B20" s="18"/>
      <c r="C20" s="18"/>
      <c r="D20" s="18"/>
      <c r="E20" s="18"/>
      <c r="F20" s="18"/>
      <c r="G20" s="18"/>
      <c r="H20" s="18"/>
      <c r="I20" s="18"/>
      <c r="J20" s="18"/>
    </row>
    <row r="21" spans="1:10">
      <c r="A21" s="18"/>
      <c r="B21" s="17" t="s">
        <v>286</v>
      </c>
      <c r="C21" s="18"/>
      <c r="D21" s="18"/>
      <c r="E21" s="161">
        <f>inputOth!E29</f>
        <v>104</v>
      </c>
      <c r="F21" s="18"/>
      <c r="G21" s="18"/>
      <c r="H21" s="18"/>
      <c r="I21" s="18"/>
      <c r="J21" s="18"/>
    </row>
    <row r="22" spans="1:10">
      <c r="A22" s="18"/>
      <c r="B22" s="18"/>
      <c r="C22" s="18"/>
      <c r="D22" s="18"/>
      <c r="E22" s="18"/>
      <c r="F22" s="18"/>
      <c r="G22" s="18"/>
      <c r="H22" s="18"/>
      <c r="I22" s="18"/>
      <c r="J22" s="18"/>
    </row>
    <row r="23" spans="1:10">
      <c r="A23" s="18"/>
      <c r="B23" s="18" t="s">
        <v>381</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272</v>
      </c>
      <c r="C25" s="162">
        <f>IF(C15=0,0,E17/C15)</f>
        <v>0.12958288255799977</v>
      </c>
      <c r="D25" s="18"/>
      <c r="E25" s="18"/>
      <c r="F25" s="18"/>
      <c r="G25" s="18"/>
      <c r="H25" s="18"/>
      <c r="I25" s="18"/>
      <c r="J25" s="18"/>
    </row>
    <row r="26" spans="1:10">
      <c r="A26" s="18"/>
      <c r="B26" s="17"/>
      <c r="C26" s="163"/>
      <c r="D26" s="18"/>
      <c r="E26" s="18"/>
      <c r="F26" s="18"/>
      <c r="G26" s="18"/>
      <c r="H26" s="18"/>
      <c r="I26" s="18"/>
      <c r="J26" s="18"/>
    </row>
    <row r="27" spans="1:10">
      <c r="A27" s="18"/>
      <c r="B27" s="18"/>
      <c r="C27" s="138" t="s">
        <v>273</v>
      </c>
      <c r="D27" s="164">
        <f>IF(C15=0,0,E19/C15)</f>
        <v>1.9233080899146533E-3</v>
      </c>
      <c r="E27" s="18"/>
      <c r="F27" s="18"/>
      <c r="G27" s="18"/>
      <c r="H27" s="18"/>
      <c r="I27" s="18"/>
      <c r="J27" s="18"/>
    </row>
    <row r="28" spans="1:10">
      <c r="A28" s="18"/>
      <c r="B28" s="18"/>
      <c r="C28" s="17"/>
      <c r="D28" s="165"/>
      <c r="E28" s="18"/>
      <c r="F28" s="18"/>
      <c r="G28" s="18"/>
      <c r="H28" s="18"/>
      <c r="I28" s="18"/>
      <c r="J28" s="18"/>
    </row>
    <row r="29" spans="1:10">
      <c r="A29" s="18"/>
      <c r="B29" s="18"/>
      <c r="C29" s="18"/>
      <c r="D29" s="138" t="s">
        <v>287</v>
      </c>
      <c r="E29" s="164">
        <f>IF(C15=0,0,E21/C15)</f>
        <v>1.2501502584445245E-2</v>
      </c>
      <c r="F29" s="18"/>
      <c r="G29" s="18"/>
      <c r="H29" s="18"/>
      <c r="I29" s="18"/>
      <c r="J29" s="18"/>
    </row>
    <row r="30" spans="1:10">
      <c r="A30" s="18"/>
      <c r="B30" s="18"/>
      <c r="C30" s="18"/>
      <c r="D30" s="18"/>
      <c r="E30" s="18"/>
      <c r="F30" s="18"/>
      <c r="G30" s="18"/>
      <c r="H30" s="18"/>
      <c r="I30" s="18"/>
      <c r="J30" s="18"/>
    </row>
    <row r="31" spans="1:10">
      <c r="A31" s="18"/>
      <c r="B31" s="18"/>
      <c r="C31" s="54"/>
      <c r="D31" s="54"/>
      <c r="E31" s="54" t="s">
        <v>382</v>
      </c>
      <c r="F31" s="164">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sheetProtection sheet="1" objects="1" scenarios="1"/>
  <mergeCells count="4">
    <mergeCell ref="B6:F6"/>
    <mergeCell ref="C9:C10"/>
    <mergeCell ref="B9:B10"/>
    <mergeCell ref="D9:G9"/>
  </mergeCells>
  <phoneticPr fontId="0" type="noConversion"/>
  <pageMargins left="0.5" right="0.5" top="1" bottom="0.5" header="0.5" footer="0.5"/>
  <pageSetup scale="87" orientation="landscape" blackAndWhite="1" horizontalDpi="120" verticalDpi="144" r:id="rId1"/>
  <headerFooter alignWithMargins="0">
    <oddHeader xml:space="preserve">&amp;RState of Kansas
Special District
</oddHeader>
    <oddFooter>&amp;Lrevised 9/22/09&amp;CPage No.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inputPrYr</vt:lpstr>
      <vt:lpstr>inputOth</vt:lpstr>
      <vt:lpstr>inputBudSum</vt:lpstr>
      <vt:lpstr>SignCert</vt:lpstr>
      <vt:lpstr>PubNotice</vt:lpstr>
      <vt:lpstr>cert</vt:lpstr>
      <vt:lpstr>gen</vt:lpstr>
      <vt:lpstr>computation</vt:lpstr>
      <vt:lpstr>mvalloc</vt:lpstr>
      <vt:lpstr>summ</vt:lpstr>
      <vt:lpstr>Resolution</vt:lpstr>
      <vt:lpstr>Tab A</vt:lpstr>
      <vt:lpstr>Tab B</vt:lpstr>
      <vt:lpstr>Tab C</vt:lpstr>
      <vt:lpstr>Tab D</vt:lpstr>
      <vt:lpstr>Tab E</vt:lpstr>
      <vt:lpstr>legend</vt:lpstr>
      <vt:lpstr>inputPrYr!Print_Area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dkaminska</cp:lastModifiedBy>
  <cp:lastPrinted>2010-07-20T20:55:51Z</cp:lastPrinted>
  <dcterms:created xsi:type="dcterms:W3CDTF">1999-08-06T13:59:57Z</dcterms:created>
  <dcterms:modified xsi:type="dcterms:W3CDTF">2012-02-14T16:33:28Z</dcterms:modified>
</cp:coreProperties>
</file>