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9630" windowHeight="2715" tabRatio="869" activeTab="4"/>
  </bookViews>
  <sheets>
    <sheet name="instructions" sheetId="1" r:id="rId1"/>
    <sheet name="inputPrYr" sheetId="2" r:id="rId2"/>
    <sheet name="inputOth" sheetId="14" r:id="rId3"/>
    <sheet name="inputBudSum" sheetId="25" r:id="rId4"/>
    <sheet name="cert" sheetId="3" r:id="rId5"/>
    <sheet name="CertPub" sheetId="28" r:id="rId6"/>
    <sheet name="computation" sheetId="10" r:id="rId7"/>
    <sheet name="mvalloc" sheetId="7" r:id="rId8"/>
    <sheet name="transfers" sheetId="13" r:id="rId9"/>
    <sheet name="TransferFunds" sheetId="18" r:id="rId10"/>
    <sheet name="debt" sheetId="9" r:id="rId11"/>
    <sheet name="gen" sheetId="4" r:id="rId12"/>
    <sheet name="DebtService" sheetId="15" r:id="rId13"/>
    <sheet name="levypage8" sheetId="5" r:id="rId14"/>
    <sheet name="nolevypage9" sheetId="6" r:id="rId15"/>
    <sheet name="NonBud" sheetId="17" r:id="rId16"/>
    <sheet name="NonBudFunds" sheetId="19" r:id="rId17"/>
    <sheet name="summ" sheetId="8" r:id="rId18"/>
    <sheet name="Nhood" sheetId="16" r:id="rId19"/>
    <sheet name="Resolution" sheetId="12" r:id="rId20"/>
    <sheet name="Tab A" sheetId="20" r:id="rId21"/>
    <sheet name="Tab B" sheetId="21" r:id="rId22"/>
    <sheet name="Tab C" sheetId="22" r:id="rId23"/>
    <sheet name="Tab D" sheetId="23" r:id="rId24"/>
    <sheet name="Tab E" sheetId="24" r:id="rId25"/>
    <sheet name="Mill Rate Computation" sheetId="26" r:id="rId26"/>
    <sheet name="Helpful Links" sheetId="27" r:id="rId27"/>
    <sheet name="legend" sheetId="11" r:id="rId28"/>
  </sheets>
  <definedNames>
    <definedName name="_xlnm.Print_Area" localSheetId="12">DebtService!$B$1:$E$63</definedName>
    <definedName name="_xlnm.Print_Area" localSheetId="11">gen!$B$1:$F$63</definedName>
    <definedName name="_xlnm.Print_Area" localSheetId="1">inputPrYr!$A$1:$E$46</definedName>
    <definedName name="_xlnm.Print_Area" localSheetId="0">instructions!$A$1:$A$90</definedName>
  </definedNames>
  <calcPr calcId="125725"/>
</workbook>
</file>

<file path=xl/calcChain.xml><?xml version="1.0" encoding="utf-8"?>
<calcChain xmlns="http://schemas.openxmlformats.org/spreadsheetml/2006/main">
  <c r="E12" i="16"/>
  <c r="E11"/>
  <c r="E10"/>
  <c r="E9"/>
  <c r="E8"/>
  <c r="E7"/>
  <c r="H48" i="4"/>
  <c r="D39" i="5"/>
  <c r="D77"/>
  <c r="D60" i="15"/>
  <c r="D56" i="4"/>
  <c r="J148" i="26"/>
  <c r="H134"/>
  <c r="C137"/>
  <c r="J137"/>
  <c r="H120"/>
  <c r="C123"/>
  <c r="F117"/>
  <c r="H117"/>
  <c r="F123"/>
  <c r="H114"/>
  <c r="C103"/>
  <c r="H100"/>
  <c r="H94"/>
  <c r="F97"/>
  <c r="H97"/>
  <c r="F103"/>
  <c r="H80"/>
  <c r="C83"/>
  <c r="F77"/>
  <c r="H77"/>
  <c r="F83"/>
  <c r="H74"/>
  <c r="H48"/>
  <c r="F50"/>
  <c r="J50"/>
  <c r="H41"/>
  <c r="H28"/>
  <c r="B28"/>
  <c r="H25"/>
  <c r="C25"/>
  <c r="A8" i="24"/>
  <c r="A46" i="23"/>
  <c r="A41"/>
  <c r="A6"/>
  <c r="A38" i="22"/>
  <c r="A33"/>
  <c r="A19"/>
  <c r="A6"/>
  <c r="A34" i="21"/>
  <c r="A33"/>
  <c r="A6"/>
  <c r="A64" i="20"/>
  <c r="A61"/>
  <c r="A33"/>
  <c r="A28"/>
  <c r="A25"/>
  <c r="A16"/>
  <c r="A6"/>
  <c r="A6" i="8"/>
  <c r="A8"/>
  <c r="D16" i="16"/>
  <c r="H30" i="17"/>
  <c r="F30"/>
  <c r="C14" i="7"/>
  <c r="C13"/>
  <c r="C12"/>
  <c r="C11"/>
  <c r="E24" i="2"/>
  <c r="D20" i="8" s="1"/>
  <c r="J6" i="10"/>
  <c r="D36" i="2"/>
  <c r="A45"/>
  <c r="A44"/>
  <c r="E1" i="15"/>
  <c r="H60"/>
  <c r="C61"/>
  <c r="E17" i="7"/>
  <c r="E19"/>
  <c r="E21"/>
  <c r="E23"/>
  <c r="G13"/>
  <c r="D9" i="5"/>
  <c r="D21"/>
  <c r="C21"/>
  <c r="C22"/>
  <c r="C34"/>
  <c r="C33"/>
  <c r="D33"/>
  <c r="D9" i="16"/>
  <c r="E30" i="5"/>
  <c r="E33"/>
  <c r="D47"/>
  <c r="D59"/>
  <c r="D58" s="1"/>
  <c r="C59"/>
  <c r="C60"/>
  <c r="C71"/>
  <c r="D71"/>
  <c r="D10" i="16"/>
  <c r="E68" i="5"/>
  <c r="E71" s="1"/>
  <c r="D9" i="15"/>
  <c r="D30" s="1"/>
  <c r="C30"/>
  <c r="C31"/>
  <c r="C55"/>
  <c r="C54"/>
  <c r="G59"/>
  <c r="D54"/>
  <c r="G54"/>
  <c r="D8" i="16"/>
  <c r="E51" i="15"/>
  <c r="E54" s="1"/>
  <c r="D35" i="5"/>
  <c r="D87" s="1"/>
  <c r="C35"/>
  <c r="F3"/>
  <c r="D6" s="1"/>
  <c r="D44" s="1"/>
  <c r="D73"/>
  <c r="D89" s="1"/>
  <c r="C73"/>
  <c r="D33" i="6"/>
  <c r="C33"/>
  <c r="C34" s="1"/>
  <c r="F3"/>
  <c r="B33"/>
  <c r="C66"/>
  <c r="D66"/>
  <c r="C64"/>
  <c r="C52"/>
  <c r="C53"/>
  <c r="C65"/>
  <c r="D64"/>
  <c r="D67"/>
  <c r="E64"/>
  <c r="D52"/>
  <c r="E52"/>
  <c r="C31"/>
  <c r="C19"/>
  <c r="C20"/>
  <c r="D31"/>
  <c r="D19"/>
  <c r="E19"/>
  <c r="E31"/>
  <c r="D52" i="4"/>
  <c r="D50"/>
  <c r="D49" s="1"/>
  <c r="D56" i="15"/>
  <c r="C56"/>
  <c r="C69" s="1"/>
  <c r="B56"/>
  <c r="G11" i="7"/>
  <c r="E15" i="4"/>
  <c r="E14"/>
  <c r="D9"/>
  <c r="D28" s="1"/>
  <c r="C28"/>
  <c r="C29" s="1"/>
  <c r="C50"/>
  <c r="C49" s="1"/>
  <c r="D7" i="16"/>
  <c r="C52" i="4"/>
  <c r="F3"/>
  <c r="G55"/>
  <c r="E6" i="6"/>
  <c r="E39"/>
  <c r="C6"/>
  <c r="D6" i="15"/>
  <c r="E6"/>
  <c r="C6" i="5"/>
  <c r="J28" i="17"/>
  <c r="J29"/>
  <c r="H28"/>
  <c r="F28"/>
  <c r="A28" i="3"/>
  <c r="D28"/>
  <c r="I5" i="17"/>
  <c r="G5"/>
  <c r="E5"/>
  <c r="C5"/>
  <c r="A5"/>
  <c r="D28" i="2"/>
  <c r="A28"/>
  <c r="A24"/>
  <c r="D17"/>
  <c r="E17"/>
  <c r="K1" i="17"/>
  <c r="F2" s="1"/>
  <c r="A1"/>
  <c r="K7"/>
  <c r="B17"/>
  <c r="K17"/>
  <c r="D17"/>
  <c r="F17"/>
  <c r="F18"/>
  <c r="F29"/>
  <c r="H17"/>
  <c r="J17"/>
  <c r="J18"/>
  <c r="B28"/>
  <c r="D28"/>
  <c r="H18"/>
  <c r="H29"/>
  <c r="D18"/>
  <c r="D29"/>
  <c r="D30"/>
  <c r="G11" i="10"/>
  <c r="E14"/>
  <c r="E15"/>
  <c r="G18"/>
  <c r="E22"/>
  <c r="A11" i="14"/>
  <c r="A9"/>
  <c r="F41" i="9"/>
  <c r="E41"/>
  <c r="D31" i="3"/>
  <c r="D32"/>
  <c r="J1" i="10"/>
  <c r="B18"/>
  <c r="D30" i="6"/>
  <c r="E63"/>
  <c r="D63"/>
  <c r="C63"/>
  <c r="E30"/>
  <c r="C20" i="5"/>
  <c r="D32"/>
  <c r="C32"/>
  <c r="C58"/>
  <c r="D70"/>
  <c r="C70"/>
  <c r="D20" i="16"/>
  <c r="D22"/>
  <c r="D18"/>
  <c r="B10"/>
  <c r="B9"/>
  <c r="B8"/>
  <c r="B7"/>
  <c r="F1"/>
  <c r="A16" s="1"/>
  <c r="A1"/>
  <c r="D11"/>
  <c r="D12"/>
  <c r="C13"/>
  <c r="A47" i="14"/>
  <c r="A46"/>
  <c r="A45"/>
  <c r="A44"/>
  <c r="A43"/>
  <c r="A42"/>
  <c r="E1"/>
  <c r="A39" s="1"/>
  <c r="J2" i="7"/>
  <c r="C9" s="1"/>
  <c r="D22" i="14"/>
  <c r="I3" i="8"/>
  <c r="B13" s="1"/>
  <c r="A37" i="2"/>
  <c r="A15"/>
  <c r="E20" i="9"/>
  <c r="E16"/>
  <c r="E12"/>
  <c r="K20"/>
  <c r="J20"/>
  <c r="I20"/>
  <c r="H20"/>
  <c r="K16"/>
  <c r="J16"/>
  <c r="I16"/>
  <c r="H16"/>
  <c r="K12"/>
  <c r="K21"/>
  <c r="J12"/>
  <c r="J21"/>
  <c r="I12"/>
  <c r="I21"/>
  <c r="H12"/>
  <c r="H21"/>
  <c r="K1"/>
  <c r="E8" s="1"/>
  <c r="F28" s="1"/>
  <c r="F21" i="8"/>
  <c r="E16"/>
  <c r="E17" s="1"/>
  <c r="M20" s="1"/>
  <c r="B39" i="2"/>
  <c r="B21" i="8"/>
  <c r="A10" i="14"/>
  <c r="A8"/>
  <c r="A7"/>
  <c r="B5" i="12"/>
  <c r="B27"/>
  <c r="B31"/>
  <c r="B10"/>
  <c r="B9"/>
  <c r="B19"/>
  <c r="B23"/>
  <c r="D21" i="8"/>
  <c r="E24" i="13"/>
  <c r="E26"/>
  <c r="F18" i="8"/>
  <c r="D24" i="13"/>
  <c r="D26"/>
  <c r="D18" i="8"/>
  <c r="B16"/>
  <c r="C24" i="13"/>
  <c r="C26"/>
  <c r="B18" i="8"/>
  <c r="F13"/>
  <c r="F1" i="13"/>
  <c r="E9" s="1"/>
  <c r="A3"/>
  <c r="A2"/>
  <c r="C44" i="5"/>
  <c r="C39" i="6"/>
  <c r="B9" i="7"/>
  <c r="D9"/>
  <c r="B12"/>
  <c r="B1" i="15"/>
  <c r="C6"/>
  <c r="B32" i="10"/>
  <c r="B22"/>
  <c r="C15"/>
  <c r="C14"/>
  <c r="B13"/>
  <c r="B11"/>
  <c r="B9"/>
  <c r="B6"/>
  <c r="B5"/>
  <c r="A3"/>
  <c r="C2"/>
  <c r="G3" i="3"/>
  <c r="G32" s="1"/>
  <c r="A4"/>
  <c r="A2" i="14"/>
  <c r="A1"/>
  <c r="D42" i="2"/>
  <c r="J6" i="12"/>
  <c r="D27" i="3"/>
  <c r="D26"/>
  <c r="D25"/>
  <c r="D24"/>
  <c r="C25"/>
  <c r="C24"/>
  <c r="A27"/>
  <c r="A26"/>
  <c r="A25"/>
  <c r="A24"/>
  <c r="D30"/>
  <c r="C23"/>
  <c r="A6"/>
  <c r="E26"/>
  <c r="E27"/>
  <c r="C1" i="10"/>
  <c r="H41" i="9"/>
  <c r="G41"/>
  <c r="A2"/>
  <c r="A1"/>
  <c r="B6" i="4"/>
  <c r="B2"/>
  <c r="B1"/>
  <c r="B41" i="2"/>
  <c r="B40"/>
  <c r="B38"/>
  <c r="B44" i="5"/>
  <c r="B6"/>
  <c r="B2"/>
  <c r="B1"/>
  <c r="B39" i="6"/>
  <c r="B6"/>
  <c r="B2"/>
  <c r="B1"/>
  <c r="A5" i="8"/>
  <c r="C16"/>
  <c r="B20"/>
  <c r="A16"/>
  <c r="A4"/>
  <c r="B14" i="7"/>
  <c r="B13"/>
  <c r="B2"/>
  <c r="B1"/>
  <c r="B11"/>
  <c r="C18" i="6"/>
  <c r="D18"/>
  <c r="E18"/>
  <c r="C51"/>
  <c r="D51"/>
  <c r="E51"/>
  <c r="C29" i="15"/>
  <c r="C53"/>
  <c r="D53"/>
  <c r="A18" i="3"/>
  <c r="B4" i="16"/>
  <c r="D13"/>
  <c r="C78" i="5"/>
  <c r="B66" i="6"/>
  <c r="B73" i="5"/>
  <c r="C15" i="7"/>
  <c r="C25" s="1"/>
  <c r="B18" i="17"/>
  <c r="B35" i="5"/>
  <c r="B29" i="17"/>
  <c r="B30"/>
  <c r="K18"/>
  <c r="C30" i="6"/>
  <c r="C9" i="13"/>
  <c r="J7" i="9"/>
  <c r="H28"/>
  <c r="A36" i="10"/>
  <c r="A26" i="14"/>
  <c r="B40"/>
  <c r="D6" i="4"/>
  <c r="E13" i="3"/>
  <c r="A10"/>
  <c r="A6" i="14"/>
  <c r="A24"/>
  <c r="C40"/>
  <c r="D6" i="6"/>
  <c r="D39" s="1"/>
  <c r="G12" i="7"/>
  <c r="E14" i="15" s="1"/>
  <c r="D12" i="7"/>
  <c r="E11" i="15"/>
  <c r="K28" i="17"/>
  <c r="E6" i="16"/>
  <c r="G28" i="9"/>
  <c r="A26" i="16"/>
  <c r="C6"/>
  <c r="B6"/>
  <c r="H7" i="9"/>
  <c r="D6" i="16"/>
  <c r="A35" i="14"/>
  <c r="C46" i="3"/>
  <c r="G14" i="7"/>
  <c r="E52" i="5" s="1"/>
  <c r="D14" i="7"/>
  <c r="E49" i="5" s="1"/>
  <c r="C32" i="6"/>
  <c r="D7"/>
  <c r="D20"/>
  <c r="D32"/>
  <c r="C40" i="5"/>
  <c r="E6"/>
  <c r="E44" s="1"/>
  <c r="C6" i="4"/>
  <c r="B52"/>
  <c r="C70"/>
  <c r="E6"/>
  <c r="E14" i="5"/>
  <c r="A14" i="14"/>
  <c r="E47" i="4"/>
  <c r="E50"/>
  <c r="E54" s="1"/>
  <c r="E13" i="16"/>
  <c r="C67" i="6"/>
  <c r="C35"/>
  <c r="C87" i="5"/>
  <c r="B37" s="1"/>
  <c r="C17" i="8"/>
  <c r="D27" i="7"/>
  <c r="E13" s="1"/>
  <c r="D69" i="15"/>
  <c r="G15" i="7"/>
  <c r="E29"/>
  <c r="F12" s="1"/>
  <c r="F31"/>
  <c r="J5" i="10"/>
  <c r="J7" s="1"/>
  <c r="C89" i="5"/>
  <c r="B75" s="1"/>
  <c r="D20"/>
  <c r="J83" i="26"/>
  <c r="J123"/>
  <c r="J103"/>
  <c r="F13" i="7"/>
  <c r="E13" i="5" s="1"/>
  <c r="F14" i="7"/>
  <c r="E51" i="5" s="1"/>
  <c r="E12" i="7"/>
  <c r="E12" i="15" s="1"/>
  <c r="E14" i="7"/>
  <c r="E50" i="5" s="1"/>
  <c r="E77"/>
  <c r="E39"/>
  <c r="E60" i="15"/>
  <c r="E56" i="4"/>
  <c r="D34" i="6"/>
  <c r="G43" i="4"/>
  <c r="H46"/>
  <c r="H50"/>
  <c r="H53"/>
  <c r="G59"/>
  <c r="G52" i="15"/>
  <c r="H55"/>
  <c r="H57"/>
  <c r="H59"/>
  <c r="H62"/>
  <c r="C57" i="4"/>
  <c r="H45"/>
  <c r="H47"/>
  <c r="H51"/>
  <c r="H54" i="15"/>
  <c r="H56"/>
  <c r="E21" i="9"/>
  <c r="G50" i="4"/>
  <c r="C27"/>
  <c r="D7" i="15"/>
  <c r="C70"/>
  <c r="C72" i="5"/>
  <c r="D45"/>
  <c r="D60"/>
  <c r="D72" s="1"/>
  <c r="C90"/>
  <c r="C88"/>
  <c r="D7"/>
  <c r="D22"/>
  <c r="D34" s="1"/>
  <c r="C68" i="6"/>
  <c r="D40"/>
  <c r="D53"/>
  <c r="D65"/>
  <c r="E7"/>
  <c r="E20"/>
  <c r="E32"/>
  <c r="E33"/>
  <c r="D35"/>
  <c r="J30" i="17"/>
  <c r="K29"/>
  <c r="K30"/>
  <c r="F36" i="5"/>
  <c r="E32"/>
  <c r="E37"/>
  <c r="E24" i="3"/>
  <c r="J19" i="8"/>
  <c r="M14"/>
  <c r="J20"/>
  <c r="E40" i="6"/>
  <c r="E53"/>
  <c r="E65"/>
  <c r="E66"/>
  <c r="D68"/>
  <c r="J59" i="4"/>
  <c r="J58"/>
  <c r="J12" i="8" l="1"/>
  <c r="D13"/>
  <c r="A10"/>
  <c r="J17"/>
  <c r="J16"/>
  <c r="G14"/>
  <c r="A11"/>
  <c r="F15" i="3"/>
  <c r="A11"/>
  <c r="E23"/>
  <c r="F16" i="8"/>
  <c r="D70" i="4"/>
  <c r="B54" s="1"/>
  <c r="F53"/>
  <c r="E49"/>
  <c r="D16" i="8"/>
  <c r="D17" s="1"/>
  <c r="D19" s="1"/>
  <c r="C51" i="4"/>
  <c r="C71" s="1"/>
  <c r="E13" i="15"/>
  <c r="F11" i="7"/>
  <c r="E13" i="4" s="1"/>
  <c r="E12" i="5"/>
  <c r="E11" i="7"/>
  <c r="D13"/>
  <c r="D11" s="1"/>
  <c r="F74" i="5"/>
  <c r="E25" i="3"/>
  <c r="E70" i="5"/>
  <c r="E75"/>
  <c r="D9" i="13"/>
  <c r="G16" i="10"/>
  <c r="G20" s="1"/>
  <c r="G24" s="1"/>
  <c r="G26" s="1"/>
  <c r="J28" s="1"/>
  <c r="J30" s="1"/>
  <c r="E45" i="5"/>
  <c r="D90"/>
  <c r="B76" s="1"/>
  <c r="D29" i="15"/>
  <c r="D31"/>
  <c r="D55" s="1"/>
  <c r="B17" i="8"/>
  <c r="B19" s="1"/>
  <c r="E30" i="15"/>
  <c r="G55" s="1"/>
  <c r="B29" i="13"/>
  <c r="A12" i="14"/>
  <c r="B58" i="15"/>
  <c r="D70"/>
  <c r="B59" s="1"/>
  <c r="E7"/>
  <c r="E11" i="5"/>
  <c r="E21" s="1"/>
  <c r="D88"/>
  <c r="B38" s="1"/>
  <c r="E7"/>
  <c r="D27" i="4"/>
  <c r="F57" i="15"/>
  <c r="E58"/>
  <c r="F17" i="8"/>
  <c r="F19" s="1"/>
  <c r="E53" i="15"/>
  <c r="E59" i="5"/>
  <c r="E60" s="1"/>
  <c r="E76" s="1"/>
  <c r="E78" s="1"/>
  <c r="F15" i="7"/>
  <c r="E29" i="3" l="1"/>
  <c r="D7" i="4"/>
  <c r="D29" s="1"/>
  <c r="D51" s="1"/>
  <c r="D71" s="1"/>
  <c r="B55" s="1"/>
  <c r="E12"/>
  <c r="E15" i="7"/>
  <c r="E11" i="4"/>
  <c r="E28" s="1"/>
  <c r="D15" i="7"/>
  <c r="E22" i="5"/>
  <c r="E38" s="1"/>
  <c r="E40" s="1"/>
  <c r="E31" i="15"/>
  <c r="E59" s="1"/>
  <c r="E61" s="1"/>
  <c r="G62" s="1"/>
  <c r="G25" i="3"/>
  <c r="F25"/>
  <c r="G46" i="4"/>
  <c r="F24" i="3"/>
  <c r="G24"/>
  <c r="E20" i="5"/>
  <c r="E58"/>
  <c r="G45" i="4" l="1"/>
  <c r="E7"/>
  <c r="E29" s="1"/>
  <c r="E55" s="1"/>
  <c r="E57" s="1"/>
  <c r="G53" s="1"/>
  <c r="E29" i="15"/>
  <c r="J32" i="10"/>
  <c r="J34" s="1"/>
  <c r="G56" i="15"/>
  <c r="G57" s="1"/>
  <c r="G60" s="1"/>
  <c r="G16" i="8" l="1"/>
  <c r="G17" s="1"/>
  <c r="M19" s="1"/>
  <c r="M21" s="1"/>
  <c r="E27" i="4"/>
  <c r="G47"/>
  <c r="G48" s="1"/>
  <c r="G51" s="1"/>
  <c r="F23" i="3"/>
  <c r="F29" s="1"/>
  <c r="F30" s="1"/>
  <c r="H16" i="8" l="1"/>
  <c r="H17" s="1"/>
</calcChain>
</file>

<file path=xl/sharedStrings.xml><?xml version="1.0" encoding="utf-8"?>
<sst xmlns="http://schemas.openxmlformats.org/spreadsheetml/2006/main" count="1102" uniqueCount="745">
  <si>
    <t>16. Added Neighborhood Revitalization table and linked to the tax levy fund pages.</t>
  </si>
  <si>
    <t>17. Added Neighborhood Revitalization expenditure to all tax levy fund pages.</t>
  </si>
  <si>
    <t>18. Added Neighborhood Revitalization rebate page number to the table of contents on the Certificate page.</t>
  </si>
  <si>
    <t>22. Added 'miscellaneous' category to the receipt/expenditure for all fund pages and set error message.</t>
  </si>
  <si>
    <t>23. Added to the instruction about correct the error message for the miscellaneous.</t>
  </si>
  <si>
    <t>General Instructions</t>
  </si>
  <si>
    <t>Special District Computer Spreadsheet Preparation</t>
  </si>
  <si>
    <t>Input sheet for Special District budget form</t>
  </si>
  <si>
    <t>Fund Names:</t>
  </si>
  <si>
    <t>Statute</t>
  </si>
  <si>
    <t>General</t>
  </si>
  <si>
    <t>Fund name for all funds with a tax levy:</t>
  </si>
  <si>
    <t>Other (non-tax levy) fund names:</t>
  </si>
  <si>
    <t>Total</t>
  </si>
  <si>
    <t>Motor Vehicle Tax Estimate</t>
  </si>
  <si>
    <t>Recreational Vehicle Tax Estimate</t>
  </si>
  <si>
    <t>certify that: (1) the hearing mentioned in the attached publication was held;</t>
  </si>
  <si>
    <t>(2) after the Budget Hearing this budget was duly approved and adopted</t>
  </si>
  <si>
    <t xml:space="preserve"> </t>
  </si>
  <si>
    <t>County</t>
  </si>
  <si>
    <t>Page</t>
  </si>
  <si>
    <t>Clerk's</t>
  </si>
  <si>
    <t>Table of Contents:</t>
  </si>
  <si>
    <t>No.</t>
  </si>
  <si>
    <t>Expenditure</t>
  </si>
  <si>
    <t>Use Only</t>
  </si>
  <si>
    <t>Fund</t>
  </si>
  <si>
    <t>K.S.A.</t>
  </si>
  <si>
    <t>x</t>
  </si>
  <si>
    <t>Governing Body</t>
  </si>
  <si>
    <t>County Clerk</t>
  </si>
  <si>
    <t>Amount</t>
  </si>
  <si>
    <t>Adopted Budget</t>
  </si>
  <si>
    <t>Ad Valorem Tax</t>
  </si>
  <si>
    <t>Delinquent Tax</t>
  </si>
  <si>
    <t>Motor Vehicle Tax</t>
  </si>
  <si>
    <t>Recreational Vehicle Tax</t>
  </si>
  <si>
    <t>In Lieu of Taxes</t>
  </si>
  <si>
    <t>Interest on Idle Funds</t>
  </si>
  <si>
    <t>Total Receipts</t>
  </si>
  <si>
    <t>Resources Available:</t>
  </si>
  <si>
    <t>Expenditures:</t>
  </si>
  <si>
    <t>Total Expenditures</t>
  </si>
  <si>
    <t>%</t>
  </si>
  <si>
    <t>Page No.</t>
  </si>
  <si>
    <t>MVT</t>
  </si>
  <si>
    <t>RVT</t>
  </si>
  <si>
    <t>County Treas MVT Estimate</t>
  </si>
  <si>
    <t>County Treas RVT Estimate</t>
  </si>
  <si>
    <t>MVT Factor</t>
  </si>
  <si>
    <t>RVT Factor</t>
  </si>
  <si>
    <t>Actual</t>
  </si>
  <si>
    <t>FUND</t>
  </si>
  <si>
    <t>Expenditures</t>
  </si>
  <si>
    <t>Total Tax Levied</t>
  </si>
  <si>
    <t xml:space="preserve">  *Tax rates are expressed in mills.</t>
  </si>
  <si>
    <t>Clerk</t>
  </si>
  <si>
    <t>Date</t>
  </si>
  <si>
    <t xml:space="preserve">   Amount Due</t>
  </si>
  <si>
    <t>of</t>
  </si>
  <si>
    <t>Rate</t>
  </si>
  <si>
    <t xml:space="preserve">  Date Due</t>
  </si>
  <si>
    <t>Type of Debt</t>
  </si>
  <si>
    <t>Issue</t>
  </si>
  <si>
    <t>Issued</t>
  </si>
  <si>
    <t>Term</t>
  </si>
  <si>
    <t>Interest</t>
  </si>
  <si>
    <t>Principal</t>
  </si>
  <si>
    <t>Payments</t>
  </si>
  <si>
    <t xml:space="preserve">  Contract</t>
  </si>
  <si>
    <t>Contract</t>
  </si>
  <si>
    <t>Financed</t>
  </si>
  <si>
    <t>Due</t>
  </si>
  <si>
    <t>Item Purchased</t>
  </si>
  <si>
    <t>(Months)</t>
  </si>
  <si>
    <t>To print the spreadsheets, you can either print one sheet or all of the sheets at once.</t>
  </si>
  <si>
    <t>Special District Instructions</t>
  </si>
  <si>
    <t xml:space="preserve">on the budget forms in the appropriate locations.  If any of the numbers are wrong, change  </t>
  </si>
  <si>
    <t>CERTIFICATE</t>
  </si>
  <si>
    <t>STATEMENT OF CONDITIONAL LEASE-PURCHASE AND CERTIFICATE OF PARTICIPATION*</t>
  </si>
  <si>
    <t>FUND PAGE FOR FUNDS WITH A TAX LEVY</t>
  </si>
  <si>
    <t>FUND PAGE FOR FUNDS WITH NO TAX LEVY</t>
  </si>
  <si>
    <t>NOTICE OF BUDGET HEARING</t>
  </si>
  <si>
    <t>BUDGET SUMMARY</t>
  </si>
  <si>
    <t>STATEMENT OF INDEBTEDNESS</t>
  </si>
  <si>
    <t xml:space="preserve">Total </t>
  </si>
  <si>
    <t>16/20M Veh</t>
  </si>
  <si>
    <t>County Treas 16/20 M Vehicle Tax Estimate</t>
  </si>
  <si>
    <t>16/20M Factor</t>
  </si>
  <si>
    <t>Amount of Levy</t>
  </si>
  <si>
    <t xml:space="preserve"> 1.</t>
  </si>
  <si>
    <t>+</t>
  </si>
  <si>
    <t>$</t>
  </si>
  <si>
    <t xml:space="preserve"> 2.</t>
  </si>
  <si>
    <t>-</t>
  </si>
  <si>
    <t xml:space="preserve"> 4.</t>
  </si>
  <si>
    <t xml:space="preserve"> 5.</t>
  </si>
  <si>
    <t>5a.</t>
  </si>
  <si>
    <t>5b.</t>
  </si>
  <si>
    <t>5c.</t>
  </si>
  <si>
    <t>6.</t>
  </si>
  <si>
    <t>7.</t>
  </si>
  <si>
    <t>8.</t>
  </si>
  <si>
    <t>9.</t>
  </si>
  <si>
    <t>10.</t>
  </si>
  <si>
    <t>11.</t>
  </si>
  <si>
    <t>12.</t>
  </si>
  <si>
    <t>(Use Only if &gt; 0)</t>
  </si>
  <si>
    <t>16/20M Vehicle Tax</t>
  </si>
  <si>
    <t xml:space="preserve">The governing body of </t>
  </si>
  <si>
    <t>Computation of Delinquency</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</si>
  <si>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</si>
  <si>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</si>
  <si>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</si>
  <si>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</si>
  <si>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</si>
  <si>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</si>
  <si>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</si>
  <si>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 xml:space="preserve">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</si>
  <si>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</si>
  <si>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</si>
  <si>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</si>
  <si>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</si>
  <si>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</si>
  <si>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 1</t>
  </si>
  <si>
    <t>Unencumbered Cash Balance Dec 31</t>
  </si>
  <si>
    <t>Receipts:</t>
  </si>
  <si>
    <t xml:space="preserve"> Enter information in all areas that are green if they apply to the budget you are preparing.</t>
  </si>
  <si>
    <t xml:space="preserve">The sheet names are in ( ) beside the form name.   </t>
  </si>
  <si>
    <t>The light shaded areas are protected because these contain formulas which should not be changed.  Any errors within a yellow area will need to be corrected on the input sheet or where the information is entered for that formula.</t>
  </si>
  <si>
    <t>Enter Special District Name (Can be Longer than green cell)</t>
  </si>
  <si>
    <t xml:space="preserve">Outstanding </t>
  </si>
  <si>
    <t>(Beginning Principal)</t>
  </si>
  <si>
    <t>Totals</t>
  </si>
  <si>
    <t>County Clerk's Use Only</t>
  </si>
  <si>
    <t>RESOLUTION NO.__________________</t>
  </si>
  <si>
    <t>___________________________________.</t>
  </si>
  <si>
    <t>(Attach a signed copy to the budget)</t>
  </si>
  <si>
    <t>SPECIAL DISTRICT RESOLUTION</t>
  </si>
  <si>
    <t xml:space="preserve"> , Chair/President</t>
  </si>
  <si>
    <t xml:space="preserve"> , Member</t>
  </si>
  <si>
    <t>, Member</t>
  </si>
  <si>
    <t>Statement of Indebt. &amp; Lease/Purchase</t>
  </si>
  <si>
    <t>Schedule of Transfers</t>
  </si>
  <si>
    <t>Current</t>
  </si>
  <si>
    <t>Proposed</t>
  </si>
  <si>
    <t xml:space="preserve">1.  The used of this spreadsheet is designed for a special district having only one county support. </t>
  </si>
  <si>
    <t>Whereas, budgeting, taxing and service level decisions for all district services are the responsibility of the district board; and</t>
  </si>
  <si>
    <t>Whereas, the cost of provision of these services continues to increase.</t>
  </si>
  <si>
    <t xml:space="preserve">Enter year being budgeted (YYYY) </t>
  </si>
  <si>
    <t xml:space="preserve">The input for the following comes directly from </t>
  </si>
  <si>
    <t>We, the undersigned, officers of</t>
  </si>
  <si>
    <t>Prior Year Actual</t>
  </si>
  <si>
    <t>In Lieu of Tax (IRB)</t>
  </si>
  <si>
    <t>LAVTR</t>
  </si>
  <si>
    <t>Slider</t>
  </si>
  <si>
    <t>Transfers</t>
  </si>
  <si>
    <t>Amount for</t>
  </si>
  <si>
    <t>Authorized by</t>
  </si>
  <si>
    <t>From:</t>
  </si>
  <si>
    <t>To:</t>
  </si>
  <si>
    <t xml:space="preserve"> Statute</t>
  </si>
  <si>
    <t>Adjusted Totals</t>
  </si>
  <si>
    <t>Less: Transfers</t>
  </si>
  <si>
    <t>Net Expenditures</t>
  </si>
  <si>
    <t>Assessed Valuation</t>
  </si>
  <si>
    <t>16\20 M Vehicle Tax</t>
  </si>
  <si>
    <t xml:space="preserve">   </t>
  </si>
  <si>
    <r>
      <t>**</t>
    </r>
    <r>
      <rPr>
        <b/>
        <u/>
        <sz val="12"/>
        <rFont val="Times New Roman"/>
        <family val="1"/>
      </rPr>
      <t>Note</t>
    </r>
    <r>
      <rPr>
        <sz val="12"/>
        <rFont val="Times New Roman"/>
        <family val="1"/>
      </rPr>
      <t>: The delinquency rate can be up to 5% more than the actual delinquency rate from the previous year.</t>
    </r>
  </si>
  <si>
    <t>xxxxxxxxxxxxxxxx</t>
  </si>
  <si>
    <t>Whereas, K.S.A. 79-2925b provides that a resolution be adopted if property taxes levied to finance the</t>
  </si>
  <si>
    <t>taxation of 1) new improvements to real property; 2) increased personal property valuation, other than increased valuation of oil and gas leaseholds and mobile homes; and 3) property which has changed in use during the past year, or with regard to revenue produced for the purpose of repaying the principal of and interest upon bonded indebtedness, temporary notes, or no-fund warrants; and</t>
  </si>
  <si>
    <t>The following were changed to this spreadsheet on 8/06/2007</t>
  </si>
  <si>
    <t>Read these instructions carefully.  If after reviewing them you still have questions, call Municipal Services at 785-296-2311 or e-mail : armunis@da.ks.gov</t>
  </si>
  <si>
    <t>The blue areas indicated where the information comes from to complete the section input.</t>
  </si>
  <si>
    <t>General Obligation:</t>
  </si>
  <si>
    <t>Total G.O.</t>
  </si>
  <si>
    <t>Revenue Bonds:</t>
  </si>
  <si>
    <t>Total Revenue</t>
  </si>
  <si>
    <t>Other:</t>
  </si>
  <si>
    <t>Total Other</t>
  </si>
  <si>
    <t>1. All dates are linked to the inputpryr page</t>
  </si>
  <si>
    <t>2. Instruction page changed the POC, electronic submission, blue area, and transfers expended</t>
  </si>
  <si>
    <t>3. Split the input page to inputpryr and inputoth</t>
  </si>
  <si>
    <t>5. Added the Outstanding Indebtedness info to the input page and link to Budget Summary page</t>
  </si>
  <si>
    <t>6. Added note about Delinquency Rate on input and changed all computation on the fund pages</t>
  </si>
  <si>
    <t>7. Added debt links to the Computation Determine Limit</t>
  </si>
  <si>
    <t>8. Transfers page added links to the Budget Summary page and allows for adjustments to the transfers</t>
  </si>
  <si>
    <t xml:space="preserve">10. Hard coded the Bond &amp; Interest fund to the Certificate and Budget Summary pages. Also made the </t>
  </si>
  <si>
    <t>Bond &amp; Interest its own fund page</t>
  </si>
  <si>
    <t>11. Budget Summary added transfers adjustments and linked them along with the indebtedness info</t>
  </si>
  <si>
    <t>Note:  All amounts are to be entered in as whole numbers only.</t>
  </si>
  <si>
    <t>Attest: _________________,</t>
  </si>
  <si>
    <t>Tax Rate*</t>
  </si>
  <si>
    <t>Resolution</t>
  </si>
  <si>
    <t>Is a Resolution required?</t>
  </si>
  <si>
    <t>4. Moved the mil rates from prior budget to Clerk info section</t>
  </si>
  <si>
    <t>9. Added links from the indebtedness page to the Budget Summary page by separating bonds</t>
  </si>
  <si>
    <t>12. Added "is a resolution required" statement with either yes or no automatic shown on Certificate</t>
  </si>
  <si>
    <t>13. moved the assisted blocks from center to left side on Certificate</t>
  </si>
  <si>
    <t>Budget Summary</t>
  </si>
  <si>
    <t>Total Tax Rates</t>
  </si>
  <si>
    <t>Rate used in this budget will be shown on all fund pages with a tax levy**</t>
  </si>
  <si>
    <t xml:space="preserve">          the information on this input sheet.</t>
  </si>
  <si>
    <t>Enter the following information from the sources shown.  This information will be entered</t>
  </si>
  <si>
    <t>14. Added to instructions about non-appropriated funds limit of 5%.</t>
  </si>
  <si>
    <t>TOTAL</t>
  </si>
  <si>
    <t>Allocation MVT, RVT,16/20M Veh &amp; Slider</t>
  </si>
  <si>
    <t>County Treas Slider Estimate</t>
  </si>
  <si>
    <t>Slider Factor</t>
  </si>
  <si>
    <t>Funds</t>
  </si>
  <si>
    <t>Budget Authority</t>
  </si>
  <si>
    <t xml:space="preserve">expenditure amounts should reflect the amended </t>
  </si>
  <si>
    <t>expenditure amounts.</t>
  </si>
  <si>
    <t>20. Added to all budgeted fund pages the budget authority for the actual year, budget violation, and cash violation.</t>
  </si>
  <si>
    <t>21. Added instruction on the addition for item 20.</t>
  </si>
  <si>
    <t>All figures should be input as whole numbers only.</t>
  </si>
  <si>
    <t>Miscellaneous</t>
  </si>
  <si>
    <t>Neighborhood Revitalization Rebate</t>
  </si>
  <si>
    <t>2a. Dates for the entire budget workbook is controlled by the year entered into the "Enter year being budgeted (YYYY)" field.  If you find a date that is not correct for the budget being submitted, please contact us for assistance.</t>
  </si>
  <si>
    <t>Red areas are for notes or indicate a problem area that will need possible corrective action taken.</t>
  </si>
  <si>
    <t xml:space="preserve">Submitting the Budget </t>
  </si>
  <si>
    <r>
      <t xml:space="preserve">Budgets are required to be sent to the County Clerk </t>
    </r>
    <r>
      <rPr>
        <b/>
        <sz val="12"/>
        <rFont val="Times New Roman"/>
        <family val="1"/>
      </rPr>
      <t>by August 25</t>
    </r>
    <r>
      <rPr>
        <sz val="12"/>
        <rFont val="Times New Roman"/>
        <family val="1"/>
      </rPr>
      <t xml:space="preserve"> of each year. </t>
    </r>
  </si>
  <si>
    <t>24. Expanded on the preparation of budget note 12 for instructions for the Notice of Budget Hearing.</t>
  </si>
  <si>
    <t>25. Added to instruction for submission that deadline for submission to clerk Aug 25.</t>
  </si>
  <si>
    <t>Enter County Name followed by 'County'</t>
  </si>
  <si>
    <t>Page No. 6</t>
  </si>
  <si>
    <t xml:space="preserve">The Special District spreadsheet is designed with having only one county providing taxing support. </t>
  </si>
  <si>
    <t>ALLOCATION OF MOTOR, RECREATIONAL ,16/20M VEHICLE TAXES &amp; SLIDER</t>
  </si>
  <si>
    <t>26. Added 'excluding oil, gas, and mobile homes' to lines 9 and 11 on Clerks budget info on tab inputoth.</t>
  </si>
  <si>
    <t>***If you are merely leasing/renting with no intent to purchase, do not list--such transactions are not lease-purchases.</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</si>
  <si>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</si>
  <si>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</si>
  <si>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</si>
  <si>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</si>
  <si>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</si>
  <si>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</si>
  <si>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</si>
  <si>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</si>
  <si>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</si>
  <si>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</si>
  <si>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</si>
  <si>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</si>
  <si>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</si>
  <si>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 xml:space="preserve">Proposed Budget </t>
  </si>
  <si>
    <t>Current Year</t>
  </si>
  <si>
    <t xml:space="preserve">Prior Year </t>
  </si>
  <si>
    <t xml:space="preserve">Current Year </t>
  </si>
  <si>
    <t>Prior Year</t>
  </si>
  <si>
    <t>The following were changed to this spreadsheet on 10/23/2008</t>
  </si>
  <si>
    <t>1. Input tab (inputPrYr) added column for the current year expenditures.</t>
  </si>
  <si>
    <t>2. Added to all tax levy fund pages the miscellaneous receipt for the proposed year comparison takes into account the ad valorem taxes for the 10% Rule.</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</si>
  <si>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</si>
  <si>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</si>
  <si>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</si>
  <si>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</si>
  <si>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4. All tax levy fund pages abbreviated the non-appropriated, total expenditures/non-appropriated, and delinquency computation rate.</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</si>
  <si>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</si>
  <si>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</si>
  <si>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</si>
  <si>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</si>
  <si>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</si>
  <si>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</si>
  <si>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</si>
  <si>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12. Added instruction lines 9g to 9l for additional edits for budget authority.</t>
  </si>
  <si>
    <t>13. Added Non-budgeted fund form and link to certificate and summary pages.</t>
  </si>
  <si>
    <t>This spreadsheet has tabs for General Fund (gen), Debt Service (DebtService), two tax levy pages (levypage8), two non-budgeted levy pages (nolevypage9), one non-budgeted pages which holds five funds (NonBud), Budget Summary page (summ), and Resolution page (Resolution).</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</si>
  <si>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</si>
  <si>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</si>
  <si>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</si>
  <si>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39 change from Budget Summary to Budget Certificate.</t>
  </si>
  <si>
    <t>Debt Service</t>
  </si>
  <si>
    <t>The following were changed to this spreadsheet on 3/19/09</t>
  </si>
  <si>
    <t>2. Debt Service page change the fund name from Bond &amp; Interest to Debt Service</t>
  </si>
  <si>
    <t>3. Budget Summary change the fund name from Bond &amp; Interest to Debt Service</t>
  </si>
  <si>
    <r>
      <rPr>
        <b/>
        <sz val="12"/>
        <color indexed="10"/>
        <rFont val="Times New Roman"/>
        <family val="1"/>
      </rPr>
      <t>*</t>
    </r>
    <r>
      <rPr>
        <b/>
        <sz val="12"/>
        <rFont val="Times New Roman"/>
        <family val="1"/>
      </rPr>
      <t>If amended, then use the amended figures.</t>
    </r>
    <r>
      <rPr>
        <b/>
        <sz val="12"/>
        <color indexed="10"/>
        <rFont val="Times New Roman"/>
        <family val="1"/>
      </rPr>
      <t>*</t>
    </r>
  </si>
  <si>
    <r>
      <rPr>
        <sz val="12"/>
        <color indexed="10"/>
        <rFont val="Times New Roman"/>
        <family val="1"/>
      </rPr>
      <t>*</t>
    </r>
    <r>
      <rPr>
        <sz val="12"/>
        <rFont val="Times New Roman"/>
        <family val="1"/>
      </rPr>
      <t>Expenditures</t>
    </r>
    <r>
      <rPr>
        <sz val="12"/>
        <color indexed="10"/>
        <rFont val="Times New Roman"/>
        <family val="1"/>
      </rPr>
      <t>*</t>
    </r>
  </si>
  <si>
    <t>1. InputPryr tab added line a16 'If amend…..'</t>
  </si>
  <si>
    <t>2. InputPryr tab change Bond &amp; Interest to Debt Service</t>
  </si>
  <si>
    <t>3. InputOth tab change Bond &amp; Interest to Debt Service</t>
  </si>
  <si>
    <t>4. Levypage8 tab cell C31, C32, E31 added rule</t>
  </si>
  <si>
    <t xml:space="preserve">5. Nolevypage9 tab cell C31, C32, D31 add rule </t>
  </si>
  <si>
    <t>6. Mvalloc tab change cells C11-14 from D to E reference inputpryr tab for ad valorem tax</t>
  </si>
  <si>
    <t>1. Certificate page change Bond &amp; Interest to Debt Service and Adopted to Adopted</t>
  </si>
  <si>
    <t>15. Added warning "Exceeds 5%" on all fund pages for the non-appropriated balance.</t>
  </si>
  <si>
    <t>19. Added Slider on the Vehicle Allocation table and linked to fund pages.</t>
  </si>
  <si>
    <t>The following were changed to this spreadsheet on 9/25/09</t>
  </si>
  <si>
    <t>Non-Budgeted Funds – Special Districts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</si>
  <si>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</si>
  <si>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</si>
  <si>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 library board to transfer annually up to 10% of the general fund to a capital improvement fund, to be used for improving, furnishing, equipping, remodeling, or making additions to the library.</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</si>
  <si>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</si>
  <si>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</si>
  <si>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</si>
  <si>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Cemetery district special road and machinery funds.</t>
    </r>
    <r>
      <rPr>
        <sz val="12"/>
        <color indexed="8"/>
        <rFont val="Times New Roman"/>
        <family val="1"/>
      </rPr>
      <t xml:space="preserve">  Authorizes a cemetery district board to transfer all or any portion of any surpluses of the moneys derived from any tax levy existing at the end of a budget year to a special fund for the completion of road improvements.</t>
    </r>
    <r>
      <rPr>
        <b/>
        <sz val="12"/>
        <color indexed="8"/>
        <rFont val="Times New Roman"/>
        <family val="1"/>
      </rPr>
      <t xml:space="preserve">  </t>
    </r>
    <r>
      <rPr>
        <sz val="12"/>
        <color indexed="8"/>
        <rFont val="Times New Roman"/>
        <family val="1"/>
      </rPr>
      <t>No more than one such transfer shall be made.</t>
    </r>
  </si>
  <si>
    <t>And, such board may transfer any surpluses of the money derived from any tax levy existing at the end of a budget year to a special fund to be used to purchase machinery and equipment for cemetery maintenance.  The amount of such transfer shall not exceed 25% of the annual budget.</t>
  </si>
  <si>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</si>
  <si>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</si>
  <si>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any money received as a gift or bequest.</t>
    </r>
  </si>
  <si>
    <t>7. Added tab 'TransferStatutes</t>
  </si>
  <si>
    <t>8. Added tab 'NonBudFunds'</t>
  </si>
  <si>
    <t>9. Added 'See Tab A - E' for violations</t>
  </si>
  <si>
    <t>10. Instruction tab added 10e and 7c, and changed 10c, 10d, and 10h</t>
  </si>
  <si>
    <t>11. Changed each fund page taking out the 'Yes' and 'No' and replacing with See Tab for violation</t>
  </si>
  <si>
    <t>12. Nhood tab changed the Net valuation to July 1</t>
  </si>
  <si>
    <t>Transfer Statutes – Special Districts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</si>
  <si>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</si>
  <si>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 xml:space="preserve"> May transfer annually any funds received from a tax levy specifically authorized to be made for ambulance or emergency medical service, to a special reserve fund for replacement of ambulance or emergency medical service equipment.</t>
    </r>
  </si>
  <si>
    <r>
      <t xml:space="preserve">K.S.A. </t>
    </r>
    <r>
      <rPr>
        <b/>
        <sz val="12"/>
        <color indexed="8"/>
        <rFont val="Times New Roman"/>
        <family val="1"/>
      </rPr>
      <t>12-631o</t>
    </r>
    <r>
      <rPr>
        <sz val="12"/>
        <color indexed="8"/>
        <rFont val="Times New Roman"/>
        <family val="1"/>
      </rPr>
      <t xml:space="preserve">.  </t>
    </r>
    <r>
      <rPr>
        <b/>
        <sz val="12"/>
        <color indexed="8"/>
        <rFont val="Times New Roman"/>
        <family val="1"/>
      </rPr>
      <t xml:space="preserve">Transfer to sewerage reserve fund.  </t>
    </r>
    <r>
      <rPr>
        <sz val="12"/>
        <color indexed="8"/>
        <rFont val="Times New Roman"/>
        <family val="1"/>
      </rPr>
      <t>Authorizes the transfer of sewer system revenue to a sewer system reserve fund for the future maintenance and operation of its system and for the construction of improvements and expansions to such system.</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</si>
  <si>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Transfer from sewerage system reserve fund.</t>
    </r>
    <r>
      <rPr>
        <sz val="12"/>
        <color indexed="8"/>
        <rFont val="Times New Roman"/>
        <family val="1"/>
      </rPr>
      <t xml:space="preserve">  Allows the retransfer of sewerage system reserve fund dollars to the fund from which it was originally transferred.</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</si>
  <si>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an annual transfer of up to 10% of the general fund to a capital improvement fund, and a retransfer to the general fund of such amounts not needed for capital improvement purposes.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</si>
  <si>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</si>
  <si>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 xml:space="preserve">Transfer to special road completion fund; transfer to special machinery and equipment fund. </t>
    </r>
    <r>
      <rPr>
        <sz val="12"/>
        <color indexed="8"/>
        <rFont val="Times New Roman"/>
        <family val="1"/>
      </rPr>
      <t xml:space="preserve"> (a)  Authorizes a cemetery district to make an annual transfer of any tax levy surpluses existing at the end of a budget year to a special fund for the completion of road improvements.</t>
    </r>
  </si>
  <si>
    <t>(b)  Authorizes a cemetery district to transfer up to 25% of any tax levy surpluses existing at the end of a budget year to a special fund to be used to purchase machinery and equipment for cemetery maintenance.</t>
  </si>
  <si>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</si>
  <si>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80-1559</t>
    </r>
    <r>
      <rPr>
        <sz val="12"/>
        <color indexed="8"/>
        <rFont val="Times New Roman"/>
        <family val="1"/>
      </rPr>
      <t>.</t>
    </r>
    <r>
      <rPr>
        <b/>
        <sz val="12"/>
        <color indexed="8"/>
        <rFont val="Times New Roman"/>
        <family val="1"/>
      </rPr>
      <t xml:space="preserve">  Transfer to and from special township fire district reserve fund.  </t>
    </r>
    <r>
      <rPr>
        <sz val="12"/>
        <color indexed="8"/>
        <rFont val="Times New Roman"/>
        <family val="1"/>
      </rPr>
      <t>Township fire districts may transfer, annually, up to 25% of from the fire fund to a special township fire district reserve fund, and may retransfer such amount not needed to the fund from which it came.</t>
    </r>
  </si>
  <si>
    <t>Neighborhood Revitalization Subj to Rebate:</t>
  </si>
  <si>
    <t>Neighborhood Revitalization factor:</t>
  </si>
  <si>
    <t>Valuation Factor:</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</si>
  <si>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</si>
  <si>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</si>
  <si>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</si>
  <si>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</si>
  <si>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</si>
  <si>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</si>
  <si>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</si>
  <si>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</si>
  <si>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 xml:space="preserve">Shawnee County Clerk's Office </t>
  </si>
  <si>
    <t>Shawnee County Clerk's Office/Some one residence/Township Hall/Local Library</t>
  </si>
  <si>
    <t>answering objections of taxpayers relating  to the proposed use of all funds and the amount of tax to levied.</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</si>
  <si>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</si>
  <si>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</si>
  <si>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</si>
  <si>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</si>
  <si>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</si>
  <si>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</si>
  <si>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</si>
  <si>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</si>
  <si>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</si>
  <si>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</si>
  <si>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</si>
  <si>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</si>
  <si>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</si>
  <si>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</si>
  <si>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</si>
  <si>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</si>
  <si>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</si>
  <si>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</si>
  <si>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</si>
  <si>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</si>
  <si>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</si>
  <si>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</si>
  <si>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</si>
  <si>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</si>
  <si>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</si>
  <si>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</si>
  <si>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</si>
  <si>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</si>
  <si>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</si>
  <si>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</si>
  <si>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</si>
  <si>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</si>
  <si>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</si>
  <si>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</si>
  <si>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</si>
  <si>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</si>
  <si>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</si>
  <si>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</si>
  <si>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</si>
  <si>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</si>
  <si>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</si>
  <si>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</si>
  <si>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</si>
  <si>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</si>
  <si>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</si>
  <si>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</si>
  <si>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</si>
  <si>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</si>
  <si>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</si>
  <si>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</si>
  <si>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</si>
  <si>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</si>
  <si>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</si>
  <si>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</si>
  <si>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</si>
  <si>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</si>
  <si>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</si>
  <si>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</si>
  <si>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</si>
  <si>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</si>
  <si>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</si>
  <si>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</si>
  <si>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</si>
  <si>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</si>
  <si>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</si>
  <si>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</si>
  <si>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</si>
  <si>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</si>
  <si>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</si>
  <si>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</si>
  <si>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</si>
  <si>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</si>
  <si>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</si>
  <si>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</si>
  <si>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</si>
  <si>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</si>
  <si>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</si>
  <si>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</si>
  <si>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</si>
  <si>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</si>
  <si>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</si>
  <si>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</si>
  <si>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</si>
  <si>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</si>
  <si>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</si>
  <si>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</si>
  <si>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</si>
  <si>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</si>
  <si>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</si>
  <si>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</si>
  <si>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</si>
  <si>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</si>
  <si>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</si>
  <si>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</si>
  <si>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</si>
  <si>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</si>
  <si>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</si>
  <si>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</si>
  <si>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</si>
  <si>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</si>
  <si>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</si>
  <si>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</si>
  <si>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</si>
  <si>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</si>
  <si>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</si>
  <si>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</si>
  <si>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</si>
  <si>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</si>
  <si>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</si>
  <si>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</si>
  <si>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</si>
  <si>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</si>
  <si>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</si>
  <si>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</si>
  <si>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</si>
  <si>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</si>
  <si>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</si>
  <si>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</si>
  <si>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</si>
  <si>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</si>
  <si>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</si>
  <si>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</si>
  <si>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</si>
  <si>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</si>
  <si>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</si>
  <si>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</si>
  <si>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</si>
  <si>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</si>
  <si>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</si>
  <si>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</si>
  <si>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</si>
  <si>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</si>
  <si>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</si>
  <si>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</si>
  <si>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</si>
  <si>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</si>
  <si>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</si>
  <si>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</si>
  <si>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</si>
  <si>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</si>
  <si>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</si>
  <si>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</si>
  <si>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</si>
  <si>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</si>
  <si>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</si>
  <si>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</si>
  <si>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</si>
  <si>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</si>
  <si>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</si>
  <si>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</si>
  <si>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</si>
  <si>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</si>
  <si>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</si>
  <si>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</si>
  <si>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</si>
  <si>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</si>
  <si>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</si>
  <si>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</si>
  <si>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</si>
  <si>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</si>
  <si>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</si>
  <si>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</si>
  <si>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</si>
  <si>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</si>
  <si>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</si>
  <si>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</si>
  <si>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</si>
  <si>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</si>
  <si>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</si>
  <si>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</si>
  <si>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</si>
  <si>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</si>
  <si>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</si>
  <si>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</si>
  <si>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</si>
  <si>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</si>
  <si>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</si>
  <si>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</si>
  <si>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</si>
  <si>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</si>
  <si>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</si>
  <si>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</si>
  <si>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</si>
  <si>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</si>
  <si>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</si>
  <si>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</si>
  <si>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</si>
  <si>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</si>
  <si>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</si>
  <si>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</si>
  <si>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</si>
  <si>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</si>
  <si>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</si>
  <si>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</si>
  <si>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</si>
  <si>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</si>
  <si>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</si>
  <si>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</si>
  <si>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</si>
  <si>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</si>
  <si>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</si>
  <si>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</si>
  <si>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</si>
  <si>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4a.  Enter the Computation of Delinquency information. Please note that K.S.A. 79-2930 states that such allowance shall not exceed by more than 5% the percentage of delinquency for the preceding tax year.  Such allowance is not mandatory, but may be used if the municipality wishes.</t>
  </si>
  <si>
    <t>4b. If the special district chooses not to use the delinquency rate for all tax levy funds, then the special district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</si>
  <si>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t xml:space="preserve">5.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</si>
  <si>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5a.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t>
    </r>
    <r>
      <rPr>
        <sz val="12"/>
        <rFont val="Times New Roman"/>
        <family val="1"/>
      </rPr>
      <t>o'.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</si>
  <si>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 xml:space="preserve">5b.  If someone other than a municipal employee assists in preparing the budget, please enter the person's or firm's name and address in the area provided. </t>
  </si>
  <si>
    <t>6.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</si>
  <si>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6a. The information for Computation to Determine Limit page (computation) comes from data on the input pages (inputpryr and inputoth). If a error is found, please correct the information from the input pages.</t>
  </si>
  <si>
    <t>6b. Print the Resolution page (resolution) if the max levy is exceeded.  Complete the printed resolution and ensure to attached it to the budget.</t>
  </si>
  <si>
    <t>7.  Motor Vehicle Allocation and Slider (mvalloc) are completed from information entered on the input pages (inputpryr and inputoth).  If figures appear to be wrong, do not correct the figures from here, but go to the input pages. The computed tables are linked to the appropriate funds.</t>
  </si>
  <si>
    <t>8. The Schedule of Transfers (transfers) is completed from the individual completed fund pages and ensure to provide the statute that authorizes the transfer.</t>
  </si>
  <si>
    <t>8a. The adjusted totals of transfers are link to the Budget Summary page 'Less: Transfers'.</t>
  </si>
  <si>
    <t xml:space="preserve">8c. TransferStatutes tab provides statute reference for transfers which are not already identified.
</t>
  </si>
  <si>
    <r>
      <t xml:space="preserve">9.  Statement of Indebtedness (debt) must show all the debt owed or proposed to be issued.  The general obligation and revenue bond totals for budget year is entered on the Budget Summary but you must enter the amounts on the (inputpryr) for the other two years from the current year budget. </t>
    </r>
    <r>
      <rPr>
        <b/>
        <sz val="12"/>
        <rFont val="Times New Roman"/>
        <family val="1"/>
      </rPr>
      <t>If the special district does not have any debt, then on the first line enter 'none'.</t>
    </r>
  </si>
  <si>
    <r>
      <t xml:space="preserve">10.  Statement of Conditional Lease, Lease-Purchases and Certificate of Participation (lpform) must be completed for all transactions which at the end of the least period the item will be owned by the special district.  Principal Balance Due for the actual year is shown on the Budget Summary page and prior years are linked from the input page (inputpryr). </t>
    </r>
    <r>
      <rPr>
        <b/>
        <sz val="12"/>
        <rFont val="Times New Roman"/>
        <family val="1"/>
      </rPr>
      <t>If the special district does not have any leases, then on the first line enter 'none'.</t>
    </r>
  </si>
  <si>
    <t>11.  Individual fund sheets (tab names gen, levy pages, nolevy pages, and nonbud) need to be completed, using only those you need and numbering each page used.  When the fund pages are completed, the totals will be shown on the Certificate and Budget Summary pages.</t>
  </si>
  <si>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</si>
  <si>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</si>
  <si>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</si>
  <si>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</si>
  <si>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</si>
  <si>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14.  Certificate (cert) form should be reviewed to verify that all amounts agree with the fund pages and Budget Summary page.  Ensure the Certificate page is signed by the governing body.</t>
  </si>
  <si>
    <t>15.  Review all forms to see that the amounts match and everything is printed properly.</t>
  </si>
  <si>
    <t>13a. At the bottom, there is a green shaded area, enter the page number.</t>
  </si>
  <si>
    <t>the Neighborhood Revitalization Rebate table.</t>
  </si>
  <si>
    <t>The following were changed to this spreadsheet on 12/28/09</t>
  </si>
  <si>
    <t xml:space="preserve">8b.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</si>
  <si>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b/>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</si>
  <si>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</si>
  <si>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</si>
  <si>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</si>
  <si>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</si>
  <si>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</si>
  <si>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</si>
  <si>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2. Transfers tab changed note so to identify current and proposed columns for non-budgeted funds transfers</t>
  </si>
  <si>
    <t>3. Transfers tab changed first two column heading adding 'expenditures' and 'receipts'</t>
  </si>
  <si>
    <t>1. Instruction tab added line 8b concerning schedule of transfers adjustments</t>
  </si>
  <si>
    <t>for Expenditures</t>
  </si>
  <si>
    <t>Does misc. exceed 10% Total Expenditures</t>
  </si>
  <si>
    <t>Does misc. exceed 10% of Total Receipts</t>
  </si>
  <si>
    <t>Assisted by:</t>
  </si>
  <si>
    <t>Address:</t>
  </si>
  <si>
    <t>Estimate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</si>
  <si>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</si>
  <si>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</si>
  <si>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</si>
  <si>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</si>
  <si>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</si>
  <si>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</si>
  <si>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</si>
  <si>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</si>
  <si>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r>
      <t xml:space="preserve">Computation of Example:  </t>
    </r>
    <r>
      <rPr>
        <sz val="11"/>
        <rFont val="Cambria"/>
        <family val="1"/>
      </rPr>
      <t>$3,120,000 (assessed valuation) / 1000 = $3,120 (value of one mill)</t>
    </r>
  </si>
  <si>
    <t>In this example, one mill for the municipality will generate $3,120 in taxes.</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</si>
  <si>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</si>
  <si>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</si>
  <si>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</si>
  <si>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</si>
  <si>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</si>
  <si>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</si>
  <si>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</si>
  <si>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</si>
  <si>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</si>
  <si>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</si>
  <si>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</si>
  <si>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</si>
  <si>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</si>
  <si>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</si>
  <si>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</si>
  <si>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</si>
  <si>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</si>
  <si>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</si>
  <si>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</si>
  <si>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</si>
  <si>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</si>
  <si>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t>$3,120,000 / 1000 = $3,120 (example #1)</t>
  </si>
  <si>
    <t>$50,000 / $3,120 = 16.026 mills (example #2)</t>
  </si>
  <si>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</si>
  <si>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</si>
  <si>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</si>
  <si>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$11,500 (assessed value) x 16.026 (mill rate) / 1000 = $184.30</t>
  </si>
  <si>
    <t>The increase in property tax for a $100,000 home will be $184.30.</t>
  </si>
  <si>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</si>
  <si>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</si>
  <si>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</si>
  <si>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</si>
  <si>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</si>
  <si>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</si>
  <si>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</si>
  <si>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</si>
  <si>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</si>
  <si>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</si>
  <si>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</si>
  <si>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</si>
  <si>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</si>
  <si>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</si>
  <si>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</si>
  <si>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</si>
  <si>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</si>
  <si>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</si>
  <si>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</si>
  <si>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</si>
  <si>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</si>
  <si>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</si>
  <si>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</si>
  <si>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</si>
  <si>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</si>
  <si>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</si>
  <si>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</si>
  <si>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</si>
  <si>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</si>
  <si>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</si>
  <si>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</si>
  <si>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</si>
  <si>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</si>
  <si>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</si>
  <si>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</si>
  <si>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</si>
  <si>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</si>
  <si>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</si>
  <si>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</si>
  <si>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</si>
  <si>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</si>
  <si>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</si>
  <si>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</si>
  <si>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</si>
  <si>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</si>
  <si>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</si>
  <si>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</si>
  <si>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</si>
  <si>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</si>
  <si>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</si>
  <si>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</si>
  <si>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</si>
  <si>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</si>
  <si>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r>
      <t xml:space="preserve">K.S.A. </t>
    </r>
    <r>
      <rPr>
        <b/>
        <sz val="12"/>
        <color indexed="8"/>
        <rFont val="Times New Roman"/>
        <family val="1"/>
      </rPr>
      <t>19-3612c.</t>
    </r>
    <r>
      <rPr>
        <sz val="12"/>
        <color indexed="8"/>
        <rFont val="Times New Roman"/>
        <family val="1"/>
      </rPr>
      <t xml:space="preserve">  </t>
    </r>
    <r>
      <rPr>
        <b/>
        <sz val="12"/>
        <color indexed="8"/>
        <rFont val="Times New Roman"/>
        <family val="1"/>
      </rPr>
      <t xml:space="preserve">Fire protection reserve fund. </t>
    </r>
    <r>
      <rPr>
        <sz val="12"/>
        <color indexed="8"/>
        <rFont val="Times New Roman"/>
        <family val="1"/>
      </rPr>
      <t xml:space="preserve"> Fire district created under K.S.A. 19-3601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</si>
  <si>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19-3623e.</t>
    </r>
    <r>
      <rPr>
        <sz val="12"/>
        <color indexed="8"/>
        <rFont val="Times New Roman"/>
        <family val="1"/>
      </rPr>
      <t xml:space="preserve">  </t>
    </r>
    <r>
      <rPr>
        <b/>
        <sz val="12"/>
        <color indexed="8"/>
        <rFont val="Times New Roman"/>
        <family val="1"/>
      </rPr>
      <t xml:space="preserve">Fire protection reserve fund (Johnson County). </t>
    </r>
    <r>
      <rPr>
        <sz val="12"/>
        <color indexed="8"/>
        <rFont val="Times New Roman"/>
        <family val="1"/>
      </rPr>
      <t xml:space="preserve"> Fire district created under K.S.A. 19-3613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</si>
  <si>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24-136.  Drainage district special emergency fund.</t>
    </r>
    <r>
      <rPr>
        <sz val="12"/>
        <color indexed="8"/>
        <rFont val="Times New Roman"/>
        <family val="1"/>
      </rPr>
      <t xml:space="preserve">  Drainage district may establish a special emergency fund to pay the costs and expenses resulting from an emergency within the district.</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</si>
  <si>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</si>
  <si>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19-3612c.</t>
    </r>
    <r>
      <rPr>
        <sz val="12"/>
        <color indexed="8"/>
        <rFont val="Times New Roman"/>
        <family val="1"/>
      </rPr>
      <t xml:space="preserve">  </t>
    </r>
    <r>
      <rPr>
        <b/>
        <sz val="12"/>
        <color indexed="8"/>
        <rFont val="Times New Roman"/>
        <family val="1"/>
      </rPr>
      <t>Transfer to and from special fire protection reserve fund.</t>
    </r>
    <r>
      <rPr>
        <sz val="12"/>
        <color indexed="8"/>
        <rFont val="Times New Roman"/>
        <family val="1"/>
      </rPr>
      <t xml:space="preserve">  Fire district may transfer annually from general fund to special fund to be used for purchase of fire-fighting equipment, apparatus, or machinery, or land and buildings.  Amount in special fund not needed may be retransferred to fire district general fund.</t>
    </r>
  </si>
  <si>
    <r>
      <t>K.S.A. 19-3623e.</t>
    </r>
    <r>
      <rPr>
        <sz val="12"/>
        <color indexed="8"/>
        <rFont val="Times New Roman"/>
        <family val="1"/>
      </rPr>
      <t xml:space="preserve">  </t>
    </r>
    <r>
      <rPr>
        <b/>
        <sz val="12"/>
        <color indexed="8"/>
        <rFont val="Times New Roman"/>
        <family val="1"/>
      </rPr>
      <t>Transfer to and from special fire protection reserve fund (Johnson County).</t>
    </r>
    <r>
      <rPr>
        <sz val="12"/>
        <color indexed="8"/>
        <rFont val="Times New Roman"/>
        <family val="1"/>
      </rPr>
      <t xml:space="preserve">  Fire district organized under K.S.A. 19-3613 </t>
    </r>
    <r>
      <rPr>
        <i/>
        <sz val="12"/>
        <color indexed="8"/>
        <rFont val="Times New Roman"/>
        <family val="1"/>
      </rPr>
      <t>et seq.</t>
    </r>
    <r>
      <rPr>
        <sz val="12"/>
        <color indexed="8"/>
        <rFont val="Times New Roman"/>
        <family val="1"/>
      </rPr>
      <t>, may transfer annually from the general fund to special fund to be used for purchase of fire-fighting equipment, apparatus, or machinery, or land and buildings.  Amount in special fund not needed may be retransferred to fire district general fund.</t>
    </r>
  </si>
  <si>
    <r>
      <t xml:space="preserve">K.S.A. </t>
    </r>
    <r>
      <rPr>
        <b/>
        <sz val="12"/>
        <color indexed="8"/>
        <rFont val="Times New Roman"/>
        <family val="1"/>
      </rPr>
      <t>24-136.</t>
    </r>
    <r>
      <rPr>
        <sz val="12"/>
        <color indexed="8"/>
        <rFont val="Times New Roman"/>
        <family val="1"/>
      </rPr>
      <t xml:space="preserve">  </t>
    </r>
    <r>
      <rPr>
        <b/>
        <sz val="12"/>
        <color indexed="8"/>
        <rFont val="Times New Roman"/>
        <family val="1"/>
      </rPr>
      <t>Transfer to special emergency fund.</t>
    </r>
    <r>
      <rPr>
        <sz val="12"/>
        <color indexed="8"/>
        <rFont val="Times New Roman"/>
        <family val="1"/>
      </rPr>
      <t xml:space="preserve">  Drainage district governing body may transfer, during an emergency, any surplus money from the drainage district general fund to a special emergency fund.</t>
    </r>
  </si>
  <si>
    <t>Non-Appropriated Balance</t>
  </si>
  <si>
    <t>Total Expenditure/Non-Appr Balance</t>
  </si>
  <si>
    <t>Tax Required</t>
  </si>
  <si>
    <t>Delinquent Comp Rate:</t>
  </si>
  <si>
    <t>Desired Carryover Amount:</t>
  </si>
  <si>
    <t>Estimated Mill Rate Impact:</t>
  </si>
  <si>
    <t>The estimated value of one mill would be:</t>
  </si>
  <si>
    <t>Change in Ad Valorem Tax Revenue:</t>
  </si>
  <si>
    <t>The following were changed to this spreadsheet on 10/27/10</t>
  </si>
  <si>
    <t>1. All pages removed the revision date</t>
  </si>
  <si>
    <t>2. All tax levy fund pages reduced the columns and revised the bottom of pages for see tabs</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</si>
  <si>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</si>
  <si>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</si>
  <si>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</si>
  <si>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</si>
  <si>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</si>
  <si>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</si>
  <si>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</si>
  <si>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</si>
  <si>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</si>
  <si>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13. Summ tab merged cells above the 'Township Officer' and center a name if used</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</si>
  <si>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</si>
  <si>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</si>
  <si>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</si>
  <si>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</si>
  <si>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</si>
  <si>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</si>
  <si>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</si>
  <si>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</si>
  <si>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</si>
  <si>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r>
      <t xml:space="preserve">2.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
    </r>
  </si>
  <si>
    <t xml:space="preserve">4. The information entered into the Input Other (inputOth) worksheet is obtained from the County Clerk, County Treasurer, and the budget from two years ago(the year for actual year column for the current year budget) .  After the information has been entered, please verify the data is correct. </t>
  </si>
  <si>
    <r>
      <t>11a. On the General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</si>
  <si>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t>11b. Additionally, on the General fund page, we have placed 'Desired Carryover' which the city can place a desired carryover amount and the table will show the mill rate impact along with the expenditures required to reach the desired carryover.</t>
  </si>
  <si>
    <t>11c.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</si>
  <si>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11d. On the Debt Service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</si>
  <si>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11 for instructions for the neighborhood revitalization rebate for the proposed budget year. </t>
    </r>
  </si>
  <si>
    <r>
      <t xml:space="preserve">11f. All levy fund pages have a Non-Appropriated Balance block. K.S.A. 79-2927 allows the special district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and the </t>
    </r>
    <r>
      <rPr>
        <sz val="12"/>
        <color indexed="10"/>
        <rFont val="Times New Roman"/>
        <family val="1"/>
      </rPr>
      <t>block turns red</t>
    </r>
    <r>
      <rPr>
        <sz val="12"/>
        <rFont val="Times New Roman"/>
        <family val="1"/>
      </rPr>
      <t xml:space="preserve">.  In order to remove this warning message, you </t>
    </r>
    <r>
      <rPr>
        <u/>
        <sz val="12"/>
        <rFont val="Times New Roman"/>
        <family val="1"/>
      </rPr>
      <t>must reduce</t>
    </r>
    <r>
      <rPr>
        <sz val="12"/>
        <rFont val="Times New Roman"/>
        <family val="1"/>
      </rPr>
      <t xml:space="preserve"> the non-appropriate figure.</t>
    </r>
  </si>
  <si>
    <r>
      <t>11g.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</si>
  <si>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11h.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</si>
  <si>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11i.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</si>
  <si>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 xml:space="preserve">11j.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In order to remove the statement and return the block to normal, you must reduce the amount to either 10% or less.</t>
    </r>
  </si>
  <si>
    <r>
      <t>11k.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</si>
  <si>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13b. Created a table that shows the impact if the previous mill rate is used for the current budgeted year.  To achieve this mill rate, the tax levy fund expenditures will need to be changed by the amount shown.  Depending upon the number of tax levy funds involved, the change can be used on one, combination of, or all of the tax levy fund expenditures.  Please note, this table is not required to be used, but as a tool to assist in budgeting.</t>
  </si>
  <si>
    <t>13c. Created a table whereas a municipality can create a desired mill rate.  If a municipality has a future desire to make a large purchase, project, or just would like a little more unencumbered cash balance, this table will show amount of ad valorem taxes received and amount of adjustments to the tax levy fund expenditures for this desired mill rate.  To use this table, simply enter in the green area the desired mill rate.  Please note, this table is not required to be used, but as a tool to assist in budgeting.</t>
  </si>
  <si>
    <t xml:space="preserve">13d. Before printing, review the form to ensure all the information is provided and the figures are correct. Print the page, have official sign it, and take to the local newspaper for printing. </t>
  </si>
  <si>
    <t>13e.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</si>
  <si>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16.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</si>
  <si>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16a.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</si>
  <si>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16b.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</si>
  <si>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3. Instruction tab added lines 13b (last year mill rate), 13c (desired mill rate), 11a(project carryover), 11b (Desired Carryover), 11d (project carryover Debt), and 16(protection)</t>
  </si>
  <si>
    <t>23. Budget Summary tab changed proposed column heading from 'Actual' to 'Estimate'</t>
  </si>
  <si>
    <t>and hearing held.</t>
  </si>
  <si>
    <t xml:space="preserve">Must be at least 10 days between date published </t>
  </si>
  <si>
    <t>The following were changed to this spreadsheet on 4/19/11</t>
  </si>
  <si>
    <t>1. Summ tab changed proposed year expenditure column to 'Budget Authority for Expenditures'</t>
  </si>
  <si>
    <t>2. Summ tab actual total computation amended</t>
  </si>
  <si>
    <t>Franklin County</t>
  </si>
  <si>
    <t>Franklin County Clerk's Office</t>
  </si>
  <si>
    <t>315 S Main</t>
  </si>
  <si>
    <t>Ottawa, KS  66067</t>
  </si>
  <si>
    <t>Antioch Cemetery</t>
  </si>
  <si>
    <t>17-1330</t>
  </si>
  <si>
    <t>7:00 p.m.</t>
  </si>
  <si>
    <t>Homewood Community Building</t>
  </si>
  <si>
    <t>Operations</t>
  </si>
  <si>
    <t>Mowing</t>
  </si>
  <si>
    <t>Publication</t>
  </si>
  <si>
    <t>Insurance</t>
  </si>
  <si>
    <t>Chemical</t>
  </si>
  <si>
    <t>August 17, 2012</t>
  </si>
  <si>
    <t>/s/ Charles King</t>
  </si>
</sst>
</file>

<file path=xl/styles.xml><?xml version="1.0" encoding="utf-8"?>
<styleSheet xmlns="http://schemas.openxmlformats.org/spreadsheetml/2006/main">
  <numFmts count="18">
    <numFmt numFmtId="5" formatCode="&quot;$&quot;#,##0_);\(&quot;$&quot;#,##0\)"/>
    <numFmt numFmtId="43" formatCode="_(* #,##0.00_);_(* \(#,##0.00\);_(* &quot;-&quot;??_);_(@_)"/>
    <numFmt numFmtId="164" formatCode="0.000_)"/>
    <numFmt numFmtId="165" formatCode="0_)"/>
    <numFmt numFmtId="166" formatCode="0.00000_)"/>
    <numFmt numFmtId="167" formatCode="#,##0.00000_);\(#,##0.00000\)"/>
    <numFmt numFmtId="168" formatCode="0.00000"/>
    <numFmt numFmtId="169" formatCode="_(* #,##0_);_(* \(#,##0\);_(* &quot;-&quot;??_);_(@_)"/>
    <numFmt numFmtId="170" formatCode="m/d/yy"/>
    <numFmt numFmtId="171" formatCode="m/d"/>
    <numFmt numFmtId="172" formatCode="#,##0.000_);\(#,##0.000\)"/>
    <numFmt numFmtId="173" formatCode="0.000%"/>
    <numFmt numFmtId="174" formatCode="0.000"/>
    <numFmt numFmtId="175" formatCode="#,##0.000"/>
    <numFmt numFmtId="176" formatCode="[$-409]mmmm\ d\,\ yyyy;@"/>
    <numFmt numFmtId="177" formatCode="[$-409]h:mm\ AM/PM;@"/>
    <numFmt numFmtId="178" formatCode="&quot;$&quot;#,##0"/>
    <numFmt numFmtId="179" formatCode="&quot;$&quot;#,##0.00"/>
  </numFmts>
  <fonts count="54">
    <font>
      <sz val="12"/>
      <name val="Courier"/>
    </font>
    <font>
      <b/>
      <sz val="12"/>
      <name val="Courier"/>
      <family val="3"/>
    </font>
    <font>
      <sz val="12"/>
      <name val="Courier"/>
      <family val="3"/>
    </font>
    <font>
      <sz val="12"/>
      <name val="Times New Roman"/>
      <family val="1"/>
    </font>
    <font>
      <b/>
      <sz val="12"/>
      <name val="Times New Roman"/>
      <family val="1"/>
    </font>
    <font>
      <u/>
      <sz val="12"/>
      <name val="Times New Roman"/>
      <family val="1"/>
    </font>
    <font>
      <sz val="11"/>
      <name val="Times New Roman"/>
      <family val="1"/>
    </font>
    <font>
      <sz val="10"/>
      <name val="Times New Roman"/>
      <family val="1"/>
    </font>
    <font>
      <sz val="14"/>
      <name val="Times New Roman"/>
      <family val="1"/>
    </font>
    <font>
      <sz val="12"/>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8"/>
      <name val="Courier"/>
      <family val="3"/>
    </font>
    <font>
      <sz val="12"/>
      <name val="Courier"/>
      <family val="3"/>
    </font>
    <font>
      <b/>
      <u/>
      <sz val="12"/>
      <name val="Times New Roman"/>
      <family val="1"/>
    </font>
    <font>
      <b/>
      <u/>
      <sz val="12"/>
      <color indexed="10"/>
      <name val="Times New Roman"/>
      <family val="1"/>
    </font>
    <font>
      <b/>
      <u/>
      <sz val="12"/>
      <name val="Courier"/>
      <family val="3"/>
    </font>
    <font>
      <sz val="10"/>
      <name val="Courier"/>
      <family val="3"/>
    </font>
    <font>
      <sz val="12"/>
      <color indexed="10"/>
      <name val="Times New Roman"/>
      <family val="1"/>
    </font>
    <font>
      <sz val="12"/>
      <color indexed="10"/>
      <name val="Courier"/>
      <family val="3"/>
    </font>
    <font>
      <b/>
      <sz val="12"/>
      <color indexed="10"/>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sz val="12"/>
      <name val="Courier"/>
      <family val="3"/>
    </font>
    <font>
      <b/>
      <sz val="14"/>
      <name val="Times New Roman"/>
      <family val="1"/>
    </font>
    <font>
      <b/>
      <u/>
      <sz val="8"/>
      <color indexed="10"/>
      <name val="Times New Roman"/>
      <family val="1"/>
    </font>
    <font>
      <sz val="12"/>
      <name val="Courier New"/>
      <family val="3"/>
    </font>
    <font>
      <sz val="12"/>
      <name val="Courier New"/>
      <family val="3"/>
    </font>
    <font>
      <b/>
      <sz val="12"/>
      <name val="Courier"/>
      <family val="3"/>
    </font>
    <font>
      <i/>
      <sz val="12"/>
      <name val="Courier"/>
      <family val="3"/>
    </font>
    <font>
      <i/>
      <u/>
      <sz val="12"/>
      <name val="Courier"/>
      <family val="3"/>
    </font>
    <font>
      <sz val="12"/>
      <name val="Courier"/>
      <family val="3"/>
    </font>
    <font>
      <sz val="11"/>
      <name val="Cambria"/>
      <family val="1"/>
    </font>
    <font>
      <b/>
      <sz val="11"/>
      <color indexed="8"/>
      <name val="Cambria"/>
      <family val="1"/>
    </font>
    <font>
      <b/>
      <sz val="13"/>
      <name val="Times New Roman"/>
      <family val="1"/>
    </font>
    <font>
      <u/>
      <sz val="12"/>
      <color indexed="12"/>
      <name val="Courier"/>
      <family val="3"/>
    </font>
    <font>
      <u/>
      <sz val="12"/>
      <color indexed="12"/>
      <name val="Times New Roman"/>
      <family val="1"/>
    </font>
    <font>
      <i/>
      <sz val="12"/>
      <color indexed="8"/>
      <name val="Times New Roman"/>
      <family val="1"/>
    </font>
    <font>
      <b/>
      <u/>
      <sz val="10"/>
      <name val="Times New Roman"/>
      <family val="1"/>
    </font>
    <font>
      <b/>
      <u/>
      <sz val="10"/>
      <name val="Courier"/>
      <family val="3"/>
    </font>
    <font>
      <b/>
      <sz val="10"/>
      <name val="Times New Roman"/>
      <family val="1"/>
    </font>
    <font>
      <b/>
      <u/>
      <sz val="8"/>
      <name val="Times New Roman"/>
      <family val="1"/>
    </font>
    <font>
      <sz val="12"/>
      <color rgb="FF000000"/>
      <name val="Times New Roman"/>
      <family val="1"/>
    </font>
    <font>
      <b/>
      <sz val="12"/>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u/>
      <sz val="12"/>
      <color rgb="FFFF0000"/>
      <name val="Times New Roman"/>
      <family val="1"/>
    </font>
  </fonts>
  <fills count="18">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35"/>
        <bgColor indexed="64"/>
      </patternFill>
    </fill>
    <fill>
      <patternFill patternType="solid">
        <fgColor indexed="41"/>
        <bgColor indexed="64"/>
      </patternFill>
    </fill>
    <fill>
      <patternFill patternType="solid">
        <fgColor indexed="43"/>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indexed="9"/>
        <bgColor indexed="64"/>
      </patternFill>
    </fill>
    <fill>
      <patternFill patternType="solid">
        <fgColor rgb="FFFFFFC0"/>
        <bgColor indexed="64"/>
      </patternFill>
    </fill>
    <fill>
      <patternFill patternType="solid">
        <fgColor rgb="FFFFFF99"/>
        <bgColor indexed="64"/>
      </patternFill>
    </fill>
    <fill>
      <patternFill patternType="solid">
        <fgColor rgb="FF00FF00"/>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double">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s>
  <cellStyleXfs count="392">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9"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31"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28"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9" fillId="0" borderId="0"/>
    <xf numFmtId="0" fontId="2" fillId="0" borderId="0"/>
    <xf numFmtId="0" fontId="2" fillId="0" borderId="0"/>
    <xf numFmtId="0" fontId="31" fillId="0" borderId="0"/>
    <xf numFmtId="0" fontId="2" fillId="0" borderId="0"/>
    <xf numFmtId="0" fontId="2" fillId="0" borderId="0"/>
    <xf numFmtId="0" fontId="2"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2" fillId="0" borderId="0"/>
    <xf numFmtId="0" fontId="32" fillId="0" borderId="0"/>
    <xf numFmtId="0" fontId="9" fillId="0" borderId="0"/>
    <xf numFmtId="0" fontId="9" fillId="0" borderId="0"/>
    <xf numFmtId="0" fontId="9" fillId="0" borderId="0"/>
    <xf numFmtId="0" fontId="2" fillId="0" borderId="0"/>
    <xf numFmtId="0" fontId="2" fillId="0" borderId="0"/>
    <xf numFmtId="0" fontId="2" fillId="0" borderId="0"/>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cellStyleXfs>
  <cellXfs count="686">
    <xf numFmtId="0" fontId="0" fillId="0" borderId="0" xfId="0"/>
    <xf numFmtId="0" fontId="0" fillId="0" borderId="0" xfId="0" applyAlignment="1">
      <alignment vertical="top"/>
    </xf>
    <xf numFmtId="0" fontId="9" fillId="0" borderId="0" xfId="391"/>
    <xf numFmtId="0" fontId="6" fillId="0" borderId="0" xfId="391" applyFont="1"/>
    <xf numFmtId="0" fontId="6" fillId="0" borderId="0" xfId="391" applyFont="1" applyAlignment="1">
      <alignment horizontal="left" indent="1"/>
    </xf>
    <xf numFmtId="0" fontId="14" fillId="0" borderId="0" xfId="391" applyFont="1"/>
    <xf numFmtId="0" fontId="12" fillId="0" borderId="0" xfId="0" applyFont="1" applyAlignment="1">
      <alignment horizontal="center"/>
    </xf>
    <xf numFmtId="0" fontId="6" fillId="0" borderId="0" xfId="0" applyFont="1" applyAlignment="1">
      <alignment horizontal="center"/>
    </xf>
    <xf numFmtId="0" fontId="6" fillId="0" borderId="0" xfId="0" applyFont="1"/>
    <xf numFmtId="0" fontId="6" fillId="0" borderId="0" xfId="0" applyFont="1" applyAlignment="1">
      <alignment horizontal="left" indent="9"/>
    </xf>
    <xf numFmtId="0" fontId="14" fillId="0" borderId="0" xfId="0" applyFont="1"/>
    <xf numFmtId="0" fontId="12" fillId="0" borderId="0" xfId="0" applyFont="1" applyAlignment="1">
      <alignment horizontal="left"/>
    </xf>
    <xf numFmtId="0" fontId="6" fillId="0" borderId="0" xfId="0" applyFont="1" applyAlignment="1">
      <alignment horizontal="left"/>
    </xf>
    <xf numFmtId="0" fontId="6" fillId="0" borderId="0" xfId="391" applyFont="1" applyAlignment="1">
      <alignment horizontal="center"/>
    </xf>
    <xf numFmtId="0" fontId="3" fillId="0" borderId="0" xfId="391" applyFont="1" applyAlignment="1">
      <alignment horizontal="right"/>
    </xf>
    <xf numFmtId="0" fontId="6" fillId="2" borderId="0" xfId="391" applyFont="1" applyFill="1" applyAlignment="1" applyProtection="1">
      <alignment horizontal="center"/>
      <protection locked="0"/>
    </xf>
    <xf numFmtId="0" fontId="3" fillId="0" borderId="0" xfId="0" applyFont="1" applyAlignment="1" applyProtection="1">
      <alignment vertical="center"/>
      <protection locked="0"/>
    </xf>
    <xf numFmtId="0" fontId="3" fillId="3" borderId="0" xfId="0" applyFont="1" applyFill="1" applyAlignment="1" applyProtection="1">
      <alignment horizontal="left" vertical="center"/>
    </xf>
    <xf numFmtId="0" fontId="3" fillId="3" borderId="0" xfId="0" applyFont="1" applyFill="1" applyAlignment="1" applyProtection="1">
      <alignment vertical="center"/>
    </xf>
    <xf numFmtId="0" fontId="4" fillId="3" borderId="0" xfId="0" applyFont="1" applyFill="1" applyAlignment="1" applyProtection="1">
      <alignment horizontal="left" vertical="center"/>
    </xf>
    <xf numFmtId="0" fontId="3" fillId="4" borderId="1"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xf>
    <xf numFmtId="0" fontId="3" fillId="4" borderId="2"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4" fillId="4" borderId="3" xfId="0" applyFont="1" applyFill="1" applyBorder="1" applyAlignment="1" applyProtection="1">
      <alignment horizontal="center" vertical="center"/>
      <protection locked="0"/>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3" borderId="0" xfId="0" applyFont="1" applyFill="1" applyAlignment="1" applyProtection="1">
      <alignment vertical="center"/>
    </xf>
    <xf numFmtId="0" fontId="4" fillId="5" borderId="0" xfId="0" applyFont="1" applyFill="1" applyAlignment="1" applyProtection="1">
      <alignment vertical="center"/>
    </xf>
    <xf numFmtId="0" fontId="3" fillId="5" borderId="0" xfId="0" applyFont="1" applyFill="1" applyAlignment="1" applyProtection="1">
      <alignment vertical="center"/>
    </xf>
    <xf numFmtId="37" fontId="4" fillId="6" borderId="0" xfId="0" applyNumberFormat="1" applyFont="1" applyFill="1" applyAlignment="1" applyProtection="1">
      <alignment horizontal="left" vertical="center"/>
    </xf>
    <xf numFmtId="0" fontId="3" fillId="6" borderId="0" xfId="0" applyFont="1" applyFill="1" applyAlignment="1" applyProtection="1">
      <alignment vertical="center"/>
    </xf>
    <xf numFmtId="0" fontId="3" fillId="3" borderId="0" xfId="0" applyFont="1" applyFill="1" applyAlignment="1" applyProtection="1">
      <alignment horizontal="center" vertical="center"/>
    </xf>
    <xf numFmtId="0" fontId="5" fillId="5" borderId="4"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3" fillId="3" borderId="3" xfId="0" applyFont="1" applyFill="1" applyBorder="1" applyAlignment="1" applyProtection="1">
      <alignment horizontal="left" vertical="center"/>
    </xf>
    <xf numFmtId="0" fontId="3" fillId="4" borderId="3" xfId="0" applyFont="1" applyFill="1" applyBorder="1" applyAlignment="1" applyProtection="1">
      <alignment vertical="center"/>
      <protection locked="0"/>
    </xf>
    <xf numFmtId="3" fontId="3" fillId="4" borderId="3" xfId="0" applyNumberFormat="1" applyFont="1" applyFill="1" applyBorder="1" applyAlignment="1" applyProtection="1">
      <alignment vertical="center"/>
      <protection locked="0"/>
    </xf>
    <xf numFmtId="0" fontId="3" fillId="3" borderId="3" xfId="0" applyFont="1" applyFill="1" applyBorder="1" applyAlignment="1" applyProtection="1">
      <alignment vertical="center"/>
    </xf>
    <xf numFmtId="3" fontId="3" fillId="3" borderId="0" xfId="0" applyNumberFormat="1" applyFont="1" applyFill="1" applyAlignment="1" applyProtection="1">
      <alignment vertical="center"/>
    </xf>
    <xf numFmtId="164" fontId="3" fillId="3" borderId="0" xfId="0" applyNumberFormat="1" applyFont="1" applyFill="1" applyAlignment="1" applyProtection="1">
      <alignmen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vertical="center"/>
    </xf>
    <xf numFmtId="3" fontId="3" fillId="3" borderId="2" xfId="0" applyNumberFormat="1" applyFont="1" applyFill="1" applyBorder="1" applyAlignment="1" applyProtection="1">
      <alignment vertical="center"/>
    </xf>
    <xf numFmtId="3" fontId="3" fillId="7" borderId="3" xfId="0" applyNumberFormat="1" applyFont="1" applyFill="1" applyBorder="1" applyAlignment="1" applyProtection="1">
      <alignment vertical="center"/>
    </xf>
    <xf numFmtId="37" fontId="3" fillId="3" borderId="0" xfId="0" applyNumberFormat="1" applyFont="1" applyFill="1" applyAlignment="1" applyProtection="1">
      <alignment horizontal="left" vertical="center"/>
    </xf>
    <xf numFmtId="0" fontId="3" fillId="3" borderId="6" xfId="0" applyFont="1" applyFill="1" applyBorder="1" applyAlignment="1" applyProtection="1">
      <alignment vertical="center"/>
    </xf>
    <xf numFmtId="3" fontId="3" fillId="3" borderId="3" xfId="0" applyNumberFormat="1" applyFont="1" applyFill="1" applyBorder="1" applyAlignment="1" applyProtection="1">
      <alignment vertical="center"/>
    </xf>
    <xf numFmtId="0" fontId="3" fillId="2" borderId="3" xfId="0" applyFont="1" applyFill="1" applyBorder="1" applyAlignment="1" applyProtection="1">
      <alignment vertical="center"/>
      <protection locked="0"/>
    </xf>
    <xf numFmtId="164" fontId="3" fillId="4" borderId="3" xfId="0" applyNumberFormat="1" applyFont="1" applyFill="1" applyBorder="1" applyAlignment="1" applyProtection="1">
      <alignment vertical="center"/>
      <protection locked="0"/>
    </xf>
    <xf numFmtId="164" fontId="3" fillId="7" borderId="7" xfId="0" applyNumberFormat="1" applyFont="1" applyFill="1" applyBorder="1" applyAlignment="1" applyProtection="1">
      <alignment vertical="center"/>
    </xf>
    <xf numFmtId="37" fontId="3" fillId="5" borderId="0" xfId="0" applyNumberFormat="1" applyFont="1" applyFill="1" applyAlignment="1" applyProtection="1">
      <alignment horizontal="left" vertical="center"/>
    </xf>
    <xf numFmtId="3" fontId="3" fillId="4" borderId="1" xfId="0" applyNumberFormat="1" applyFont="1" applyFill="1" applyBorder="1" applyAlignment="1" applyProtection="1">
      <alignment vertical="center"/>
      <protection locked="0"/>
    </xf>
    <xf numFmtId="3" fontId="3" fillId="4" borderId="2" xfId="0" applyNumberFormat="1" applyFont="1" applyFill="1" applyBorder="1" applyAlignment="1" applyProtection="1">
      <alignment vertical="center"/>
      <protection locked="0"/>
    </xf>
    <xf numFmtId="0" fontId="3" fillId="3" borderId="0" xfId="0" applyFont="1" applyFill="1" applyAlignment="1" applyProtection="1">
      <alignment vertical="center"/>
      <protection locked="0"/>
    </xf>
    <xf numFmtId="3" fontId="3" fillId="2" borderId="3" xfId="0" applyNumberFormat="1" applyFont="1" applyFill="1" applyBorder="1" applyAlignment="1" applyProtection="1">
      <alignment vertical="center"/>
      <protection locked="0"/>
    </xf>
    <xf numFmtId="0" fontId="3" fillId="3" borderId="0" xfId="0" applyFont="1" applyFill="1" applyAlignment="1">
      <alignment vertical="center"/>
    </xf>
    <xf numFmtId="0" fontId="0" fillId="0" borderId="0" xfId="0" applyAlignment="1">
      <alignment vertical="center"/>
    </xf>
    <xf numFmtId="0" fontId="0" fillId="3" borderId="0" xfId="0" applyFill="1" applyAlignment="1">
      <alignment vertical="center"/>
    </xf>
    <xf numFmtId="0" fontId="4" fillId="8" borderId="0" xfId="0" applyFont="1" applyFill="1" applyAlignment="1" applyProtection="1">
      <alignment horizontal="left" vertical="center"/>
    </xf>
    <xf numFmtId="0" fontId="3" fillId="8" borderId="0" xfId="0" applyFont="1" applyFill="1" applyAlignment="1" applyProtection="1">
      <alignment vertical="center"/>
    </xf>
    <xf numFmtId="37" fontId="3" fillId="3" borderId="1" xfId="0" applyNumberFormat="1" applyFont="1" applyFill="1" applyBorder="1" applyAlignment="1" applyProtection="1">
      <alignment horizontal="left" vertical="center"/>
    </xf>
    <xf numFmtId="37" fontId="3" fillId="3" borderId="2" xfId="0" applyNumberFormat="1" applyFont="1" applyFill="1" applyBorder="1" applyAlignment="1" applyProtection="1">
      <alignment horizontal="left" vertical="center"/>
    </xf>
    <xf numFmtId="0" fontId="3" fillId="3" borderId="2" xfId="0" applyFont="1" applyFill="1" applyBorder="1" applyAlignment="1" applyProtection="1">
      <alignment vertical="center"/>
    </xf>
    <xf numFmtId="37" fontId="3" fillId="2" borderId="2" xfId="0" applyNumberFormat="1" applyFont="1" applyFill="1" applyBorder="1" applyAlignment="1" applyProtection="1">
      <alignment vertical="center"/>
      <protection locked="0"/>
    </xf>
    <xf numFmtId="0" fontId="3" fillId="3" borderId="0" xfId="0" applyFont="1" applyFill="1" applyBorder="1" applyAlignment="1" applyProtection="1">
      <alignment vertical="center"/>
    </xf>
    <xf numFmtId="37" fontId="3" fillId="3" borderId="0"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3" fontId="3"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4" fontId="3" fillId="2" borderId="1" xfId="0" applyNumberFormat="1" applyFont="1" applyFill="1" applyBorder="1" applyAlignment="1" applyProtection="1">
      <alignment vertical="center"/>
      <protection locked="0"/>
    </xf>
    <xf numFmtId="174" fontId="3" fillId="2" borderId="2" xfId="0" applyNumberFormat="1" applyFont="1" applyFill="1" applyBorder="1" applyAlignment="1" applyProtection="1">
      <alignment vertical="center"/>
      <protection locked="0"/>
    </xf>
    <xf numFmtId="174" fontId="3" fillId="2" borderId="9" xfId="0" applyNumberFormat="1" applyFont="1" applyFill="1" applyBorder="1" applyAlignment="1" applyProtection="1">
      <alignment vertical="center"/>
      <protection locked="0"/>
    </xf>
    <xf numFmtId="0" fontId="0" fillId="3" borderId="0" xfId="0" applyFill="1" applyAlignment="1" applyProtection="1">
      <alignment vertical="center"/>
    </xf>
    <xf numFmtId="0" fontId="0" fillId="3" borderId="6" xfId="0" applyFill="1" applyBorder="1" applyAlignment="1" applyProtection="1">
      <alignment vertical="center"/>
    </xf>
    <xf numFmtId="174" fontId="3" fillId="7" borderId="3" xfId="0" applyNumberFormat="1" applyFont="1" applyFill="1" applyBorder="1" applyAlignment="1" applyProtection="1">
      <alignment vertical="center"/>
    </xf>
    <xf numFmtId="0" fontId="0" fillId="3" borderId="1" xfId="0" applyFill="1" applyBorder="1" applyAlignment="1" applyProtection="1">
      <alignment vertical="center"/>
    </xf>
    <xf numFmtId="37" fontId="4" fillId="5" borderId="0" xfId="0" applyNumberFormat="1" applyFont="1" applyFill="1" applyAlignment="1" applyProtection="1">
      <alignment horizontal="left" vertical="center"/>
    </xf>
    <xf numFmtId="3" fontId="3" fillId="5" borderId="0" xfId="0" applyNumberFormat="1" applyFont="1" applyFill="1" applyAlignment="1" applyProtection="1">
      <alignment vertical="center"/>
    </xf>
    <xf numFmtId="3" fontId="3" fillId="3" borderId="6" xfId="0" applyNumberFormat="1" applyFont="1" applyFill="1" applyBorder="1" applyAlignment="1" applyProtection="1">
      <alignment vertical="center"/>
    </xf>
    <xf numFmtId="3" fontId="3" fillId="3" borderId="8"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xf>
    <xf numFmtId="37" fontId="3" fillId="3" borderId="0" xfId="0" applyNumberFormat="1" applyFont="1" applyFill="1" applyBorder="1" applyAlignment="1" applyProtection="1">
      <alignment horizontal="left" vertical="center"/>
    </xf>
    <xf numFmtId="174" fontId="3" fillId="2" borderId="3" xfId="0" applyNumberFormat="1" applyFont="1" applyFill="1" applyBorder="1" applyAlignment="1" applyProtection="1">
      <alignment vertical="center"/>
      <protection locked="0"/>
    </xf>
    <xf numFmtId="37" fontId="3" fillId="9" borderId="0" xfId="0" applyNumberFormat="1" applyFont="1" applyFill="1" applyBorder="1" applyAlignment="1" applyProtection="1">
      <alignment horizontal="left" vertical="center"/>
    </xf>
    <xf numFmtId="0" fontId="3" fillId="9" borderId="0" xfId="0" applyFont="1" applyFill="1" applyBorder="1" applyAlignment="1" applyProtection="1">
      <alignment vertical="center"/>
    </xf>
    <xf numFmtId="173" fontId="3" fillId="9" borderId="0" xfId="0" applyNumberFormat="1" applyFont="1" applyFill="1" applyBorder="1" applyAlignment="1" applyProtection="1">
      <alignment vertical="center"/>
      <protection locked="0"/>
    </xf>
    <xf numFmtId="0" fontId="3" fillId="8" borderId="4" xfId="0" applyFont="1" applyFill="1" applyBorder="1" applyAlignment="1">
      <alignment horizontal="center" vertical="center"/>
    </xf>
    <xf numFmtId="0" fontId="3" fillId="8" borderId="5" xfId="0" applyFont="1" applyFill="1" applyBorder="1" applyAlignment="1">
      <alignment horizontal="center" vertical="center"/>
    </xf>
    <xf numFmtId="0" fontId="21" fillId="3" borderId="0" xfId="0" applyFont="1" applyFill="1" applyAlignment="1">
      <alignment vertical="center"/>
    </xf>
    <xf numFmtId="0" fontId="22" fillId="3" borderId="0" xfId="0" applyFont="1" applyFill="1" applyAlignment="1">
      <alignment vertical="center"/>
    </xf>
    <xf numFmtId="37" fontId="3" fillId="3" borderId="3" xfId="0" applyNumberFormat="1" applyFont="1" applyFill="1" applyBorder="1" applyAlignment="1">
      <alignment vertical="center"/>
    </xf>
    <xf numFmtId="0" fontId="3" fillId="0" borderId="0" xfId="0" applyFont="1" applyAlignment="1">
      <alignment vertical="center"/>
    </xf>
    <xf numFmtId="0" fontId="4" fillId="3" borderId="0" xfId="0" applyFont="1" applyFill="1" applyAlignment="1" applyProtection="1">
      <alignment horizontal="center" vertical="center"/>
    </xf>
    <xf numFmtId="37" fontId="3" fillId="3" borderId="0" xfId="0" applyNumberFormat="1" applyFont="1" applyFill="1" applyAlignment="1" applyProtection="1">
      <alignment horizontal="centerContinuous" vertical="center"/>
    </xf>
    <xf numFmtId="0" fontId="3" fillId="3" borderId="0" xfId="0" applyFont="1" applyFill="1" applyAlignment="1" applyProtection="1">
      <alignment horizontal="fill" vertical="center"/>
    </xf>
    <xf numFmtId="0" fontId="3" fillId="3" borderId="0" xfId="0" applyFont="1" applyFill="1" applyBorder="1" applyAlignment="1" applyProtection="1">
      <alignment horizontal="fill" vertical="center"/>
    </xf>
    <xf numFmtId="0" fontId="3" fillId="3" borderId="10" xfId="0" applyFont="1" applyFill="1" applyBorder="1" applyAlignment="1" applyProtection="1">
      <alignment horizontal="left" vertical="center"/>
    </xf>
    <xf numFmtId="0" fontId="3" fillId="3" borderId="4"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0" borderId="0" xfId="0" applyFont="1" applyAlignment="1">
      <alignment horizontal="center" vertical="center"/>
    </xf>
    <xf numFmtId="0" fontId="3" fillId="3" borderId="10" xfId="0" applyFont="1" applyFill="1" applyBorder="1" applyAlignment="1" applyProtection="1">
      <alignment horizontal="center" vertical="center"/>
    </xf>
    <xf numFmtId="0" fontId="3" fillId="3" borderId="1" xfId="0" applyFont="1" applyFill="1" applyBorder="1" applyAlignment="1" applyProtection="1">
      <alignment horizontal="fill" vertical="center"/>
    </xf>
    <xf numFmtId="0" fontId="3" fillId="3" borderId="5" xfId="0" applyFont="1" applyFill="1" applyBorder="1" applyAlignment="1" applyProtection="1">
      <alignment horizontal="fill" vertical="center"/>
    </xf>
    <xf numFmtId="0" fontId="3" fillId="3" borderId="6" xfId="0" applyFont="1" applyFill="1" applyBorder="1" applyAlignment="1" applyProtection="1">
      <alignment horizontal="fill" vertical="center" wrapText="1"/>
    </xf>
    <xf numFmtId="0" fontId="3" fillId="3" borderId="6" xfId="0" applyFont="1" applyFill="1" applyBorder="1" applyAlignment="1" applyProtection="1">
      <alignment horizontal="fill" vertical="center"/>
    </xf>
    <xf numFmtId="0" fontId="3" fillId="3" borderId="12" xfId="0" applyFont="1" applyFill="1" applyBorder="1" applyAlignment="1" applyProtection="1">
      <alignment horizontal="fill" vertical="center"/>
    </xf>
    <xf numFmtId="0" fontId="3" fillId="3" borderId="3" xfId="0" applyFont="1" applyFill="1" applyBorder="1" applyAlignment="1" applyProtection="1">
      <alignment horizontal="center" vertical="center"/>
    </xf>
    <xf numFmtId="0" fontId="3" fillId="3" borderId="11" xfId="0" applyFont="1" applyFill="1" applyBorder="1" applyAlignment="1" applyProtection="1">
      <alignment horizontal="fill" vertical="center"/>
    </xf>
    <xf numFmtId="37" fontId="3" fillId="3" borderId="12" xfId="0" applyNumberFormat="1" applyFont="1" applyFill="1" applyBorder="1" applyAlignment="1" applyProtection="1">
      <alignment horizontal="left" vertical="center"/>
    </xf>
    <xf numFmtId="0" fontId="3" fillId="3" borderId="5" xfId="0" applyFont="1" applyFill="1" applyBorder="1" applyAlignment="1" applyProtection="1">
      <alignment horizontal="center" vertical="center"/>
    </xf>
    <xf numFmtId="0" fontId="17" fillId="3" borderId="12" xfId="0" applyFont="1" applyFill="1" applyBorder="1" applyAlignment="1" applyProtection="1">
      <alignment horizontal="left" vertical="center"/>
    </xf>
    <xf numFmtId="0" fontId="3" fillId="3" borderId="8" xfId="0" applyFont="1" applyFill="1" applyBorder="1" applyAlignment="1" applyProtection="1">
      <alignment vertical="center"/>
    </xf>
    <xf numFmtId="0" fontId="17" fillId="3" borderId="3" xfId="0" applyFont="1" applyFill="1" applyBorder="1" applyAlignment="1" applyProtection="1">
      <alignment horizontal="center" vertical="center"/>
    </xf>
    <xf numFmtId="0" fontId="3" fillId="3" borderId="13" xfId="0" applyFont="1" applyFill="1" applyBorder="1" applyAlignment="1" applyProtection="1">
      <alignment vertical="center"/>
    </xf>
    <xf numFmtId="0" fontId="3" fillId="3" borderId="12" xfId="0" applyFont="1" applyFill="1" applyBorder="1" applyAlignment="1" applyProtection="1">
      <alignment horizontal="left" vertical="center"/>
    </xf>
    <xf numFmtId="3" fontId="3" fillId="3" borderId="3" xfId="0" applyNumberFormat="1" applyFont="1" applyFill="1" applyBorder="1" applyAlignment="1" applyProtection="1">
      <alignment horizontal="center" vertical="center"/>
    </xf>
    <xf numFmtId="3" fontId="3" fillId="3" borderId="5" xfId="0" applyNumberFormat="1" applyFont="1" applyFill="1" applyBorder="1" applyAlignment="1" applyProtection="1">
      <alignment vertical="center"/>
    </xf>
    <xf numFmtId="164" fontId="3" fillId="3" borderId="3" xfId="0" applyNumberFormat="1" applyFont="1" applyFill="1" applyBorder="1" applyAlignment="1" applyProtection="1">
      <alignment vertical="center"/>
    </xf>
    <xf numFmtId="0" fontId="3" fillId="3" borderId="12" xfId="0" applyFont="1" applyFill="1" applyBorder="1" applyAlignment="1" applyProtection="1">
      <alignment vertical="center"/>
    </xf>
    <xf numFmtId="0" fontId="3" fillId="3" borderId="8" xfId="0" applyFont="1" applyFill="1" applyBorder="1" applyAlignment="1" applyProtection="1">
      <alignment horizontal="center" vertical="center"/>
    </xf>
    <xf numFmtId="37" fontId="3" fillId="3" borderId="3" xfId="0" applyNumberFormat="1" applyFont="1" applyFill="1" applyBorder="1" applyAlignment="1" applyProtection="1">
      <alignment vertical="center"/>
    </xf>
    <xf numFmtId="0" fontId="3" fillId="3" borderId="14" xfId="0" applyFont="1" applyFill="1" applyBorder="1" applyAlignment="1" applyProtection="1">
      <alignment vertical="center"/>
    </xf>
    <xf numFmtId="0" fontId="3" fillId="3" borderId="9" xfId="0" applyFont="1" applyFill="1" applyBorder="1" applyAlignment="1" applyProtection="1">
      <alignment vertical="center"/>
    </xf>
    <xf numFmtId="3" fontId="3" fillId="3" borderId="4" xfId="0" applyNumberFormat="1" applyFont="1" applyFill="1" applyBorder="1" applyAlignment="1" applyProtection="1">
      <alignment vertical="center"/>
    </xf>
    <xf numFmtId="37" fontId="3" fillId="3" borderId="4" xfId="0" applyNumberFormat="1" applyFont="1" applyFill="1" applyBorder="1" applyAlignment="1" applyProtection="1">
      <alignment vertical="center"/>
    </xf>
    <xf numFmtId="164" fontId="3" fillId="3" borderId="4" xfId="0" applyNumberFormat="1" applyFont="1" applyFill="1" applyBorder="1" applyAlignment="1" applyProtection="1">
      <alignment vertical="center"/>
    </xf>
    <xf numFmtId="0" fontId="4" fillId="3" borderId="12" xfId="0" applyFont="1" applyFill="1" applyBorder="1" applyAlignment="1" applyProtection="1">
      <alignment horizontal="left" vertical="center"/>
    </xf>
    <xf numFmtId="0" fontId="3" fillId="3" borderId="3" xfId="0" applyFont="1" applyFill="1" applyBorder="1" applyAlignment="1" applyProtection="1">
      <alignment horizontal="fill" vertical="center"/>
    </xf>
    <xf numFmtId="3" fontId="3" fillId="7" borderId="7" xfId="0" applyNumberFormat="1" applyFont="1" applyFill="1" applyBorder="1" applyAlignment="1" applyProtection="1">
      <alignment vertical="center"/>
    </xf>
    <xf numFmtId="37" fontId="3" fillId="7" borderId="7" xfId="0" applyNumberFormat="1" applyFont="1" applyFill="1" applyBorder="1" applyAlignment="1" applyProtection="1">
      <alignment vertical="center"/>
    </xf>
    <xf numFmtId="165" fontId="3" fillId="3" borderId="3" xfId="0" applyNumberFormat="1" applyFont="1" applyFill="1" applyBorder="1" applyAlignment="1" applyProtection="1">
      <alignment horizontal="center" vertical="center"/>
    </xf>
    <xf numFmtId="0" fontId="7" fillId="3" borderId="0" xfId="0" applyFont="1" applyFill="1" applyAlignment="1" applyProtection="1">
      <alignment horizontal="center" vertical="center"/>
    </xf>
    <xf numFmtId="0" fontId="0" fillId="3" borderId="2" xfId="0" applyFill="1" applyBorder="1" applyAlignment="1">
      <alignment vertical="center"/>
    </xf>
    <xf numFmtId="0" fontId="0" fillId="3" borderId="8" xfId="0" applyFill="1" applyBorder="1" applyAlignment="1">
      <alignment vertical="center"/>
    </xf>
    <xf numFmtId="0" fontId="3" fillId="10" borderId="3" xfId="0" applyFont="1" applyFill="1" applyBorder="1" applyAlignment="1">
      <alignment horizontal="center" vertical="center" shrinkToFit="1"/>
    </xf>
    <xf numFmtId="0" fontId="3" fillId="3" borderId="2" xfId="0" applyFont="1" applyFill="1" applyBorder="1" applyAlignment="1">
      <alignment vertical="center"/>
    </xf>
    <xf numFmtId="165" fontId="3" fillId="3" borderId="0" xfId="0" applyNumberFormat="1" applyFont="1" applyFill="1" applyBorder="1" applyAlignment="1" applyProtection="1">
      <alignment vertical="center"/>
    </xf>
    <xf numFmtId="0" fontId="3" fillId="3" borderId="0" xfId="0" applyFont="1" applyFill="1" applyAlignment="1" applyProtection="1">
      <alignment horizontal="right" vertical="center"/>
    </xf>
    <xf numFmtId="169" fontId="3" fillId="3" borderId="0" xfId="1" applyNumberFormat="1" applyFont="1" applyFill="1" applyBorder="1" applyAlignment="1" applyProtection="1">
      <alignment vertical="center"/>
      <protection locked="0"/>
    </xf>
    <xf numFmtId="169" fontId="3" fillId="2" borderId="3" xfId="1" applyNumberFormat="1" applyFont="1" applyFill="1" applyBorder="1" applyAlignment="1" applyProtection="1">
      <alignment vertical="center"/>
      <protection locked="0"/>
    </xf>
    <xf numFmtId="0" fontId="3" fillId="3" borderId="0" xfId="0" applyFont="1" applyFill="1" applyBorder="1" applyAlignment="1" applyProtection="1">
      <alignment horizontal="right" vertical="center"/>
    </xf>
    <xf numFmtId="0" fontId="0" fillId="3" borderId="0" xfId="0" applyFill="1" applyAlignment="1">
      <alignment horizontal="center" vertical="center" wrapText="1"/>
    </xf>
    <xf numFmtId="0" fontId="3" fillId="3" borderId="0" xfId="0" applyFont="1" applyFill="1" applyBorder="1" applyAlignment="1" applyProtection="1">
      <alignment vertical="center"/>
      <protection locked="0"/>
    </xf>
    <xf numFmtId="0" fontId="3" fillId="3" borderId="1" xfId="0" applyFont="1" applyFill="1" applyBorder="1" applyAlignment="1" applyProtection="1">
      <alignment horizontal="fill"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xf>
    <xf numFmtId="0" fontId="4" fillId="3" borderId="0" xfId="0" applyFont="1" applyFill="1" applyAlignment="1" applyProtection="1">
      <alignment horizontal="center" vertical="center" wrapText="1"/>
    </xf>
    <xf numFmtId="0" fontId="3" fillId="3" borderId="0" xfId="0" quotePrefix="1" applyFont="1" applyFill="1" applyAlignment="1" applyProtection="1">
      <alignment vertical="center"/>
    </xf>
    <xf numFmtId="3" fontId="3" fillId="3" borderId="0" xfId="0" quotePrefix="1" applyNumberFormat="1" applyFont="1" applyFill="1" applyAlignment="1" applyProtection="1">
      <alignment vertical="center"/>
    </xf>
    <xf numFmtId="3" fontId="3" fillId="7" borderId="2" xfId="0" applyNumberFormat="1" applyFont="1" applyFill="1" applyBorder="1" applyAlignment="1" applyProtection="1">
      <alignment vertical="center"/>
    </xf>
    <xf numFmtId="3" fontId="3" fillId="3" borderId="1" xfId="0" applyNumberFormat="1" applyFont="1" applyFill="1" applyBorder="1" applyAlignment="1" applyProtection="1">
      <alignment vertical="center"/>
    </xf>
    <xf numFmtId="3" fontId="3" fillId="3" borderId="0" xfId="0" applyNumberFormat="1" applyFont="1" applyFill="1" applyBorder="1" applyAlignment="1" applyProtection="1">
      <alignment vertical="center"/>
    </xf>
    <xf numFmtId="3" fontId="3" fillId="3" borderId="9" xfId="0" applyNumberFormat="1" applyFont="1" applyFill="1" applyBorder="1" applyAlignment="1" applyProtection="1">
      <alignment vertical="center"/>
    </xf>
    <xf numFmtId="168" fontId="3" fillId="3" borderId="1" xfId="0" applyNumberFormat="1" applyFont="1" applyFill="1" applyBorder="1" applyAlignment="1" applyProtection="1">
      <alignment vertical="center"/>
    </xf>
    <xf numFmtId="0" fontId="3" fillId="3" borderId="0" xfId="0" quotePrefix="1" applyFont="1" applyFill="1" applyBorder="1" applyAlignment="1" applyProtection="1">
      <alignment vertical="center"/>
    </xf>
    <xf numFmtId="3" fontId="3" fillId="3" borderId="15" xfId="0" applyNumberFormat="1" applyFont="1" applyFill="1" applyBorder="1" applyAlignment="1" applyProtection="1">
      <alignment vertical="center"/>
    </xf>
    <xf numFmtId="0" fontId="3" fillId="3" borderId="1" xfId="1" applyNumberFormat="1" applyFont="1" applyFill="1" applyBorder="1" applyAlignment="1" applyProtection="1">
      <alignment vertical="center"/>
    </xf>
    <xf numFmtId="37" fontId="3" fillId="3" borderId="0" xfId="0" applyNumberFormat="1" applyFont="1" applyFill="1" applyAlignment="1" applyProtection="1">
      <alignment horizontal="right" vertical="center"/>
    </xf>
    <xf numFmtId="37" fontId="3" fillId="3" borderId="0" xfId="0" applyNumberFormat="1" applyFont="1" applyFill="1" applyAlignment="1" applyProtection="1">
      <alignment vertical="center"/>
    </xf>
    <xf numFmtId="37" fontId="4" fillId="3" borderId="0" xfId="0" applyNumberFormat="1"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37" fontId="3" fillId="3" borderId="1" xfId="0" applyNumberFormat="1" applyFont="1" applyFill="1" applyBorder="1" applyAlignment="1" applyProtection="1">
      <alignment vertical="center"/>
    </xf>
    <xf numFmtId="166" fontId="3" fillId="7" borderId="1" xfId="0" applyNumberFormat="1" applyFont="1" applyFill="1" applyBorder="1" applyAlignment="1" applyProtection="1">
      <alignment vertical="center"/>
    </xf>
    <xf numFmtId="166" fontId="3" fillId="3" borderId="0" xfId="0" applyNumberFormat="1" applyFont="1" applyFill="1" applyBorder="1" applyAlignment="1" applyProtection="1">
      <alignment vertical="center"/>
    </xf>
    <xf numFmtId="167" fontId="3" fillId="7" borderId="1" xfId="0" applyNumberFormat="1" applyFont="1" applyFill="1" applyBorder="1" applyAlignment="1" applyProtection="1">
      <alignment vertical="center"/>
    </xf>
    <xf numFmtId="167" fontId="3" fillId="3" borderId="0" xfId="0" applyNumberFormat="1" applyFont="1" applyFill="1" applyBorder="1" applyAlignment="1" applyProtection="1">
      <alignment vertical="center"/>
    </xf>
    <xf numFmtId="0" fontId="3" fillId="0" borderId="0" xfId="0" applyFont="1" applyFill="1" applyAlignment="1" applyProtection="1">
      <alignment vertical="center"/>
      <protection locked="0"/>
    </xf>
    <xf numFmtId="37" fontId="3" fillId="3" borderId="0" xfId="0" applyNumberFormat="1" applyFont="1" applyFill="1" applyAlignment="1">
      <alignment vertical="center"/>
    </xf>
    <xf numFmtId="0" fontId="4" fillId="3" borderId="1"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1" fontId="3" fillId="3" borderId="5" xfId="0" applyNumberFormat="1" applyFont="1" applyFill="1" applyBorder="1" applyAlignment="1" applyProtection="1">
      <alignment horizontal="center" vertical="center"/>
    </xf>
    <xf numFmtId="0" fontId="3" fillId="0" borderId="0" xfId="0" applyFont="1" applyAlignment="1" applyProtection="1">
      <alignment horizontal="center" vertical="center"/>
      <protection locked="0"/>
    </xf>
    <xf numFmtId="0" fontId="3" fillId="2" borderId="5" xfId="0" applyFont="1" applyFill="1" applyBorder="1" applyAlignment="1" applyProtection="1">
      <alignment vertical="center"/>
      <protection locked="0"/>
    </xf>
    <xf numFmtId="169" fontId="3" fillId="2" borderId="5" xfId="1" applyNumberFormat="1"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0" fontId="4" fillId="3" borderId="3" xfId="0" applyFont="1" applyFill="1" applyBorder="1" applyAlignment="1" applyProtection="1">
      <alignment horizontal="center" vertical="center"/>
    </xf>
    <xf numFmtId="3" fontId="3" fillId="7" borderId="3" xfId="0" applyNumberFormat="1" applyFont="1" applyFill="1" applyBorder="1" applyAlignment="1" applyProtection="1">
      <alignment horizontal="right" vertical="center"/>
    </xf>
    <xf numFmtId="0" fontId="3" fillId="3" borderId="0" xfId="0" applyFont="1" applyFill="1" applyAlignment="1" applyProtection="1">
      <alignment horizontal="center" vertical="center"/>
      <protection locked="0"/>
    </xf>
    <xf numFmtId="37" fontId="4" fillId="3" borderId="3" xfId="0" applyNumberFormat="1" applyFont="1" applyFill="1" applyBorder="1" applyAlignment="1" applyProtection="1">
      <alignment horizontal="center" vertical="center"/>
    </xf>
    <xf numFmtId="0" fontId="3" fillId="3" borderId="3" xfId="0" applyFont="1" applyFill="1" applyBorder="1" applyAlignment="1" applyProtection="1">
      <alignment horizontal="right" vertical="center"/>
    </xf>
    <xf numFmtId="0" fontId="3" fillId="2" borderId="3" xfId="0" applyFont="1" applyFill="1" applyBorder="1" applyAlignment="1" applyProtection="1">
      <alignment horizontal="right" vertical="center"/>
      <protection locked="0"/>
    </xf>
    <xf numFmtId="0" fontId="3" fillId="9" borderId="0" xfId="0" applyFont="1" applyFill="1" applyAlignment="1" applyProtection="1">
      <alignment vertical="center"/>
      <protection locked="0"/>
    </xf>
    <xf numFmtId="0" fontId="3" fillId="3" borderId="0" xfId="0" applyNumberFormat="1" applyFont="1" applyFill="1" applyAlignment="1" applyProtection="1">
      <alignment horizontal="right" vertical="center"/>
    </xf>
    <xf numFmtId="0" fontId="4" fillId="3" borderId="0" xfId="390" applyFont="1" applyFill="1" applyAlignment="1" applyProtection="1">
      <alignment horizontal="centerContinuous" vertical="center"/>
    </xf>
    <xf numFmtId="0" fontId="3" fillId="3" borderId="0" xfId="389" applyFont="1" applyFill="1" applyAlignment="1" applyProtection="1">
      <alignment horizontal="centerContinuous" vertical="center"/>
    </xf>
    <xf numFmtId="0" fontId="3" fillId="0" borderId="0" xfId="389" applyFont="1" applyAlignment="1" applyProtection="1">
      <alignment vertical="center"/>
      <protection locked="0"/>
    </xf>
    <xf numFmtId="0" fontId="3" fillId="3" borderId="0" xfId="389" applyFont="1" applyFill="1" applyAlignment="1" applyProtection="1">
      <alignment vertical="center"/>
    </xf>
    <xf numFmtId="0" fontId="3" fillId="3" borderId="14" xfId="0" applyFont="1" applyFill="1" applyBorder="1" applyAlignment="1" applyProtection="1">
      <alignment horizontal="centerContinuous" vertical="center"/>
    </xf>
    <xf numFmtId="0" fontId="3" fillId="3" borderId="16" xfId="0" applyFont="1" applyFill="1" applyBorder="1" applyAlignment="1" applyProtection="1">
      <alignment horizontal="centerContinuous" vertical="center"/>
    </xf>
    <xf numFmtId="0" fontId="3" fillId="3" borderId="13" xfId="0" applyFont="1" applyFill="1" applyBorder="1" applyAlignment="1" applyProtection="1">
      <alignment horizontal="centerContinuous" vertical="center"/>
    </xf>
    <xf numFmtId="0" fontId="3" fillId="3" borderId="6" xfId="0" applyFont="1" applyFill="1" applyBorder="1" applyAlignment="1" applyProtection="1">
      <alignment horizontal="centerContinuous" vertical="center"/>
    </xf>
    <xf numFmtId="0" fontId="3" fillId="3" borderId="6" xfId="0" applyFont="1" applyFill="1" applyBorder="1" applyAlignment="1" applyProtection="1">
      <alignment horizontal="left" vertical="center"/>
    </xf>
    <xf numFmtId="14" fontId="3" fillId="3" borderId="5" xfId="0" quotePrefix="1" applyNumberFormat="1" applyFont="1" applyFill="1" applyBorder="1" applyAlignment="1" applyProtection="1">
      <alignment horizontal="center" vertical="center"/>
    </xf>
    <xf numFmtId="170" fontId="3" fillId="3" borderId="3" xfId="0" applyNumberFormat="1" applyFont="1" applyFill="1" applyBorder="1" applyAlignment="1" applyProtection="1">
      <alignment horizontal="left" vertical="center"/>
    </xf>
    <xf numFmtId="171" fontId="3" fillId="3" borderId="3" xfId="0" applyNumberFormat="1" applyFont="1" applyFill="1" applyBorder="1" applyAlignment="1" applyProtection="1">
      <alignment horizontal="left" vertical="center"/>
    </xf>
    <xf numFmtId="0" fontId="3" fillId="2" borderId="3" xfId="0" applyFont="1" applyFill="1" applyBorder="1" applyAlignment="1" applyProtection="1">
      <alignment horizontal="left" vertical="center"/>
      <protection locked="0"/>
    </xf>
    <xf numFmtId="171" fontId="3" fillId="2" borderId="3" xfId="0" applyNumberFormat="1" applyFont="1" applyFill="1" applyBorder="1" applyAlignment="1" applyProtection="1">
      <alignment horizontal="left" vertical="center"/>
      <protection locked="0"/>
    </xf>
    <xf numFmtId="2" fontId="3" fillId="4" borderId="3" xfId="0" applyNumberFormat="1" applyFont="1" applyFill="1" applyBorder="1" applyAlignment="1" applyProtection="1">
      <alignment vertical="center"/>
      <protection locked="0"/>
    </xf>
    <xf numFmtId="171" fontId="3" fillId="4" borderId="3" xfId="0" applyNumberFormat="1" applyFont="1" applyFill="1" applyBorder="1" applyAlignment="1" applyProtection="1">
      <alignment vertical="center"/>
      <protection locked="0"/>
    </xf>
    <xf numFmtId="37" fontId="3" fillId="4" borderId="3" xfId="0" applyNumberFormat="1"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170" fontId="3" fillId="3" borderId="3" xfId="0" applyNumberFormat="1" applyFont="1" applyFill="1" applyBorder="1" applyAlignment="1" applyProtection="1">
      <alignment vertical="center"/>
      <protection locked="0"/>
    </xf>
    <xf numFmtId="2" fontId="3" fillId="3" borderId="3" xfId="0" applyNumberFormat="1" applyFont="1" applyFill="1" applyBorder="1" applyAlignment="1" applyProtection="1">
      <alignment vertical="center"/>
      <protection locked="0"/>
    </xf>
    <xf numFmtId="3" fontId="3" fillId="3" borderId="3" xfId="0" applyNumberFormat="1" applyFont="1" applyFill="1" applyBorder="1" applyAlignment="1" applyProtection="1">
      <alignment vertical="center"/>
      <protection locked="0"/>
    </xf>
    <xf numFmtId="37" fontId="3" fillId="7" borderId="3" xfId="0" applyNumberFormat="1" applyFont="1" applyFill="1" applyBorder="1" applyAlignment="1" applyProtection="1">
      <alignment vertical="center"/>
    </xf>
    <xf numFmtId="171" fontId="3" fillId="3" borderId="3" xfId="0" applyNumberFormat="1" applyFont="1" applyFill="1" applyBorder="1" applyAlignment="1" applyProtection="1">
      <alignment vertical="center"/>
    </xf>
    <xf numFmtId="170" fontId="3" fillId="3" borderId="3" xfId="0" applyNumberFormat="1" applyFont="1" applyFill="1" applyBorder="1" applyAlignment="1" applyProtection="1">
      <alignment vertical="center"/>
    </xf>
    <xf numFmtId="2" fontId="3" fillId="3" borderId="3" xfId="0" applyNumberFormat="1" applyFont="1" applyFill="1" applyBorder="1" applyAlignment="1" applyProtection="1">
      <alignment vertical="center"/>
    </xf>
    <xf numFmtId="0" fontId="3" fillId="3" borderId="3" xfId="389" applyFont="1" applyFill="1" applyBorder="1" applyAlignment="1" applyProtection="1">
      <alignment horizontal="left" vertical="center"/>
    </xf>
    <xf numFmtId="0" fontId="3" fillId="3" borderId="14" xfId="389" applyFont="1" applyFill="1" applyBorder="1" applyAlignment="1" applyProtection="1">
      <alignment vertical="center"/>
    </xf>
    <xf numFmtId="0" fontId="3" fillId="3" borderId="9" xfId="389" applyFont="1" applyFill="1" applyBorder="1" applyAlignment="1" applyProtection="1">
      <alignment vertical="center"/>
    </xf>
    <xf numFmtId="3" fontId="3" fillId="3" borderId="16" xfId="389" applyNumberFormat="1" applyFont="1" applyFill="1" applyBorder="1" applyAlignment="1" applyProtection="1">
      <alignment vertical="center"/>
    </xf>
    <xf numFmtId="37" fontId="4" fillId="7" borderId="3" xfId="389" applyNumberFormat="1" applyFont="1" applyFill="1" applyBorder="1" applyAlignment="1" applyProtection="1">
      <alignment vertical="center"/>
    </xf>
    <xf numFmtId="0" fontId="3" fillId="3" borderId="16" xfId="389" applyFont="1" applyFill="1" applyBorder="1" applyAlignment="1" applyProtection="1">
      <alignment vertical="center"/>
    </xf>
    <xf numFmtId="0" fontId="3" fillId="3" borderId="0" xfId="390" applyFont="1" applyFill="1" applyAlignment="1" applyProtection="1">
      <alignment horizontal="centerContinuous" vertical="center"/>
    </xf>
    <xf numFmtId="0" fontId="3" fillId="3" borderId="0" xfId="390" applyFont="1" applyFill="1" applyAlignment="1" applyProtection="1">
      <alignment vertical="center"/>
    </xf>
    <xf numFmtId="0" fontId="3" fillId="0" borderId="0" xfId="390" applyFont="1" applyAlignment="1">
      <alignment vertical="center"/>
    </xf>
    <xf numFmtId="0" fontId="3" fillId="3" borderId="4" xfId="0" applyFont="1" applyFill="1" applyBorder="1" applyAlignment="1" applyProtection="1">
      <alignment vertical="center"/>
    </xf>
    <xf numFmtId="0" fontId="3" fillId="3" borderId="17" xfId="390" applyFont="1" applyFill="1" applyBorder="1" applyAlignment="1" applyProtection="1">
      <alignment vertical="center"/>
    </xf>
    <xf numFmtId="0" fontId="3" fillId="3" borderId="0" xfId="390" applyFont="1" applyFill="1" applyBorder="1" applyAlignment="1" applyProtection="1">
      <alignment vertical="center"/>
    </xf>
    <xf numFmtId="0" fontId="3" fillId="3" borderId="10" xfId="0" applyFont="1" applyFill="1" applyBorder="1" applyAlignment="1" applyProtection="1">
      <alignment vertical="center"/>
    </xf>
    <xf numFmtId="0" fontId="3" fillId="3" borderId="5" xfId="0" applyFont="1" applyFill="1" applyBorder="1" applyAlignment="1" applyProtection="1">
      <alignment horizontal="left" vertical="center"/>
    </xf>
    <xf numFmtId="0" fontId="6" fillId="3" borderId="5" xfId="0" applyFont="1" applyFill="1" applyBorder="1" applyAlignment="1" applyProtection="1">
      <alignment horizontal="center" vertical="center"/>
    </xf>
    <xf numFmtId="1" fontId="3" fillId="4" borderId="3" xfId="0" applyNumberFormat="1" applyFont="1" applyFill="1" applyBorder="1" applyAlignment="1" applyProtection="1">
      <alignment vertical="center"/>
      <protection locked="0"/>
    </xf>
    <xf numFmtId="0" fontId="3" fillId="3" borderId="3" xfId="389" applyFont="1" applyFill="1" applyBorder="1" applyAlignment="1" applyProtection="1">
      <alignment horizontal="left" vertical="center"/>
      <protection locked="0"/>
    </xf>
    <xf numFmtId="0" fontId="3" fillId="3" borderId="14" xfId="389" applyFont="1" applyFill="1" applyBorder="1" applyAlignment="1" applyProtection="1">
      <alignment vertical="center"/>
      <protection locked="0"/>
    </xf>
    <xf numFmtId="0" fontId="3" fillId="3" borderId="9" xfId="389" applyFont="1" applyFill="1" applyBorder="1" applyAlignment="1" applyProtection="1">
      <alignment vertical="center"/>
      <protection locked="0"/>
    </xf>
    <xf numFmtId="3" fontId="3" fillId="3" borderId="9" xfId="389" applyNumberFormat="1" applyFont="1" applyFill="1" applyBorder="1" applyAlignment="1" applyProtection="1">
      <alignment vertical="center"/>
      <protection locked="0"/>
    </xf>
    <xf numFmtId="3" fontId="4" fillId="3" borderId="3" xfId="389" applyNumberFormat="1" applyFont="1" applyFill="1" applyBorder="1" applyAlignment="1" applyProtection="1">
      <alignment vertical="center"/>
    </xf>
    <xf numFmtId="37" fontId="4" fillId="3" borderId="3" xfId="389" applyNumberFormat="1" applyFont="1" applyFill="1" applyBorder="1" applyAlignment="1" applyProtection="1">
      <alignment vertical="center"/>
    </xf>
    <xf numFmtId="0" fontId="3" fillId="9" borderId="0" xfId="389" applyFont="1" applyFill="1" applyAlignment="1" applyProtection="1">
      <alignment vertical="center"/>
      <protection locked="0"/>
    </xf>
    <xf numFmtId="165" fontId="3" fillId="3" borderId="0" xfId="0" applyNumberFormat="1" applyFont="1" applyFill="1" applyAlignment="1" applyProtection="1">
      <alignment vertical="center"/>
    </xf>
    <xf numFmtId="165" fontId="3" fillId="3" borderId="0" xfId="0" quotePrefix="1" applyNumberFormat="1" applyFont="1" applyFill="1" applyAlignment="1" applyProtection="1">
      <alignment horizontal="right" vertical="center"/>
    </xf>
    <xf numFmtId="37" fontId="3" fillId="3" borderId="4" xfId="0" applyNumberFormat="1" applyFont="1" applyFill="1" applyBorder="1" applyAlignment="1" applyProtection="1">
      <alignment horizontal="center" vertical="center"/>
    </xf>
    <xf numFmtId="0" fontId="3" fillId="3" borderId="5" xfId="0" applyNumberFormat="1" applyFont="1" applyFill="1" applyBorder="1" applyAlignment="1" applyProtection="1">
      <alignment horizontal="center" vertical="center"/>
    </xf>
    <xf numFmtId="3" fontId="3" fillId="4" borderId="8" xfId="0" applyNumberFormat="1" applyFont="1" applyFill="1" applyBorder="1" applyAlignment="1" applyProtection="1">
      <alignment vertical="center"/>
      <protection locked="0"/>
    </xf>
    <xf numFmtId="0" fontId="3" fillId="3" borderId="13" xfId="0" applyFont="1" applyFill="1" applyBorder="1" applyAlignment="1" applyProtection="1">
      <alignment horizontal="left" vertical="center"/>
    </xf>
    <xf numFmtId="37" fontId="3" fillId="3" borderId="12" xfId="0" applyNumberFormat="1" applyFont="1" applyFill="1" applyBorder="1" applyAlignment="1" applyProtection="1">
      <alignment vertical="center"/>
    </xf>
    <xf numFmtId="37" fontId="3" fillId="4" borderId="12" xfId="0" applyNumberFormat="1" applyFont="1" applyFill="1" applyBorder="1" applyAlignment="1" applyProtection="1">
      <alignment vertical="center"/>
      <protection locked="0"/>
    </xf>
    <xf numFmtId="0" fontId="3" fillId="2" borderId="12" xfId="0" applyFont="1" applyFill="1" applyBorder="1" applyAlignment="1" applyProtection="1">
      <alignment horizontal="left" vertical="center"/>
      <protection locked="0"/>
    </xf>
    <xf numFmtId="37" fontId="3" fillId="3" borderId="12" xfId="0" applyNumberFormat="1" applyFont="1" applyFill="1" applyBorder="1" applyAlignment="1" applyProtection="1">
      <alignment horizontal="left" vertical="center"/>
      <protection locked="0"/>
    </xf>
    <xf numFmtId="37" fontId="3" fillId="4" borderId="8" xfId="0" applyNumberFormat="1" applyFont="1" applyFill="1" applyBorder="1" applyAlignment="1" applyProtection="1">
      <alignment vertical="center"/>
      <protection locked="0"/>
    </xf>
    <xf numFmtId="3" fontId="21" fillId="10" borderId="8" xfId="0" applyNumberFormat="1" applyFont="1" applyFill="1" applyBorder="1" applyAlignment="1" applyProtection="1">
      <alignment horizontal="center" vertical="center"/>
    </xf>
    <xf numFmtId="37" fontId="4" fillId="3" borderId="12" xfId="0" applyNumberFormat="1" applyFont="1" applyFill="1" applyBorder="1" applyAlignment="1" applyProtection="1">
      <alignment horizontal="left" vertical="center"/>
    </xf>
    <xf numFmtId="3" fontId="4" fillId="7" borderId="3" xfId="0" applyNumberFormat="1" applyFont="1" applyFill="1" applyBorder="1" applyAlignment="1" applyProtection="1">
      <alignment vertical="center"/>
    </xf>
    <xf numFmtId="0" fontId="21" fillId="0" borderId="0" xfId="0" applyFont="1" applyAlignment="1">
      <alignment vertical="center"/>
    </xf>
    <xf numFmtId="0" fontId="18" fillId="3" borderId="0" xfId="0" applyFont="1" applyFill="1" applyAlignment="1" applyProtection="1">
      <alignment horizontal="center" vertical="center"/>
    </xf>
    <xf numFmtId="1" fontId="3" fillId="3" borderId="0" xfId="0" applyNumberFormat="1" applyFont="1" applyFill="1" applyBorder="1" applyAlignment="1" applyProtection="1">
      <alignment horizontal="right" vertical="center"/>
    </xf>
    <xf numFmtId="37" fontId="3" fillId="3" borderId="0" xfId="0" quotePrefix="1" applyNumberFormat="1" applyFont="1" applyFill="1" applyAlignment="1" applyProtection="1">
      <alignment horizontal="right" vertical="center"/>
    </xf>
    <xf numFmtId="37" fontId="3" fillId="3" borderId="0" xfId="0" applyNumberFormat="1" applyFont="1" applyFill="1" applyAlignment="1" applyProtection="1">
      <alignment horizontal="fill" vertical="center"/>
    </xf>
    <xf numFmtId="37" fontId="3" fillId="3" borderId="0" xfId="0" applyNumberFormat="1" applyFont="1" applyFill="1" applyBorder="1" applyAlignment="1" applyProtection="1">
      <alignment vertical="center"/>
    </xf>
    <xf numFmtId="3" fontId="3" fillId="3" borderId="3" xfId="1" applyNumberFormat="1" applyFont="1" applyFill="1" applyBorder="1" applyAlignment="1" applyProtection="1">
      <alignment horizontal="right" vertical="center"/>
    </xf>
    <xf numFmtId="37" fontId="3" fillId="3" borderId="13" xfId="0" applyNumberFormat="1" applyFont="1" applyFill="1" applyBorder="1" applyAlignment="1" applyProtection="1">
      <alignment horizontal="left" vertical="center"/>
    </xf>
    <xf numFmtId="3" fontId="3" fillId="3" borderId="3" xfId="0" applyNumberFormat="1" applyFont="1" applyFill="1" applyBorder="1" applyAlignment="1" applyProtection="1">
      <alignment horizontal="fill" vertical="center"/>
    </xf>
    <xf numFmtId="3" fontId="3" fillId="4" borderId="3" xfId="0" applyNumberFormat="1" applyFont="1" applyFill="1" applyBorder="1" applyAlignment="1" applyProtection="1">
      <alignment horizontal="right" vertical="center"/>
      <protection locked="0"/>
    </xf>
    <xf numFmtId="3" fontId="3" fillId="3" borderId="3" xfId="0" applyNumberFormat="1" applyFont="1" applyFill="1" applyBorder="1" applyAlignment="1" applyProtection="1">
      <alignment horizontal="right" vertical="center"/>
    </xf>
    <xf numFmtId="0" fontId="3" fillId="3" borderId="12" xfId="0" applyNumberFormat="1" applyFont="1" applyFill="1" applyBorder="1" applyAlignment="1" applyProtection="1">
      <alignment horizontal="left" vertical="center"/>
    </xf>
    <xf numFmtId="0" fontId="3" fillId="4" borderId="12" xfId="0" applyNumberFormat="1" applyFont="1" applyFill="1" applyBorder="1" applyAlignment="1" applyProtection="1">
      <alignment horizontal="left" vertical="center"/>
      <protection locked="0"/>
    </xf>
    <xf numFmtId="3" fontId="3" fillId="2" borderId="3" xfId="0" applyNumberFormat="1" applyFont="1" applyFill="1" applyBorder="1" applyAlignment="1" applyProtection="1">
      <alignment horizontal="right" vertical="center"/>
      <protection locked="0"/>
    </xf>
    <xf numFmtId="0" fontId="3" fillId="4" borderId="14" xfId="0" applyNumberFormat="1" applyFont="1" applyFill="1" applyBorder="1" applyAlignment="1" applyProtection="1">
      <alignment horizontal="left" vertical="center"/>
      <protection locked="0"/>
    </xf>
    <xf numFmtId="3" fontId="4" fillId="7" borderId="5" xfId="0" applyNumberFormat="1" applyFont="1" applyFill="1" applyBorder="1" applyAlignment="1" applyProtection="1">
      <alignment horizontal="right" vertical="center"/>
    </xf>
    <xf numFmtId="3" fontId="4" fillId="7" borderId="3" xfId="0" applyNumberFormat="1" applyFont="1" applyFill="1" applyBorder="1" applyAlignment="1" applyProtection="1">
      <alignment horizontal="right" vertical="center"/>
    </xf>
    <xf numFmtId="0" fontId="3" fillId="4" borderId="12" xfId="0" applyFont="1" applyFill="1" applyBorder="1" applyAlignment="1" applyProtection="1">
      <alignment vertical="center"/>
      <protection locked="0"/>
    </xf>
    <xf numFmtId="0" fontId="21" fillId="0" borderId="0" xfId="0" applyFont="1" applyAlignment="1" applyProtection="1">
      <alignment vertical="center"/>
    </xf>
    <xf numFmtId="0" fontId="3" fillId="2" borderId="0" xfId="0" applyFont="1" applyFill="1" applyAlignment="1" applyProtection="1">
      <alignment horizontal="left" vertical="center"/>
      <protection locked="0"/>
    </xf>
    <xf numFmtId="0" fontId="3" fillId="3" borderId="0" xfId="0" applyFont="1" applyFill="1" applyAlignment="1" applyProtection="1">
      <alignment horizontal="left" vertical="center"/>
      <protection locked="0"/>
    </xf>
    <xf numFmtId="1" fontId="3" fillId="3" borderId="4" xfId="0" applyNumberFormat="1" applyFont="1" applyFill="1" applyBorder="1" applyAlignment="1" applyProtection="1">
      <alignment horizontal="center"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24" fillId="3" borderId="0" xfId="0" applyFont="1" applyFill="1" applyAlignment="1">
      <alignment horizontal="center" vertical="center"/>
    </xf>
    <xf numFmtId="0" fontId="3" fillId="3" borderId="8" xfId="0" applyFont="1" applyFill="1" applyBorder="1" applyAlignment="1">
      <alignment vertical="center"/>
    </xf>
    <xf numFmtId="0" fontId="3" fillId="3" borderId="1" xfId="0" applyFont="1" applyFill="1" applyBorder="1" applyAlignment="1">
      <alignment vertical="center"/>
    </xf>
    <xf numFmtId="0" fontId="25" fillId="3" borderId="4" xfId="0" applyFont="1" applyFill="1" applyBorder="1" applyAlignment="1">
      <alignment vertical="center"/>
    </xf>
    <xf numFmtId="0" fontId="25" fillId="3" borderId="8" xfId="0" applyFont="1" applyFill="1" applyBorder="1" applyAlignment="1">
      <alignment horizontal="center" vertical="center"/>
    </xf>
    <xf numFmtId="0" fontId="25" fillId="3" borderId="16" xfId="0" applyFont="1" applyFill="1" applyBorder="1" applyAlignment="1">
      <alignment vertical="center"/>
    </xf>
    <xf numFmtId="0" fontId="25" fillId="3" borderId="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3" xfId="0" applyFont="1" applyFill="1" applyBorder="1" applyAlignment="1">
      <alignment horizontal="center" vertical="center"/>
    </xf>
    <xf numFmtId="0" fontId="25" fillId="3" borderId="13" xfId="0" applyFont="1" applyFill="1" applyBorder="1" applyAlignment="1">
      <alignment vertical="center"/>
    </xf>
    <xf numFmtId="3" fontId="25" fillId="2" borderId="3" xfId="0" applyNumberFormat="1" applyFont="1" applyFill="1" applyBorder="1" applyAlignment="1" applyProtection="1">
      <alignment horizontal="center" vertical="center"/>
      <protection locked="0"/>
    </xf>
    <xf numFmtId="0" fontId="25" fillId="3" borderId="1" xfId="0" applyFont="1" applyFill="1" applyBorder="1" applyAlignment="1">
      <alignment vertical="center"/>
    </xf>
    <xf numFmtId="3" fontId="25" fillId="7" borderId="3" xfId="0" applyNumberFormat="1" applyFont="1" applyFill="1" applyBorder="1" applyAlignment="1">
      <alignment horizontal="center" vertical="center"/>
    </xf>
    <xf numFmtId="0" fontId="25" fillId="3" borderId="0" xfId="0" applyFont="1" applyFill="1" applyAlignment="1">
      <alignment vertical="center"/>
    </xf>
    <xf numFmtId="3" fontId="25" fillId="3" borderId="0" xfId="0" applyNumberFormat="1" applyFont="1" applyFill="1" applyAlignment="1">
      <alignment horizontal="center" vertical="center"/>
    </xf>
    <xf numFmtId="0" fontId="25" fillId="3" borderId="0" xfId="0" applyFont="1" applyFill="1" applyAlignment="1">
      <alignment horizontal="center" vertical="center"/>
    </xf>
    <xf numFmtId="0" fontId="25" fillId="2" borderId="3" xfId="0" applyFont="1" applyFill="1" applyBorder="1" applyAlignment="1" applyProtection="1">
      <alignment vertical="center"/>
      <protection locked="0"/>
    </xf>
    <xf numFmtId="0" fontId="25" fillId="2" borderId="16" xfId="0" applyFont="1" applyFill="1" applyBorder="1" applyAlignment="1" applyProtection="1">
      <alignment vertical="center"/>
      <protection locked="0"/>
    </xf>
    <xf numFmtId="3" fontId="25" fillId="2" borderId="16" xfId="0" applyNumberFormat="1" applyFont="1" applyFill="1" applyBorder="1" applyAlignment="1" applyProtection="1">
      <alignment horizontal="center" vertical="center"/>
      <protection locked="0"/>
    </xf>
    <xf numFmtId="0" fontId="25" fillId="2" borderId="0" xfId="0" applyFont="1" applyFill="1" applyAlignment="1" applyProtection="1">
      <alignment vertical="center"/>
      <protection locked="0"/>
    </xf>
    <xf numFmtId="3" fontId="25" fillId="2" borderId="6" xfId="0" applyNumberFormat="1" applyFont="1" applyFill="1" applyBorder="1" applyAlignment="1" applyProtection="1">
      <alignment horizontal="center" vertical="center"/>
      <protection locked="0"/>
    </xf>
    <xf numFmtId="3" fontId="25" fillId="2" borderId="8" xfId="0" applyNumberFormat="1" applyFont="1" applyFill="1" applyBorder="1" applyAlignment="1" applyProtection="1">
      <alignment horizontal="center" vertical="center"/>
      <protection locked="0"/>
    </xf>
    <xf numFmtId="0" fontId="25" fillId="2" borderId="8" xfId="0" applyFont="1" applyFill="1" applyBorder="1" applyAlignment="1" applyProtection="1">
      <alignment vertical="center"/>
      <protection locked="0"/>
    </xf>
    <xf numFmtId="0" fontId="25" fillId="2" borderId="5" xfId="0" applyFont="1" applyFill="1" applyBorder="1" applyAlignment="1" applyProtection="1">
      <alignment vertical="center"/>
      <protection locked="0"/>
    </xf>
    <xf numFmtId="3" fontId="25" fillId="2" borderId="11" xfId="0" applyNumberFormat="1" applyFont="1" applyFill="1" applyBorder="1" applyAlignment="1" applyProtection="1">
      <alignment horizontal="center" vertical="center"/>
      <protection locked="0"/>
    </xf>
    <xf numFmtId="0" fontId="25" fillId="2" borderId="11" xfId="0" applyFont="1" applyFill="1" applyBorder="1" applyAlignment="1" applyProtection="1">
      <alignment vertical="center"/>
      <protection locked="0"/>
    </xf>
    <xf numFmtId="3" fontId="25" fillId="7" borderId="5" xfId="0" applyNumberFormat="1" applyFont="1" applyFill="1" applyBorder="1" applyAlignment="1">
      <alignment horizontal="center" vertical="center"/>
    </xf>
    <xf numFmtId="3" fontId="25" fillId="10" borderId="3" xfId="0" applyNumberFormat="1" applyFont="1" applyFill="1" applyBorder="1" applyAlignment="1">
      <alignment horizontal="center" vertical="center"/>
    </xf>
    <xf numFmtId="3" fontId="3" fillId="3" borderId="0" xfId="0" applyNumberFormat="1" applyFont="1" applyFill="1" applyAlignment="1">
      <alignment vertical="center"/>
    </xf>
    <xf numFmtId="0" fontId="3" fillId="9" borderId="0" xfId="0" applyFont="1" applyFill="1" applyAlignment="1">
      <alignment vertical="center"/>
    </xf>
    <xf numFmtId="0" fontId="3" fillId="3" borderId="0" xfId="0" applyFont="1" applyFill="1" applyAlignment="1">
      <alignment horizontal="right" vertical="center"/>
    </xf>
    <xf numFmtId="3" fontId="3" fillId="0" borderId="0" xfId="0" applyNumberFormat="1" applyFont="1" applyAlignment="1">
      <alignment vertical="center"/>
    </xf>
    <xf numFmtId="0" fontId="3" fillId="3" borderId="0" xfId="0" applyFont="1" applyFill="1" applyAlignment="1" applyProtection="1">
      <alignment horizontal="centerContinuous" vertical="center"/>
      <protection locked="0"/>
    </xf>
    <xf numFmtId="0" fontId="3" fillId="3" borderId="12" xfId="0" applyFont="1" applyFill="1" applyBorder="1" applyAlignment="1" applyProtection="1">
      <alignment horizontal="centerContinuous" vertical="center"/>
    </xf>
    <xf numFmtId="0" fontId="3" fillId="3" borderId="8" xfId="0" applyFont="1" applyFill="1" applyBorder="1" applyAlignment="1" applyProtection="1">
      <alignment horizontal="centerContinuous" vertical="center"/>
    </xf>
    <xf numFmtId="0" fontId="3" fillId="3" borderId="3" xfId="0" applyFont="1" applyFill="1" applyBorder="1" applyAlignment="1" applyProtection="1">
      <alignment horizontal="centerContinuous" vertical="center"/>
    </xf>
    <xf numFmtId="0" fontId="3" fillId="3" borderId="2" xfId="0" applyFont="1" applyFill="1" applyBorder="1" applyAlignment="1" applyProtection="1">
      <alignment horizontal="centerContinuous" vertical="center"/>
    </xf>
    <xf numFmtId="0" fontId="3" fillId="3" borderId="10"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37" fontId="3" fillId="7" borderId="8" xfId="0" applyNumberFormat="1" applyFont="1" applyFill="1" applyBorder="1" applyAlignment="1" applyProtection="1">
      <alignment vertical="center"/>
    </xf>
    <xf numFmtId="164" fontId="3" fillId="3" borderId="0" xfId="0" applyNumberFormat="1" applyFont="1" applyFill="1" applyBorder="1" applyAlignment="1" applyProtection="1">
      <alignment vertical="center"/>
    </xf>
    <xf numFmtId="164" fontId="3" fillId="3" borderId="10" xfId="0" applyNumberFormat="1" applyFont="1" applyFill="1" applyBorder="1" applyAlignment="1" applyProtection="1">
      <alignment vertical="center"/>
    </xf>
    <xf numFmtId="37" fontId="3" fillId="7" borderId="5" xfId="0" applyNumberFormat="1" applyFont="1" applyFill="1" applyBorder="1" applyAlignment="1" applyProtection="1">
      <alignment vertical="center"/>
    </xf>
    <xf numFmtId="37" fontId="3" fillId="3" borderId="6" xfId="0" applyNumberFormat="1" applyFont="1" applyFill="1" applyBorder="1" applyAlignment="1" applyProtection="1">
      <alignment vertical="center"/>
    </xf>
    <xf numFmtId="37" fontId="3" fillId="3" borderId="0" xfId="0" applyNumberFormat="1" applyFont="1" applyFill="1" applyAlignment="1" applyProtection="1">
      <alignment vertical="center"/>
      <protection locked="0"/>
    </xf>
    <xf numFmtId="0" fontId="3" fillId="3" borderId="16"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37" fontId="3" fillId="3" borderId="3" xfId="0" applyNumberFormat="1" applyFont="1" applyFill="1" applyBorder="1" applyAlignment="1" applyProtection="1">
      <alignment horizontal="left" vertical="center"/>
    </xf>
    <xf numFmtId="3" fontId="3" fillId="2" borderId="3" xfId="0" applyNumberFormat="1" applyFont="1" applyFill="1" applyBorder="1" applyAlignment="1" applyProtection="1">
      <alignment horizontal="center" vertical="center"/>
      <protection locked="0"/>
    </xf>
    <xf numFmtId="175" fontId="3" fillId="3" borderId="3" xfId="0" applyNumberFormat="1" applyFont="1" applyFill="1" applyBorder="1" applyAlignment="1" applyProtection="1">
      <alignment horizontal="center" vertical="center"/>
    </xf>
    <xf numFmtId="3" fontId="3" fillId="3" borderId="7" xfId="0" applyNumberFormat="1" applyFont="1" applyFill="1" applyBorder="1" applyAlignment="1" applyProtection="1">
      <alignment horizontal="center" vertical="center"/>
    </xf>
    <xf numFmtId="175" fontId="3" fillId="3" borderId="7" xfId="0" applyNumberFormat="1" applyFont="1" applyFill="1" applyBorder="1" applyAlignment="1" applyProtection="1">
      <alignment horizontal="center" vertical="center"/>
    </xf>
    <xf numFmtId="3" fontId="3" fillId="3" borderId="1" xfId="0" applyNumberFormat="1" applyFont="1" applyFill="1" applyBorder="1" applyAlignment="1" applyProtection="1">
      <alignment horizontal="center" vertical="center"/>
    </xf>
    <xf numFmtId="175" fontId="3" fillId="3" borderId="1" xfId="0" applyNumberFormat="1" applyFont="1" applyFill="1" applyBorder="1" applyAlignment="1" applyProtection="1">
      <alignment horizontal="center" vertical="center"/>
    </xf>
    <xf numFmtId="175" fontId="3" fillId="3" borderId="0" xfId="0" applyNumberFormat="1" applyFont="1" applyFill="1" applyBorder="1" applyAlignment="1" applyProtection="1">
      <alignment horizontal="center" vertical="center"/>
    </xf>
    <xf numFmtId="3" fontId="3" fillId="3" borderId="1" xfId="0" applyNumberFormat="1" applyFont="1" applyFill="1" applyBorder="1" applyAlignment="1">
      <alignment horizontal="center" vertical="center"/>
    </xf>
    <xf numFmtId="0" fontId="0" fillId="3" borderId="0" xfId="0" applyFill="1" applyAlignment="1">
      <alignment horizontal="center" vertical="center"/>
    </xf>
    <xf numFmtId="0" fontId="3" fillId="3" borderId="1" xfId="0" applyFont="1" applyFill="1" applyBorder="1" applyAlignment="1">
      <alignment horizontal="center" vertical="center"/>
    </xf>
    <xf numFmtId="0" fontId="5" fillId="0" borderId="0" xfId="0" applyFont="1" applyAlignment="1">
      <alignment vertical="center"/>
    </xf>
    <xf numFmtId="0" fontId="3" fillId="0" borderId="0" xfId="0" applyFont="1" applyAlignment="1">
      <alignment vertical="center" wrapText="1"/>
    </xf>
    <xf numFmtId="0" fontId="29" fillId="0" borderId="0" xfId="0" applyFont="1" applyAlignment="1">
      <alignment horizontal="center" vertical="center"/>
    </xf>
    <xf numFmtId="0" fontId="4" fillId="0" borderId="0" xfId="0" applyFont="1" applyAlignment="1">
      <alignment vertical="center" wrapText="1"/>
    </xf>
    <xf numFmtId="0" fontId="47" fillId="0" borderId="0" xfId="0" applyFont="1" applyAlignment="1">
      <alignment vertical="center"/>
    </xf>
    <xf numFmtId="0" fontId="47" fillId="0" borderId="0" xfId="0" applyFont="1" applyAlignment="1">
      <alignment vertical="center" wrapText="1"/>
    </xf>
    <xf numFmtId="3" fontId="30" fillId="10" borderId="0" xfId="0" applyNumberFormat="1" applyFont="1" applyFill="1" applyAlignment="1">
      <alignment horizontal="center" vertical="center"/>
    </xf>
    <xf numFmtId="0" fontId="4" fillId="0" borderId="0" xfId="0" applyFont="1" applyAlignment="1" applyProtection="1">
      <alignment horizontal="centerContinuous" vertical="center"/>
    </xf>
    <xf numFmtId="0" fontId="4" fillId="0" borderId="0" xfId="0" applyFont="1" applyAlignment="1">
      <alignment vertical="center"/>
    </xf>
    <xf numFmtId="0" fontId="3" fillId="0" borderId="0" xfId="0" applyFont="1" applyAlignment="1" applyProtection="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pplyProtection="1">
      <alignment horizontal="center" vertical="center"/>
    </xf>
    <xf numFmtId="0" fontId="3" fillId="0" borderId="0" xfId="0" applyFont="1" applyAlignment="1" applyProtection="1">
      <alignment vertical="center" wrapText="1"/>
    </xf>
    <xf numFmtId="0" fontId="3" fillId="2" borderId="0" xfId="0" applyFont="1" applyFill="1" applyAlignment="1" applyProtection="1">
      <alignment vertical="center"/>
    </xf>
    <xf numFmtId="0" fontId="3" fillId="3" borderId="0" xfId="0" applyFont="1" applyFill="1" applyAlignment="1" applyProtection="1">
      <alignment vertical="center" wrapText="1"/>
    </xf>
    <xf numFmtId="0" fontId="3" fillId="8" borderId="0" xfId="0" applyFont="1" applyFill="1" applyAlignment="1">
      <alignment vertical="center" wrapText="1"/>
    </xf>
    <xf numFmtId="0" fontId="3" fillId="0" borderId="0" xfId="0" applyFont="1" applyFill="1" applyAlignment="1">
      <alignment vertical="center"/>
    </xf>
    <xf numFmtId="0" fontId="4" fillId="0" borderId="0" xfId="0" applyFont="1" applyAlignment="1">
      <alignment horizontal="center" vertical="center"/>
    </xf>
    <xf numFmtId="37" fontId="3" fillId="0" borderId="0" xfId="0" applyNumberFormat="1" applyFont="1" applyFill="1" applyAlignment="1" applyProtection="1">
      <alignment horizontal="left" vertical="center" wrapText="1"/>
    </xf>
    <xf numFmtId="0" fontId="3" fillId="0" borderId="0" xfId="0" applyNumberFormat="1" applyFont="1" applyAlignment="1">
      <alignment vertical="center" wrapText="1"/>
    </xf>
    <xf numFmtId="0" fontId="3" fillId="0" borderId="0" xfId="92" applyFont="1" applyAlignment="1">
      <alignment vertical="center" wrapText="1"/>
    </xf>
    <xf numFmtId="0" fontId="3" fillId="0" borderId="0" xfId="325" applyNumberFormat="1" applyFont="1" applyAlignment="1">
      <alignment vertical="center" wrapText="1"/>
    </xf>
    <xf numFmtId="0" fontId="3" fillId="0" borderId="0" xfId="209" applyFont="1" applyAlignment="1">
      <alignment vertical="center" wrapText="1"/>
    </xf>
    <xf numFmtId="0" fontId="3" fillId="0" borderId="0" xfId="355" applyFont="1" applyAlignment="1">
      <alignment vertical="center" wrapText="1"/>
    </xf>
    <xf numFmtId="0" fontId="48" fillId="0" borderId="0" xfId="0" applyFont="1" applyAlignment="1">
      <alignment vertical="center" wrapText="1"/>
    </xf>
    <xf numFmtId="0" fontId="32" fillId="0" borderId="0" xfId="366" applyFont="1"/>
    <xf numFmtId="0" fontId="9" fillId="0" borderId="0" xfId="366" applyNumberFormat="1" applyFont="1" applyAlignment="1">
      <alignment horizontal="left" vertical="center"/>
    </xf>
    <xf numFmtId="0" fontId="3" fillId="0" borderId="0" xfId="366" applyFont="1" applyAlignment="1">
      <alignment horizontal="left" vertical="center"/>
    </xf>
    <xf numFmtId="49" fontId="3" fillId="2" borderId="0" xfId="366" applyNumberFormat="1" applyFont="1" applyFill="1" applyAlignment="1" applyProtection="1">
      <alignment horizontal="left" vertical="center"/>
      <protection locked="0"/>
    </xf>
    <xf numFmtId="176" fontId="25" fillId="0" borderId="0" xfId="366" applyNumberFormat="1" applyFont="1" applyAlignment="1">
      <alignment horizontal="left" vertical="center"/>
    </xf>
    <xf numFmtId="49" fontId="3" fillId="0" borderId="0" xfId="366" applyNumberFormat="1" applyFont="1" applyAlignment="1">
      <alignment horizontal="left" vertical="center"/>
    </xf>
    <xf numFmtId="0" fontId="25" fillId="0" borderId="0" xfId="366" applyFont="1" applyAlignment="1">
      <alignment horizontal="left" vertical="center"/>
    </xf>
    <xf numFmtId="177" fontId="25" fillId="0" borderId="0" xfId="366" applyNumberFormat="1" applyFont="1" applyAlignment="1">
      <alignment horizontal="left" vertical="center"/>
    </xf>
    <xf numFmtId="0" fontId="3" fillId="2" borderId="0" xfId="366" applyFont="1" applyFill="1" applyAlignment="1" applyProtection="1">
      <alignment horizontal="left" vertical="center"/>
      <protection locked="0"/>
    </xf>
    <xf numFmtId="0" fontId="32" fillId="2" borderId="0" xfId="366" applyFont="1" applyFill="1" applyAlignment="1" applyProtection="1">
      <alignment horizontal="left" vertical="center"/>
      <protection locked="0"/>
    </xf>
    <xf numFmtId="0" fontId="2" fillId="0" borderId="0" xfId="158" applyFont="1"/>
    <xf numFmtId="0" fontId="2" fillId="0" borderId="0" xfId="158" applyFont="1" applyFill="1"/>
    <xf numFmtId="37" fontId="3" fillId="12" borderId="0" xfId="0" applyNumberFormat="1" applyFont="1" applyFill="1" applyAlignment="1" applyProtection="1">
      <alignment horizontal="centerContinuous" vertical="center"/>
    </xf>
    <xf numFmtId="0" fontId="3" fillId="12" borderId="0" xfId="0" applyFont="1" applyFill="1" applyAlignment="1" applyProtection="1">
      <alignment horizontal="centerContinuous" vertical="center"/>
    </xf>
    <xf numFmtId="0" fontId="0" fillId="0" borderId="0" xfId="0" applyAlignment="1"/>
    <xf numFmtId="0" fontId="5" fillId="0" borderId="0" xfId="66" applyFont="1" applyAlignment="1">
      <alignment vertical="center"/>
    </xf>
    <xf numFmtId="0" fontId="3" fillId="0" borderId="0" xfId="70" applyFont="1" applyAlignment="1">
      <alignment vertical="center"/>
    </xf>
    <xf numFmtId="0" fontId="19" fillId="0" borderId="0" xfId="0" applyFont="1" applyAlignment="1">
      <alignment horizontal="center"/>
    </xf>
    <xf numFmtId="0" fontId="2" fillId="0" borderId="0" xfId="0" applyFont="1"/>
    <xf numFmtId="0" fontId="33" fillId="0" borderId="0" xfId="0" applyFont="1"/>
    <xf numFmtId="0" fontId="33" fillId="0" borderId="0" xfId="0" applyFont="1" applyAlignment="1"/>
    <xf numFmtId="0" fontId="2" fillId="0" borderId="0" xfId="0" quotePrefix="1" applyFont="1"/>
    <xf numFmtId="0" fontId="2" fillId="0" borderId="0" xfId="0" applyFont="1" applyAlignment="1"/>
    <xf numFmtId="0" fontId="33" fillId="0" borderId="0" xfId="0" applyFont="1" applyAlignment="1">
      <alignment horizontal="center"/>
    </xf>
    <xf numFmtId="0" fontId="3" fillId="0" borderId="0" xfId="386" applyFont="1" applyAlignment="1">
      <alignment vertical="center" wrapText="1"/>
    </xf>
    <xf numFmtId="0" fontId="3" fillId="0" borderId="0" xfId="19" applyFont="1" applyAlignment="1">
      <alignment vertical="center" wrapText="1"/>
    </xf>
    <xf numFmtId="3" fontId="3" fillId="13" borderId="1" xfId="0" applyNumberFormat="1" applyFont="1" applyFill="1" applyBorder="1" applyAlignment="1" applyProtection="1">
      <alignment vertical="center"/>
    </xf>
    <xf numFmtId="0" fontId="3" fillId="3" borderId="0" xfId="0" applyFont="1" applyFill="1"/>
    <xf numFmtId="0" fontId="5" fillId="0" borderId="0" xfId="65" applyFont="1" applyAlignment="1">
      <alignment vertical="center"/>
    </xf>
    <xf numFmtId="0" fontId="49" fillId="3" borderId="0" xfId="0" applyFont="1" applyFill="1" applyAlignment="1" applyProtection="1">
      <alignment horizontal="right" vertical="center"/>
      <protection locked="0"/>
    </xf>
    <xf numFmtId="0" fontId="6" fillId="3" borderId="0" xfId="0" applyFont="1" applyFill="1" applyAlignment="1" applyProtection="1">
      <alignment horizontal="left" vertical="center"/>
      <protection locked="0"/>
    </xf>
    <xf numFmtId="3" fontId="3" fillId="4" borderId="12" xfId="0" applyNumberFormat="1" applyFont="1" applyFill="1" applyBorder="1" applyAlignment="1" applyProtection="1">
      <alignment vertical="center"/>
      <protection locked="0"/>
    </xf>
    <xf numFmtId="3" fontId="21" fillId="10" borderId="12" xfId="0" applyNumberFormat="1" applyFont="1" applyFill="1" applyBorder="1" applyAlignment="1" applyProtection="1">
      <alignment horizontal="center" vertical="center"/>
    </xf>
    <xf numFmtId="3" fontId="4" fillId="7" borderId="12" xfId="0" applyNumberFormat="1" applyFont="1" applyFill="1" applyBorder="1" applyAlignment="1" applyProtection="1">
      <alignment vertical="center"/>
    </xf>
    <xf numFmtId="3" fontId="3" fillId="7" borderId="12" xfId="0" applyNumberFormat="1" applyFont="1" applyFill="1" applyBorder="1" applyAlignment="1" applyProtection="1">
      <alignment vertical="center"/>
    </xf>
    <xf numFmtId="1" fontId="3" fillId="3" borderId="14" xfId="0" applyNumberFormat="1" applyFont="1" applyFill="1" applyBorder="1" applyAlignment="1" applyProtection="1">
      <alignment horizontal="center" vertical="center"/>
    </xf>
    <xf numFmtId="37" fontId="3" fillId="3" borderId="14" xfId="0" applyNumberFormat="1" applyFont="1" applyFill="1" applyBorder="1" applyAlignment="1" applyProtection="1">
      <alignment horizontal="center" vertical="center"/>
    </xf>
    <xf numFmtId="0" fontId="3" fillId="3" borderId="13" xfId="0" applyNumberFormat="1" applyFont="1" applyFill="1" applyBorder="1" applyAlignment="1" applyProtection="1">
      <alignment horizontal="center" vertical="center"/>
    </xf>
    <xf numFmtId="3" fontId="3" fillId="3" borderId="12" xfId="0" applyNumberFormat="1" applyFont="1" applyFill="1" applyBorder="1" applyAlignment="1" applyProtection="1">
      <alignment vertical="center"/>
    </xf>
    <xf numFmtId="3" fontId="3" fillId="7" borderId="12" xfId="0" applyNumberFormat="1" applyFont="1" applyFill="1" applyBorder="1" applyAlignment="1" applyProtection="1">
      <alignment horizontal="right" vertical="center"/>
    </xf>
    <xf numFmtId="3" fontId="3" fillId="4" borderId="12" xfId="0" applyNumberFormat="1" applyFont="1" applyFill="1" applyBorder="1" applyAlignment="1" applyProtection="1">
      <alignment horizontal="right" vertical="center"/>
      <protection locked="0"/>
    </xf>
    <xf numFmtId="3" fontId="4" fillId="7" borderId="12" xfId="0" applyNumberFormat="1" applyFont="1" applyFill="1" applyBorder="1" applyAlignment="1" applyProtection="1">
      <alignment horizontal="right" vertical="center"/>
    </xf>
    <xf numFmtId="3" fontId="3" fillId="3" borderId="12" xfId="0" applyNumberFormat="1" applyFont="1" applyFill="1" applyBorder="1" applyAlignment="1" applyProtection="1">
      <alignment horizontal="right" vertical="center"/>
    </xf>
    <xf numFmtId="1" fontId="3" fillId="3" borderId="13" xfId="0" applyNumberFormat="1" applyFont="1" applyFill="1" applyBorder="1" applyAlignment="1" applyProtection="1">
      <alignment horizontal="center" vertical="center"/>
    </xf>
    <xf numFmtId="3" fontId="3" fillId="3" borderId="12" xfId="1" applyNumberFormat="1" applyFont="1" applyFill="1" applyBorder="1" applyAlignment="1" applyProtection="1">
      <alignment horizontal="right" vertical="center"/>
    </xf>
    <xf numFmtId="14" fontId="3" fillId="2" borderId="3" xfId="0" applyNumberFormat="1" applyFont="1" applyFill="1" applyBorder="1" applyAlignment="1" applyProtection="1">
      <alignment horizontal="left" vertical="center"/>
      <protection locked="0"/>
    </xf>
    <xf numFmtId="14" fontId="3" fillId="4" borderId="3" xfId="0" applyNumberFormat="1" applyFont="1" applyFill="1" applyBorder="1" applyAlignment="1" applyProtection="1">
      <alignment vertical="center"/>
      <protection locked="0"/>
    </xf>
    <xf numFmtId="175" fontId="3" fillId="4" borderId="3" xfId="0" applyNumberFormat="1" applyFont="1" applyFill="1" applyBorder="1" applyAlignment="1" applyProtection="1">
      <alignment vertical="center"/>
      <protection locked="0"/>
    </xf>
    <xf numFmtId="3" fontId="3" fillId="7" borderId="4" xfId="0" applyNumberFormat="1" applyFont="1" applyFill="1" applyBorder="1" applyAlignment="1" applyProtection="1">
      <alignment vertical="center"/>
    </xf>
    <xf numFmtId="37" fontId="3" fillId="7" borderId="4" xfId="0" applyNumberFormat="1" applyFont="1" applyFill="1" applyBorder="1" applyAlignment="1" applyProtection="1">
      <alignment vertical="center"/>
    </xf>
    <xf numFmtId="0" fontId="3" fillId="12" borderId="0" xfId="0" applyFont="1" applyFill="1" applyBorder="1" applyAlignment="1">
      <alignment horizontal="center" vertical="center" shrinkToFit="1"/>
    </xf>
    <xf numFmtId="0" fontId="3" fillId="12" borderId="0" xfId="0" applyFont="1" applyFill="1" applyBorder="1" applyAlignment="1" applyProtection="1">
      <alignment horizontal="left" vertical="center"/>
      <protection locked="0"/>
    </xf>
    <xf numFmtId="0" fontId="21" fillId="10" borderId="12" xfId="0" applyFont="1" applyFill="1" applyBorder="1" applyAlignment="1" applyProtection="1">
      <alignment horizontal="center" vertical="center"/>
    </xf>
    <xf numFmtId="172" fontId="3" fillId="7" borderId="4" xfId="0" applyNumberFormat="1" applyFont="1" applyFill="1" applyBorder="1" applyAlignment="1" applyProtection="1">
      <alignment vertical="center"/>
    </xf>
    <xf numFmtId="0" fontId="7" fillId="8" borderId="4" xfId="0" applyFont="1" applyFill="1" applyBorder="1" applyAlignment="1" applyProtection="1">
      <alignment horizontal="center" vertical="center"/>
    </xf>
    <xf numFmtId="0" fontId="3" fillId="3" borderId="1" xfId="0" applyFont="1" applyFill="1" applyBorder="1" applyAlignment="1" applyProtection="1">
      <alignment vertical="center"/>
      <protection locked="0"/>
    </xf>
    <xf numFmtId="0" fontId="0" fillId="3" borderId="1" xfId="0" applyFill="1" applyBorder="1" applyAlignment="1">
      <alignment horizontal="center" vertical="center" wrapText="1"/>
    </xf>
    <xf numFmtId="0" fontId="50" fillId="3" borderId="0" xfId="0" applyFont="1" applyFill="1" applyAlignment="1" applyProtection="1">
      <alignment horizontal="center" vertical="center"/>
    </xf>
    <xf numFmtId="3" fontId="21" fillId="10" borderId="3" xfId="0" applyNumberFormat="1" applyFont="1" applyFill="1" applyBorder="1" applyAlignment="1" applyProtection="1">
      <alignment horizontal="center" vertical="center"/>
    </xf>
    <xf numFmtId="37" fontId="3" fillId="3" borderId="3" xfId="0" applyNumberFormat="1" applyFont="1" applyFill="1" applyBorder="1" applyAlignment="1" applyProtection="1">
      <alignment horizontal="center" vertical="center"/>
    </xf>
    <xf numFmtId="0" fontId="4" fillId="3" borderId="0" xfId="0" applyFont="1" applyFill="1" applyBorder="1" applyAlignment="1" applyProtection="1">
      <alignment vertical="center"/>
    </xf>
    <xf numFmtId="37" fontId="4" fillId="3" borderId="0" xfId="0" applyNumberFormat="1" applyFont="1" applyFill="1" applyBorder="1" applyAlignment="1" applyProtection="1">
      <alignment vertical="center"/>
    </xf>
    <xf numFmtId="3" fontId="18" fillId="3" borderId="3" xfId="0" applyNumberFormat="1" applyFont="1" applyFill="1" applyBorder="1" applyAlignment="1" applyProtection="1">
      <alignment horizontal="center" vertical="center"/>
    </xf>
    <xf numFmtId="0" fontId="3" fillId="14" borderId="1" xfId="0" applyFont="1" applyFill="1" applyBorder="1" applyAlignment="1" applyProtection="1">
      <alignment vertical="center"/>
    </xf>
    <xf numFmtId="0" fontId="3" fillId="14" borderId="2" xfId="0" applyFont="1" applyFill="1" applyBorder="1" applyAlignment="1" applyProtection="1">
      <alignment horizontal="right" vertical="center"/>
    </xf>
    <xf numFmtId="0" fontId="3" fillId="14" borderId="2" xfId="0" applyFont="1" applyFill="1" applyBorder="1" applyAlignment="1" applyProtection="1">
      <alignment vertical="center"/>
    </xf>
    <xf numFmtId="0" fontId="3" fillId="14" borderId="2" xfId="0" applyFont="1" applyFill="1" applyBorder="1" applyAlignment="1" applyProtection="1">
      <alignment vertical="center"/>
      <protection locked="0"/>
    </xf>
    <xf numFmtId="0" fontId="3" fillId="14" borderId="2" xfId="0" applyFont="1" applyFill="1" applyBorder="1" applyAlignment="1" applyProtection="1">
      <alignment horizontal="left" vertical="center"/>
    </xf>
    <xf numFmtId="0" fontId="7" fillId="3" borderId="0" xfId="0" applyFont="1" applyFill="1" applyBorder="1" applyAlignment="1" applyProtection="1">
      <alignment horizontal="center" vertical="center"/>
    </xf>
    <xf numFmtId="0" fontId="0" fillId="3" borderId="9" xfId="0" applyFill="1" applyBorder="1" applyAlignment="1">
      <alignment horizontal="center" vertical="center"/>
    </xf>
    <xf numFmtId="0" fontId="3" fillId="4" borderId="3" xfId="0" applyFont="1" applyFill="1" applyBorder="1" applyAlignment="1" applyProtection="1">
      <alignment horizontal="center" vertical="center"/>
      <protection locked="0"/>
    </xf>
    <xf numFmtId="0" fontId="37" fillId="15" borderId="0" xfId="0" applyFont="1" applyFill="1"/>
    <xf numFmtId="0" fontId="37" fillId="0" borderId="0" xfId="0" applyFont="1"/>
    <xf numFmtId="0" fontId="37" fillId="12" borderId="0" xfId="0" applyFont="1" applyFill="1"/>
    <xf numFmtId="0" fontId="51" fillId="15" borderId="0" xfId="0" applyFont="1" applyFill="1" applyAlignment="1">
      <alignment horizontal="center" wrapText="1"/>
    </xf>
    <xf numFmtId="0" fontId="51" fillId="12" borderId="0" xfId="0" applyFont="1" applyFill="1" applyAlignment="1">
      <alignment horizontal="center"/>
    </xf>
    <xf numFmtId="0" fontId="51" fillId="12" borderId="0" xfId="0" applyFont="1" applyFill="1"/>
    <xf numFmtId="0" fontId="37" fillId="12" borderId="0" xfId="0" applyFont="1" applyFill="1" applyAlignment="1">
      <alignment horizontal="center"/>
    </xf>
    <xf numFmtId="178" fontId="37" fillId="12" borderId="0" xfId="0" applyNumberFormat="1" applyFont="1" applyFill="1" applyAlignment="1">
      <alignment horizontal="center"/>
    </xf>
    <xf numFmtId="0" fontId="51" fillId="12" borderId="18" xfId="0" applyFont="1" applyFill="1" applyBorder="1"/>
    <xf numFmtId="0" fontId="37" fillId="12" borderId="19" xfId="0" applyFont="1" applyFill="1" applyBorder="1"/>
    <xf numFmtId="0" fontId="37" fillId="12" borderId="20" xfId="0" applyFont="1" applyFill="1" applyBorder="1"/>
    <xf numFmtId="178" fontId="37" fillId="12" borderId="21" xfId="0" applyNumberFormat="1" applyFont="1" applyFill="1" applyBorder="1"/>
    <xf numFmtId="0" fontId="37" fillId="12" borderId="0" xfId="0" applyFont="1" applyFill="1" applyBorder="1"/>
    <xf numFmtId="0" fontId="37" fillId="12" borderId="0" xfId="0" applyFont="1" applyFill="1" applyBorder="1" applyAlignment="1">
      <alignment horizontal="center"/>
    </xf>
    <xf numFmtId="178" fontId="37" fillId="12" borderId="1" xfId="0" applyNumberFormat="1" applyFont="1" applyFill="1" applyBorder="1" applyAlignment="1">
      <alignment horizontal="center"/>
    </xf>
    <xf numFmtId="0" fontId="37" fillId="12" borderId="22" xfId="0" applyFont="1" applyFill="1" applyBorder="1"/>
    <xf numFmtId="0" fontId="37" fillId="12" borderId="23" xfId="0" applyFont="1" applyFill="1" applyBorder="1"/>
    <xf numFmtId="0" fontId="37" fillId="12" borderId="24" xfId="0" applyFont="1" applyFill="1" applyBorder="1"/>
    <xf numFmtId="0" fontId="37" fillId="12" borderId="25" xfId="0" applyFont="1" applyFill="1" applyBorder="1"/>
    <xf numFmtId="178" fontId="37" fillId="12" borderId="0" xfId="0" applyNumberFormat="1" applyFont="1" applyFill="1"/>
    <xf numFmtId="0" fontId="37" fillId="12" borderId="18" xfId="0" applyFont="1" applyFill="1" applyBorder="1"/>
    <xf numFmtId="0" fontId="37" fillId="12" borderId="26" xfId="0" applyFont="1" applyFill="1" applyBorder="1"/>
    <xf numFmtId="178" fontId="37" fillId="14" borderId="21" xfId="0" applyNumberFormat="1" applyFont="1" applyFill="1" applyBorder="1" applyAlignment="1" applyProtection="1">
      <alignment horizontal="center"/>
      <protection locked="0"/>
    </xf>
    <xf numFmtId="175" fontId="37" fillId="12" borderId="0" xfId="0" applyNumberFormat="1" applyFont="1" applyFill="1" applyBorder="1" applyAlignment="1">
      <alignment horizontal="center"/>
    </xf>
    <xf numFmtId="178" fontId="37" fillId="0" borderId="0" xfId="0" applyNumberFormat="1" applyFont="1"/>
    <xf numFmtId="0" fontId="52" fillId="0" borderId="0" xfId="0" applyFont="1" applyBorder="1"/>
    <xf numFmtId="0" fontId="37" fillId="0" borderId="0" xfId="0" applyFont="1" applyBorder="1"/>
    <xf numFmtId="0" fontId="51" fillId="0" borderId="0" xfId="0" applyFont="1" applyBorder="1" applyAlignment="1">
      <alignment horizontal="centerContinuous"/>
    </xf>
    <xf numFmtId="0" fontId="37" fillId="0" borderId="0" xfId="0" applyFont="1" applyBorder="1" applyAlignment="1">
      <alignment horizontal="centerContinuous"/>
    </xf>
    <xf numFmtId="0" fontId="37" fillId="15" borderId="0" xfId="0" applyFont="1" applyFill="1" applyBorder="1"/>
    <xf numFmtId="178" fontId="37" fillId="12" borderId="0" xfId="0" applyNumberFormat="1" applyFont="1" applyFill="1" applyBorder="1" applyAlignment="1">
      <alignment horizontal="center"/>
    </xf>
    <xf numFmtId="0" fontId="37" fillId="12" borderId="27" xfId="0" applyFont="1" applyFill="1" applyBorder="1"/>
    <xf numFmtId="0" fontId="37" fillId="12" borderId="9" xfId="0" applyFont="1" applyFill="1" applyBorder="1"/>
    <xf numFmtId="0" fontId="37" fillId="12" borderId="9" xfId="0" applyFont="1" applyFill="1" applyBorder="1" applyAlignment="1">
      <alignment horizontal="center"/>
    </xf>
    <xf numFmtId="0" fontId="37" fillId="12" borderId="28" xfId="0" applyFont="1" applyFill="1" applyBorder="1"/>
    <xf numFmtId="179" fontId="37" fillId="12" borderId="0" xfId="0" applyNumberFormat="1" applyFont="1" applyFill="1" applyBorder="1" applyAlignment="1">
      <alignment horizontal="center"/>
    </xf>
    <xf numFmtId="5" fontId="37" fillId="12" borderId="24" xfId="0" applyNumberFormat="1" applyFont="1" applyFill="1" applyBorder="1" applyAlignment="1">
      <alignment horizontal="center"/>
    </xf>
    <xf numFmtId="0" fontId="37" fillId="12" borderId="24" xfId="0" applyFont="1" applyFill="1" applyBorder="1" applyAlignment="1">
      <alignment horizontal="center"/>
    </xf>
    <xf numFmtId="175" fontId="37" fillId="12" borderId="24" xfId="0" applyNumberFormat="1" applyFont="1" applyFill="1" applyBorder="1" applyAlignment="1">
      <alignment horizontal="center"/>
    </xf>
    <xf numFmtId="179" fontId="37" fillId="12" borderId="24" xfId="0" applyNumberFormat="1" applyFont="1" applyFill="1" applyBorder="1" applyAlignment="1">
      <alignment horizontal="center"/>
    </xf>
    <xf numFmtId="0" fontId="37" fillId="12" borderId="0" xfId="0" applyFont="1" applyFill="1" applyAlignment="1">
      <alignment horizontal="center" wrapText="1"/>
    </xf>
    <xf numFmtId="0" fontId="51" fillId="12" borderId="0" xfId="0" applyFont="1" applyFill="1" applyAlignment="1">
      <alignment horizontal="center" wrapText="1"/>
    </xf>
    <xf numFmtId="0" fontId="51" fillId="12" borderId="18" xfId="0" applyFont="1" applyFill="1" applyBorder="1" applyAlignment="1"/>
    <xf numFmtId="0" fontId="37" fillId="12" borderId="19" xfId="0" applyFont="1" applyFill="1" applyBorder="1" applyAlignment="1"/>
    <xf numFmtId="0" fontId="37" fillId="12" borderId="20" xfId="0" applyFont="1" applyFill="1" applyBorder="1" applyAlignment="1"/>
    <xf numFmtId="0" fontId="37" fillId="12" borderId="26" xfId="0" applyFont="1" applyFill="1" applyBorder="1" applyAlignment="1"/>
    <xf numFmtId="0" fontId="37" fillId="12" borderId="0" xfId="0" applyFont="1" applyFill="1" applyBorder="1" applyAlignment="1"/>
    <xf numFmtId="0" fontId="37" fillId="12" borderId="22" xfId="0" applyFont="1" applyFill="1" applyBorder="1" applyAlignment="1"/>
    <xf numFmtId="0" fontId="37" fillId="12" borderId="27" xfId="0" applyFont="1" applyFill="1" applyBorder="1" applyAlignment="1"/>
    <xf numFmtId="0" fontId="37" fillId="12" borderId="9" xfId="0" applyFont="1" applyFill="1" applyBorder="1" applyAlignment="1"/>
    <xf numFmtId="0" fontId="37" fillId="12" borderId="28" xfId="0" applyFont="1" applyFill="1" applyBorder="1" applyAlignment="1"/>
    <xf numFmtId="174" fontId="37" fillId="12" borderId="0" xfId="0" applyNumberFormat="1" applyFont="1" applyFill="1" applyBorder="1" applyAlignment="1">
      <alignment horizontal="center"/>
    </xf>
    <xf numFmtId="0" fontId="37" fillId="12" borderId="23" xfId="0" applyFont="1" applyFill="1" applyBorder="1" applyAlignment="1"/>
    <xf numFmtId="0" fontId="37" fillId="12" borderId="25" xfId="0" applyFont="1" applyFill="1" applyBorder="1" applyAlignment="1"/>
    <xf numFmtId="5" fontId="37" fillId="12" borderId="0" xfId="0" applyNumberFormat="1" applyFont="1" applyFill="1" applyBorder="1" applyAlignment="1">
      <alignment horizontal="center"/>
    </xf>
    <xf numFmtId="0" fontId="37" fillId="15" borderId="0" xfId="0" applyFont="1" applyFill="1" applyAlignment="1"/>
    <xf numFmtId="175" fontId="37" fillId="14" borderId="1" xfId="0" applyNumberFormat="1" applyFont="1" applyFill="1" applyBorder="1" applyAlignment="1" applyProtection="1">
      <alignment horizontal="center"/>
      <protection locked="0"/>
    </xf>
    <xf numFmtId="179" fontId="37" fillId="12" borderId="0" xfId="0" applyNumberFormat="1" applyFont="1" applyFill="1" applyBorder="1"/>
    <xf numFmtId="178" fontId="37" fillId="12" borderId="24" xfId="0" applyNumberFormat="1" applyFont="1" applyFill="1" applyBorder="1" applyAlignment="1">
      <alignment horizontal="center"/>
    </xf>
    <xf numFmtId="175" fontId="37" fillId="12" borderId="24" xfId="0" applyNumberFormat="1" applyFont="1" applyFill="1" applyBorder="1" applyAlignment="1" applyProtection="1">
      <alignment horizontal="center"/>
      <protection locked="0"/>
    </xf>
    <xf numFmtId="179" fontId="37" fillId="12" borderId="24" xfId="0" applyNumberFormat="1" applyFont="1" applyFill="1" applyBorder="1"/>
    <xf numFmtId="0" fontId="51" fillId="12" borderId="26" xfId="0" applyFont="1" applyFill="1" applyBorder="1" applyAlignment="1">
      <alignment horizontal="centerContinuous" vertical="center"/>
    </xf>
    <xf numFmtId="178" fontId="51" fillId="12" borderId="0" xfId="0" applyNumberFormat="1" applyFont="1" applyFill="1" applyBorder="1" applyAlignment="1">
      <alignment horizontal="centerContinuous" vertical="center"/>
    </xf>
    <xf numFmtId="0" fontId="51" fillId="12" borderId="0" xfId="0" applyFont="1" applyFill="1" applyBorder="1" applyAlignment="1">
      <alignment horizontal="centerContinuous" vertical="center"/>
    </xf>
    <xf numFmtId="175" fontId="51" fillId="12" borderId="0" xfId="0" applyNumberFormat="1" applyFont="1" applyFill="1" applyBorder="1" applyAlignment="1" applyProtection="1">
      <alignment horizontal="centerContinuous" vertical="center"/>
      <protection locked="0"/>
    </xf>
    <xf numFmtId="179" fontId="51" fillId="12" borderId="0" xfId="0" applyNumberFormat="1" applyFont="1" applyFill="1" applyBorder="1" applyAlignment="1">
      <alignment horizontal="centerContinuous" vertical="center"/>
    </xf>
    <xf numFmtId="0" fontId="51" fillId="12" borderId="22" xfId="0" applyFont="1" applyFill="1" applyBorder="1" applyAlignment="1">
      <alignment horizontal="centerContinuous" vertical="center"/>
    </xf>
    <xf numFmtId="0" fontId="51" fillId="12" borderId="26" xfId="0" applyFont="1" applyFill="1" applyBorder="1" applyAlignment="1">
      <alignment horizontal="centerContinuous"/>
    </xf>
    <xf numFmtId="178" fontId="51" fillId="12" borderId="0" xfId="0" applyNumberFormat="1" applyFont="1" applyFill="1" applyBorder="1" applyAlignment="1">
      <alignment horizontal="centerContinuous"/>
    </xf>
    <xf numFmtId="0" fontId="51" fillId="12" borderId="0" xfId="0" applyFont="1" applyFill="1" applyBorder="1" applyAlignment="1">
      <alignment horizontal="centerContinuous"/>
    </xf>
    <xf numFmtId="175" fontId="51" fillId="12" borderId="0" xfId="0" applyNumberFormat="1" applyFont="1" applyFill="1" applyBorder="1" applyAlignment="1" applyProtection="1">
      <alignment horizontal="centerContinuous"/>
      <protection locked="0"/>
    </xf>
    <xf numFmtId="179" fontId="51" fillId="12" borderId="0" xfId="0" applyNumberFormat="1" applyFont="1" applyFill="1" applyBorder="1" applyAlignment="1">
      <alignment horizontal="centerContinuous"/>
    </xf>
    <xf numFmtId="0" fontId="51" fillId="12" borderId="22" xfId="0" applyFont="1" applyFill="1" applyBorder="1" applyAlignment="1">
      <alignment horizontal="centerContinuous"/>
    </xf>
    <xf numFmtId="175" fontId="37" fillId="12" borderId="0" xfId="0" applyNumberFormat="1" applyFont="1" applyFill="1" applyBorder="1" applyAlignment="1" applyProtection="1">
      <alignment horizontal="center"/>
      <protection locked="0"/>
    </xf>
    <xf numFmtId="178" fontId="37" fillId="12" borderId="19" xfId="0" applyNumberFormat="1" applyFont="1" applyFill="1" applyBorder="1" applyAlignment="1">
      <alignment horizontal="center"/>
    </xf>
    <xf numFmtId="0" fontId="37" fillId="12" borderId="19" xfId="0" applyFont="1" applyFill="1" applyBorder="1" applyAlignment="1">
      <alignment horizontal="center"/>
    </xf>
    <xf numFmtId="175" fontId="37" fillId="12" borderId="19" xfId="0" applyNumberFormat="1" applyFont="1" applyFill="1" applyBorder="1" applyAlignment="1" applyProtection="1">
      <alignment horizontal="center"/>
      <protection locked="0"/>
    </xf>
    <xf numFmtId="179" fontId="37" fillId="12" borderId="19" xfId="0" applyNumberFormat="1" applyFont="1" applyFill="1" applyBorder="1"/>
    <xf numFmtId="178" fontId="37" fillId="14" borderId="1" xfId="0" applyNumberFormat="1" applyFont="1" applyFill="1" applyBorder="1" applyAlignment="1" applyProtection="1">
      <alignment horizontal="center"/>
      <protection locked="0"/>
    </xf>
    <xf numFmtId="178" fontId="37" fillId="12" borderId="0" xfId="0" applyNumberFormat="1" applyFont="1" applyFill="1" applyBorder="1" applyAlignment="1" applyProtection="1">
      <alignment horizontal="center"/>
      <protection locked="0"/>
    </xf>
    <xf numFmtId="0" fontId="37" fillId="16" borderId="0" xfId="0" applyFont="1" applyFill="1"/>
    <xf numFmtId="0" fontId="39" fillId="0" borderId="0" xfId="17" applyFont="1" applyAlignment="1">
      <alignment horizontal="center"/>
    </xf>
    <xf numFmtId="0" fontId="3" fillId="0" borderId="0" xfId="17" applyFont="1" applyAlignment="1">
      <alignment wrapText="1"/>
    </xf>
    <xf numFmtId="0" fontId="41" fillId="0" borderId="0" xfId="9" applyFont="1" applyAlignment="1" applyProtection="1"/>
    <xf numFmtId="0" fontId="3" fillId="0" borderId="0" xfId="17" applyFont="1"/>
    <xf numFmtId="0" fontId="48" fillId="0" borderId="0" xfId="0" applyFont="1" applyAlignment="1">
      <alignment wrapText="1"/>
    </xf>
    <xf numFmtId="0" fontId="4" fillId="0" borderId="0" xfId="0" applyFont="1" applyAlignment="1">
      <alignment wrapText="1"/>
    </xf>
    <xf numFmtId="178" fontId="45" fillId="17" borderId="6" xfId="0" applyNumberFormat="1" applyFont="1" applyFill="1" applyBorder="1" applyAlignment="1" applyProtection="1">
      <alignment horizontal="center" vertical="center"/>
    </xf>
    <xf numFmtId="0" fontId="7" fillId="17" borderId="1" xfId="0" applyFont="1" applyFill="1" applyBorder="1" applyAlignment="1" applyProtection="1">
      <alignment vertical="center"/>
    </xf>
    <xf numFmtId="0" fontId="3" fillId="17" borderId="1" xfId="0" applyFont="1" applyFill="1" applyBorder="1" applyAlignment="1" applyProtection="1">
      <alignment vertical="center"/>
    </xf>
    <xf numFmtId="0" fontId="45" fillId="17" borderId="13" xfId="0" applyFont="1" applyFill="1" applyBorder="1" applyAlignment="1" applyProtection="1">
      <alignment vertical="center"/>
    </xf>
    <xf numFmtId="0" fontId="45" fillId="12" borderId="6" xfId="0" applyFont="1" applyFill="1" applyBorder="1" applyAlignment="1" applyProtection="1">
      <alignment horizontal="center" vertical="center"/>
    </xf>
    <xf numFmtId="178" fontId="7" fillId="14" borderId="3" xfId="0" applyNumberFormat="1" applyFont="1" applyFill="1" applyBorder="1" applyAlignment="1" applyProtection="1">
      <alignment horizontal="center" vertical="center"/>
      <protection locked="0"/>
    </xf>
    <xf numFmtId="0" fontId="7" fillId="12" borderId="17" xfId="0" applyFont="1" applyFill="1" applyBorder="1" applyAlignment="1" applyProtection="1">
      <alignment horizontal="left" vertical="center"/>
    </xf>
    <xf numFmtId="178" fontId="7" fillId="12" borderId="11" xfId="0" applyNumberFormat="1" applyFont="1" applyFill="1" applyBorder="1" applyAlignment="1" applyProtection="1">
      <alignment horizontal="center" vertical="center"/>
    </xf>
    <xf numFmtId="0" fontId="7" fillId="12" borderId="17" xfId="0" applyFont="1" applyFill="1" applyBorder="1" applyAlignment="1" applyProtection="1">
      <alignment vertical="center"/>
    </xf>
    <xf numFmtId="0" fontId="3" fillId="0" borderId="0" xfId="0" applyFont="1" applyFill="1" applyBorder="1" applyAlignment="1" applyProtection="1">
      <alignment vertical="center"/>
    </xf>
    <xf numFmtId="0" fontId="0" fillId="12" borderId="8" xfId="0" applyFill="1" applyBorder="1" applyAlignment="1" applyProtection="1">
      <alignment vertical="center"/>
    </xf>
    <xf numFmtId="0" fontId="43" fillId="12" borderId="2" xfId="0" applyFont="1" applyFill="1" applyBorder="1" applyAlignment="1" applyProtection="1">
      <alignment horizontal="center" vertical="center"/>
    </xf>
    <xf numFmtId="0" fontId="7" fillId="12" borderId="2" xfId="0" applyFont="1" applyFill="1" applyBorder="1" applyAlignment="1" applyProtection="1">
      <alignment horizontal="left" vertical="center"/>
    </xf>
    <xf numFmtId="175" fontId="45" fillId="12" borderId="12" xfId="0" applyNumberFormat="1" applyFont="1" applyFill="1" applyBorder="1" applyAlignment="1" applyProtection="1">
      <alignment horizontal="center" vertical="center"/>
    </xf>
    <xf numFmtId="0" fontId="3" fillId="17" borderId="6" xfId="0" applyFont="1" applyFill="1" applyBorder="1" applyAlignment="1" applyProtection="1">
      <alignment vertical="center"/>
    </xf>
    <xf numFmtId="0" fontId="45" fillId="17" borderId="1" xfId="0" applyFont="1" applyFill="1" applyBorder="1" applyAlignment="1" applyProtection="1">
      <alignment vertical="center"/>
    </xf>
    <xf numFmtId="178" fontId="45" fillId="17" borderId="13" xfId="0" applyNumberFormat="1" applyFont="1" applyFill="1" applyBorder="1" applyAlignment="1" applyProtection="1">
      <alignment horizontal="center" vertical="center"/>
    </xf>
    <xf numFmtId="178" fontId="7" fillId="12" borderId="17" xfId="0" applyNumberFormat="1" applyFont="1" applyFill="1" applyBorder="1" applyAlignment="1" applyProtection="1">
      <alignment vertical="center"/>
    </xf>
    <xf numFmtId="178" fontId="7" fillId="12" borderId="13" xfId="0" applyNumberFormat="1" applyFont="1" applyFill="1" applyBorder="1" applyAlignment="1" applyProtection="1">
      <alignment horizontal="center" vertical="center"/>
    </xf>
    <xf numFmtId="0" fontId="7" fillId="12" borderId="0" xfId="0" applyFont="1" applyFill="1" applyBorder="1" applyAlignment="1" applyProtection="1">
      <alignment vertical="center"/>
    </xf>
    <xf numFmtId="0" fontId="3" fillId="12" borderId="11" xfId="0" applyFont="1" applyFill="1" applyBorder="1" applyAlignment="1" applyProtection="1">
      <alignment vertical="center"/>
    </xf>
    <xf numFmtId="0" fontId="3" fillId="12" borderId="0" xfId="0" applyFont="1" applyFill="1" applyBorder="1" applyAlignment="1" applyProtection="1">
      <alignment vertical="center"/>
    </xf>
    <xf numFmtId="3" fontId="3" fillId="7" borderId="29" xfId="0" applyNumberFormat="1" applyFont="1" applyFill="1" applyBorder="1" applyAlignment="1" applyProtection="1">
      <alignment vertical="center"/>
    </xf>
    <xf numFmtId="164" fontId="3" fillId="7" borderId="5" xfId="0" applyNumberFormat="1" applyFont="1" applyFill="1" applyBorder="1" applyAlignment="1" applyProtection="1">
      <alignment vertical="center"/>
    </xf>
    <xf numFmtId="165" fontId="3" fillId="4" borderId="0" xfId="0" applyNumberFormat="1" applyFont="1" applyFill="1" applyAlignment="1" applyProtection="1">
      <alignment horizontal="left" vertical="center"/>
      <protection locked="0"/>
    </xf>
    <xf numFmtId="3" fontId="3" fillId="14" borderId="3" xfId="0" applyNumberFormat="1" applyFont="1" applyFill="1" applyBorder="1" applyAlignment="1" applyProtection="1">
      <alignment horizontal="right" vertical="center"/>
      <protection locked="0"/>
    </xf>
    <xf numFmtId="0" fontId="3" fillId="14" borderId="12" xfId="0" applyNumberFormat="1" applyFont="1" applyFill="1" applyBorder="1" applyAlignment="1" applyProtection="1">
      <alignment horizontal="left" vertical="center"/>
      <protection locked="0"/>
    </xf>
    <xf numFmtId="0" fontId="7" fillId="12" borderId="0" xfId="0" applyFont="1" applyFill="1" applyBorder="1" applyAlignment="1" applyProtection="1">
      <alignment horizontal="left" vertical="center"/>
    </xf>
    <xf numFmtId="178" fontId="7" fillId="12" borderId="17" xfId="0" applyNumberFormat="1" applyFont="1" applyFill="1" applyBorder="1" applyAlignment="1" applyProtection="1">
      <alignment horizontal="center" vertical="center"/>
    </xf>
    <xf numFmtId="0" fontId="4" fillId="3" borderId="0" xfId="21" applyFont="1" applyFill="1" applyAlignment="1" applyProtection="1">
      <alignment vertical="center"/>
    </xf>
    <xf numFmtId="0" fontId="3" fillId="3" borderId="0" xfId="33" applyFont="1" applyFill="1" applyAlignment="1" applyProtection="1">
      <alignment horizontal="right" vertical="center"/>
    </xf>
    <xf numFmtId="175" fontId="3" fillId="3" borderId="0" xfId="17" applyNumberFormat="1" applyFont="1" applyFill="1" applyAlignment="1" applyProtection="1">
      <alignment horizontal="center" vertical="center"/>
    </xf>
    <xf numFmtId="37" fontId="3" fillId="3" borderId="0" xfId="17" applyNumberFormat="1" applyFont="1" applyFill="1" applyAlignment="1" applyProtection="1">
      <alignment horizontal="right" vertical="center"/>
    </xf>
    <xf numFmtId="0" fontId="53" fillId="3" borderId="0" xfId="17" applyFont="1" applyFill="1" applyAlignment="1" applyProtection="1">
      <alignment horizontal="center" vertical="center"/>
    </xf>
    <xf numFmtId="0" fontId="3" fillId="12" borderId="17" xfId="0" applyFont="1" applyFill="1" applyBorder="1" applyAlignment="1" applyProtection="1">
      <alignment vertical="center"/>
    </xf>
    <xf numFmtId="0" fontId="53" fillId="3" borderId="0" xfId="17" applyFont="1" applyFill="1" applyAlignment="1" applyProtection="1">
      <alignment horizontal="center" vertical="center"/>
    </xf>
    <xf numFmtId="0" fontId="53" fillId="3" borderId="0" xfId="17" applyFont="1" applyFill="1" applyAlignment="1" applyProtection="1">
      <alignment horizontal="center" vertical="center"/>
    </xf>
    <xf numFmtId="0" fontId="53" fillId="3" borderId="0" xfId="17" applyFont="1" applyFill="1" applyAlignment="1" applyProtection="1">
      <alignment horizontal="center" vertical="center"/>
    </xf>
    <xf numFmtId="0" fontId="25" fillId="12" borderId="0" xfId="0" applyFont="1" applyFill="1" applyBorder="1" applyAlignment="1" applyProtection="1">
      <alignment horizontal="left" vertical="center"/>
    </xf>
    <xf numFmtId="0" fontId="25" fillId="12" borderId="0" xfId="0" applyFont="1" applyFill="1" applyBorder="1" applyAlignment="1" applyProtection="1">
      <alignment vertical="center"/>
    </xf>
    <xf numFmtId="0" fontId="25" fillId="17" borderId="1" xfId="0" applyFont="1" applyFill="1" applyBorder="1" applyAlignment="1" applyProtection="1">
      <alignment vertical="center"/>
    </xf>
    <xf numFmtId="0" fontId="7" fillId="12" borderId="17" xfId="0" applyFont="1" applyFill="1" applyBorder="1" applyProtection="1"/>
    <xf numFmtId="0" fontId="3" fillId="12" borderId="0" xfId="0" applyFont="1" applyFill="1" applyBorder="1" applyProtection="1"/>
    <xf numFmtId="178" fontId="3" fillId="12" borderId="11" xfId="0" applyNumberFormat="1" applyFont="1" applyFill="1" applyBorder="1" applyAlignment="1" applyProtection="1">
      <alignment horizontal="center"/>
    </xf>
    <xf numFmtId="0" fontId="3" fillId="12" borderId="13" xfId="0" applyFont="1" applyFill="1" applyBorder="1" applyProtection="1"/>
    <xf numFmtId="0" fontId="3" fillId="12" borderId="1" xfId="0" applyFont="1" applyFill="1" applyBorder="1" applyProtection="1"/>
    <xf numFmtId="178" fontId="3" fillId="17" borderId="6" xfId="0" applyNumberFormat="1" applyFont="1" applyFill="1" applyBorder="1" applyAlignment="1" applyProtection="1">
      <alignment horizontal="center"/>
    </xf>
    <xf numFmtId="0" fontId="3" fillId="12" borderId="17" xfId="0" applyFont="1" applyFill="1" applyBorder="1" applyProtection="1"/>
    <xf numFmtId="0" fontId="3" fillId="12" borderId="11" xfId="0" applyFont="1" applyFill="1" applyBorder="1" applyProtection="1"/>
    <xf numFmtId="178" fontId="3" fillId="12" borderId="6" xfId="0" applyNumberFormat="1" applyFont="1" applyFill="1" applyBorder="1" applyAlignment="1" applyProtection="1">
      <alignment horizontal="center"/>
    </xf>
    <xf numFmtId="0" fontId="3" fillId="17" borderId="13" xfId="0" applyFont="1" applyFill="1" applyBorder="1" applyProtection="1"/>
    <xf numFmtId="0" fontId="3" fillId="17" borderId="1" xfId="0" applyFont="1" applyFill="1" applyBorder="1" applyProtection="1"/>
    <xf numFmtId="178" fontId="7" fillId="17" borderId="13" xfId="0" applyNumberFormat="1" applyFont="1" applyFill="1" applyBorder="1" applyAlignment="1" applyProtection="1">
      <alignment horizontal="center" vertical="center"/>
    </xf>
    <xf numFmtId="0" fontId="7" fillId="17" borderId="12" xfId="0" applyFont="1" applyFill="1" applyBorder="1" applyAlignment="1" applyProtection="1">
      <alignment horizontal="center" vertical="center"/>
      <protection locked="0"/>
    </xf>
    <xf numFmtId="0" fontId="7" fillId="17" borderId="2" xfId="0" applyFont="1" applyFill="1" applyBorder="1" applyAlignment="1" applyProtection="1">
      <alignment vertical="center"/>
      <protection locked="0"/>
    </xf>
    <xf numFmtId="0" fontId="3" fillId="17" borderId="8" xfId="0" applyFont="1" applyFill="1" applyBorder="1" applyAlignment="1" applyProtection="1">
      <alignment vertical="center"/>
      <protection locked="0"/>
    </xf>
    <xf numFmtId="0" fontId="3" fillId="0" borderId="0" xfId="33" applyFont="1" applyAlignment="1">
      <alignment vertical="center"/>
    </xf>
    <xf numFmtId="0" fontId="3" fillId="0" borderId="0" xfId="33" applyFont="1" applyAlignment="1">
      <alignment vertical="center" wrapText="1"/>
    </xf>
    <xf numFmtId="0" fontId="3" fillId="0" borderId="0" xfId="17" applyFont="1" applyAlignment="1">
      <alignment vertical="center" wrapText="1"/>
    </xf>
    <xf numFmtId="37" fontId="3" fillId="5" borderId="0" xfId="0" applyNumberFormat="1" applyFont="1" applyFill="1" applyAlignment="1" applyProtection="1">
      <alignment horizontal="center" vertical="center" wrapText="1"/>
    </xf>
    <xf numFmtId="0" fontId="0" fillId="5" borderId="1" xfId="0" applyFill="1" applyBorder="1" applyAlignment="1">
      <alignment vertical="center" wrapText="1"/>
    </xf>
    <xf numFmtId="37" fontId="18" fillId="3" borderId="0" xfId="0" applyNumberFormat="1" applyFont="1" applyFill="1" applyAlignment="1" applyProtection="1">
      <alignment horizontal="center" vertical="center"/>
    </xf>
    <xf numFmtId="0" fontId="19" fillId="0" borderId="0" xfId="0" applyFont="1" applyAlignment="1">
      <alignment horizontal="center" vertical="center"/>
    </xf>
    <xf numFmtId="0" fontId="17" fillId="3" borderId="0" xfId="0" applyFont="1" applyFill="1" applyAlignment="1" applyProtection="1">
      <alignment horizontal="center" vertical="center"/>
    </xf>
    <xf numFmtId="0" fontId="1" fillId="0" borderId="0" xfId="0" applyFont="1" applyAlignment="1">
      <alignment horizontal="center" vertical="center"/>
    </xf>
    <xf numFmtId="37" fontId="4" fillId="3" borderId="0" xfId="0" applyNumberFormat="1" applyFont="1" applyFill="1" applyAlignment="1" applyProtection="1">
      <alignment horizontal="center" vertical="center"/>
    </xf>
    <xf numFmtId="0" fontId="0" fillId="0" borderId="0" xfId="0" applyAlignment="1">
      <alignment horizontal="center" vertical="center"/>
    </xf>
    <xf numFmtId="0" fontId="4" fillId="3" borderId="0" xfId="0" applyFont="1" applyFill="1" applyAlignment="1" applyProtection="1">
      <alignment horizontal="left" vertical="center"/>
    </xf>
    <xf numFmtId="0" fontId="0" fillId="0" borderId="0" xfId="0" applyAlignment="1">
      <alignment horizontal="left" vertical="center"/>
    </xf>
    <xf numFmtId="0" fontId="3" fillId="5" borderId="4"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37" fontId="17" fillId="3" borderId="0" xfId="0" applyNumberFormat="1" applyFont="1" applyFill="1" applyBorder="1" applyAlignment="1" applyProtection="1">
      <alignment horizontal="center" vertical="center"/>
    </xf>
    <xf numFmtId="0" fontId="4" fillId="8" borderId="0" xfId="0" applyFont="1" applyFill="1" applyBorder="1" applyAlignment="1">
      <alignment horizontal="center" vertical="center"/>
    </xf>
    <xf numFmtId="0" fontId="1" fillId="8" borderId="0" xfId="0" applyFont="1" applyFill="1" applyBorder="1" applyAlignment="1">
      <alignment horizontal="center" vertical="center"/>
    </xf>
    <xf numFmtId="0" fontId="21" fillId="3" borderId="0" xfId="0" applyFont="1" applyFill="1" applyBorder="1" applyAlignment="1">
      <alignment vertical="center"/>
    </xf>
    <xf numFmtId="0" fontId="22" fillId="0" borderId="0" xfId="0" applyFont="1" applyAlignment="1">
      <alignment vertical="center"/>
    </xf>
    <xf numFmtId="0" fontId="3" fillId="0" borderId="0" xfId="366" applyFont="1" applyAlignment="1">
      <alignment horizontal="left" vertical="center" wrapText="1"/>
    </xf>
    <xf numFmtId="0" fontId="32" fillId="0" borderId="0" xfId="366" applyFont="1" applyAlignment="1">
      <alignment horizontal="left" vertical="center" wrapText="1"/>
    </xf>
    <xf numFmtId="0" fontId="17" fillId="0" borderId="0" xfId="366" applyFont="1" applyAlignment="1">
      <alignment horizontal="left" vertical="center"/>
    </xf>
    <xf numFmtId="0" fontId="7" fillId="3" borderId="0" xfId="0" applyFont="1" applyFill="1" applyBorder="1" applyAlignment="1" applyProtection="1">
      <alignment horizontal="center" vertical="center" wrapText="1"/>
    </xf>
    <xf numFmtId="0" fontId="0" fillId="3" borderId="0" xfId="0" applyFill="1" applyAlignment="1">
      <alignment horizontal="center" vertical="center" wrapText="1"/>
    </xf>
    <xf numFmtId="0" fontId="8" fillId="11" borderId="0" xfId="0" applyFont="1" applyFill="1" applyAlignment="1">
      <alignment horizontal="right" vertical="center" textRotation="180" wrapText="1"/>
    </xf>
    <xf numFmtId="0" fontId="4"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0" fontId="3" fillId="3" borderId="12" xfId="0" applyFont="1" applyFill="1" applyBorder="1" applyAlignment="1" applyProtection="1">
      <alignment horizontal="center" vertical="center"/>
    </xf>
    <xf numFmtId="0" fontId="0" fillId="0" borderId="2" xfId="0" applyBorder="1" applyAlignment="1">
      <alignment vertical="center"/>
    </xf>
    <xf numFmtId="0" fontId="0" fillId="0" borderId="8" xfId="0" applyBorder="1" applyAlignment="1">
      <alignment vertical="center"/>
    </xf>
    <xf numFmtId="0" fontId="3" fillId="3" borderId="10" xfId="0" applyFont="1" applyFill="1" applyBorder="1" applyAlignment="1" applyProtection="1">
      <alignment horizontal="center" vertical="center" wrapText="1"/>
    </xf>
    <xf numFmtId="0" fontId="7" fillId="8" borderId="4" xfId="0" applyFont="1" applyFill="1" applyBorder="1" applyAlignment="1" applyProtection="1">
      <alignment horizontal="center" vertical="center" wrapText="1"/>
    </xf>
    <xf numFmtId="0" fontId="0" fillId="0" borderId="5" xfId="0" applyBorder="1" applyAlignment="1">
      <alignment horizontal="center" vertical="center" wrapText="1"/>
    </xf>
    <xf numFmtId="0" fontId="3" fillId="3"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3" borderId="9" xfId="0" applyFont="1" applyFill="1" applyBorder="1" applyAlignment="1" applyProtection="1">
      <alignment horizontal="center" vertical="center"/>
    </xf>
    <xf numFmtId="0" fontId="0" fillId="0" borderId="9" xfId="0" applyBorder="1" applyAlignment="1">
      <alignment vertical="center"/>
    </xf>
    <xf numFmtId="0" fontId="3" fillId="3" borderId="0" xfId="0" applyFont="1" applyFill="1" applyAlignment="1" applyProtection="1">
      <alignment horizontal="center" vertical="center"/>
    </xf>
    <xf numFmtId="37" fontId="4" fillId="3" borderId="0" xfId="0" applyNumberFormat="1"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37" fontId="3" fillId="3" borderId="4" xfId="0" applyNumberFormat="1" applyFont="1" applyFill="1" applyBorder="1" applyAlignment="1" applyProtection="1">
      <alignment horizontal="center" vertical="center" wrapText="1"/>
    </xf>
    <xf numFmtId="0" fontId="3" fillId="3" borderId="2" xfId="0" applyFont="1" applyFill="1" applyBorder="1" applyAlignment="1" applyProtection="1">
      <alignment horizontal="center" vertical="center"/>
    </xf>
    <xf numFmtId="0" fontId="3" fillId="3" borderId="0" xfId="8" applyNumberFormat="1" applyFont="1" applyFill="1" applyBorder="1" applyAlignment="1" applyProtection="1">
      <alignment horizontal="right" vertical="center"/>
    </xf>
    <xf numFmtId="0" fontId="3" fillId="0" borderId="0" xfId="8" applyFont="1" applyAlignment="1" applyProtection="1">
      <alignment horizontal="right" vertical="center"/>
    </xf>
    <xf numFmtId="3" fontId="3" fillId="3" borderId="9" xfId="33" applyNumberFormat="1" applyFont="1" applyFill="1" applyBorder="1" applyAlignment="1" applyProtection="1">
      <alignment horizontal="right" vertical="center"/>
    </xf>
    <xf numFmtId="0" fontId="2" fillId="0" borderId="16" xfId="33" applyBorder="1" applyAlignment="1">
      <alignment horizontal="right" vertical="center"/>
    </xf>
    <xf numFmtId="0" fontId="3" fillId="3" borderId="0" xfId="33" applyFont="1" applyFill="1" applyAlignment="1" applyProtection="1">
      <alignment horizontal="right" vertical="center"/>
    </xf>
    <xf numFmtId="0" fontId="3" fillId="0" borderId="11" xfId="33" applyFont="1" applyBorder="1" applyAlignment="1">
      <alignment horizontal="right" vertical="center"/>
    </xf>
    <xf numFmtId="0" fontId="43" fillId="12" borderId="14" xfId="0" applyFont="1" applyFill="1" applyBorder="1" applyAlignment="1" applyProtection="1">
      <alignment horizontal="center" vertical="center"/>
    </xf>
    <xf numFmtId="0" fontId="44" fillId="0" borderId="9" xfId="0" applyFont="1" applyBorder="1" applyAlignment="1" applyProtection="1">
      <alignment horizontal="center" vertical="center"/>
    </xf>
    <xf numFmtId="0" fontId="0" fillId="0" borderId="16" xfId="0" applyBorder="1" applyAlignment="1" applyProtection="1">
      <alignment vertical="center"/>
    </xf>
    <xf numFmtId="0" fontId="43" fillId="12" borderId="9" xfId="0" applyFont="1" applyFill="1" applyBorder="1" applyAlignment="1" applyProtection="1">
      <alignment horizontal="center" vertical="center"/>
    </xf>
    <xf numFmtId="0" fontId="46" fillId="12" borderId="14" xfId="0" applyFont="1" applyFill="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6" xfId="0" applyFont="1" applyBorder="1" applyAlignment="1" applyProtection="1">
      <alignment horizontal="center" vertical="center"/>
    </xf>
    <xf numFmtId="0" fontId="4" fillId="3" borderId="12" xfId="0" applyFont="1" applyFill="1" applyBorder="1" applyAlignment="1">
      <alignment vertical="center"/>
    </xf>
    <xf numFmtId="0" fontId="4" fillId="3" borderId="8" xfId="0" applyFont="1" applyFill="1" applyBorder="1" applyAlignment="1">
      <alignment vertical="center"/>
    </xf>
    <xf numFmtId="0" fontId="17" fillId="12" borderId="14" xfId="0" applyFont="1" applyFill="1" applyBorder="1" applyAlignment="1" applyProtection="1">
      <alignment horizontal="center"/>
    </xf>
    <xf numFmtId="0" fontId="0" fillId="0" borderId="9" xfId="0" applyBorder="1" applyAlignment="1">
      <alignment horizontal="center"/>
    </xf>
    <xf numFmtId="0" fontId="0" fillId="0" borderId="16" xfId="0" applyBorder="1" applyAlignment="1">
      <alignment horizontal="center"/>
    </xf>
    <xf numFmtId="0" fontId="0" fillId="0" borderId="9" xfId="0" applyBorder="1" applyAlignment="1" applyProtection="1">
      <alignment horizontal="center"/>
    </xf>
    <xf numFmtId="0" fontId="0" fillId="0" borderId="16" xfId="0" applyBorder="1" applyAlignment="1" applyProtection="1">
      <alignment horizontal="center"/>
    </xf>
    <xf numFmtId="0" fontId="17" fillId="12" borderId="9" xfId="0" applyFont="1" applyFill="1" applyBorder="1" applyAlignment="1" applyProtection="1">
      <alignment horizontal="center"/>
    </xf>
    <xf numFmtId="0" fontId="17" fillId="12" borderId="16" xfId="0" applyFont="1" applyFill="1" applyBorder="1" applyAlignment="1" applyProtection="1">
      <alignment horizontal="center"/>
    </xf>
    <xf numFmtId="0" fontId="0" fillId="0" borderId="0" xfId="0" applyAlignment="1">
      <alignment vertical="center"/>
    </xf>
    <xf numFmtId="0" fontId="7" fillId="3" borderId="4" xfId="0" applyFont="1" applyFill="1" applyBorder="1" applyAlignment="1">
      <alignment horizontal="center" vertical="center" wrapText="1" shrinkToFit="1"/>
    </xf>
    <xf numFmtId="0" fontId="20" fillId="0" borderId="5" xfId="0" applyFont="1" applyBorder="1" applyAlignment="1">
      <alignment horizontal="center" vertical="center" wrapText="1" shrinkToFit="1"/>
    </xf>
    <xf numFmtId="0" fontId="5" fillId="3" borderId="0" xfId="0" applyFont="1" applyFill="1" applyAlignment="1" applyProtection="1">
      <alignment horizontal="center" vertical="center"/>
    </xf>
    <xf numFmtId="37" fontId="3" fillId="12" borderId="0" xfId="0" applyNumberFormat="1" applyFont="1" applyFill="1" applyAlignment="1" applyProtection="1">
      <alignment horizontal="center" vertical="center"/>
    </xf>
    <xf numFmtId="0" fontId="3" fillId="3" borderId="0" xfId="0" applyFont="1" applyFill="1" applyAlignment="1">
      <alignment horizontal="right" vertical="center"/>
    </xf>
    <xf numFmtId="0" fontId="0" fillId="0" borderId="0" xfId="0" applyAlignment="1">
      <alignment horizontal="right" vertical="center"/>
    </xf>
    <xf numFmtId="0" fontId="0" fillId="0" borderId="0" xfId="0" applyAlignment="1" applyProtection="1">
      <alignment vertical="center"/>
    </xf>
    <xf numFmtId="0" fontId="3" fillId="3" borderId="0" xfId="0" applyFont="1" applyFill="1" applyAlignment="1" applyProtection="1">
      <alignment horizontal="right" vertical="center"/>
    </xf>
    <xf numFmtId="0" fontId="12" fillId="0" borderId="0" xfId="0" applyFont="1" applyAlignment="1">
      <alignment horizontal="center"/>
    </xf>
    <xf numFmtId="0" fontId="13" fillId="0" borderId="0" xfId="0" applyFont="1" applyAlignment="1">
      <alignment horizontal="center"/>
    </xf>
    <xf numFmtId="0" fontId="6" fillId="0" borderId="0" xfId="0" applyFont="1" applyAlignment="1">
      <alignment horizontal="left" vertical="top" wrapText="1"/>
    </xf>
    <xf numFmtId="0" fontId="0" fillId="0" borderId="0" xfId="0" applyAlignment="1">
      <alignment vertical="top" wrapText="1"/>
    </xf>
    <xf numFmtId="0" fontId="6" fillId="0" borderId="0" xfId="0" applyFont="1" applyAlignment="1">
      <alignment horizontal="center"/>
    </xf>
    <xf numFmtId="0" fontId="6" fillId="0" borderId="0" xfId="391" applyFont="1" applyAlignment="1">
      <alignment horizontal="center"/>
    </xf>
    <xf numFmtId="0" fontId="12" fillId="0" borderId="0" xfId="0" applyFont="1" applyAlignment="1">
      <alignment horizontal="left" wrapText="1"/>
    </xf>
    <xf numFmtId="0" fontId="0" fillId="0" borderId="0" xfId="0" applyAlignment="1">
      <alignment wrapText="1"/>
    </xf>
    <xf numFmtId="0" fontId="6" fillId="0" borderId="0" xfId="0" applyFont="1" applyAlignment="1">
      <alignment horizontal="left" wrapText="1"/>
    </xf>
    <xf numFmtId="0" fontId="16" fillId="0" borderId="0" xfId="0" applyFont="1" applyAlignment="1">
      <alignment wrapText="1"/>
    </xf>
    <xf numFmtId="0" fontId="16" fillId="0" borderId="0" xfId="0" applyFont="1" applyAlignment="1">
      <alignment vertical="top" wrapText="1"/>
    </xf>
    <xf numFmtId="174" fontId="37" fillId="14" borderId="1" xfId="0" applyNumberFormat="1" applyFont="1" applyFill="1" applyBorder="1" applyAlignment="1" applyProtection="1">
      <alignment horizontal="center"/>
      <protection locked="0"/>
    </xf>
    <xf numFmtId="178" fontId="37" fillId="12" borderId="0" xfId="0" applyNumberFormat="1" applyFont="1" applyFill="1" applyBorder="1" applyAlignment="1">
      <alignment horizontal="center"/>
    </xf>
    <xf numFmtId="178" fontId="37" fillId="0" borderId="22" xfId="0" applyNumberFormat="1" applyFont="1" applyBorder="1" applyAlignment="1">
      <alignment horizontal="center"/>
    </xf>
    <xf numFmtId="0" fontId="51" fillId="12" borderId="0" xfId="0" applyFont="1" applyFill="1" applyAlignment="1">
      <alignment horizontal="center" wrapText="1"/>
    </xf>
    <xf numFmtId="0" fontId="37" fillId="12" borderId="0" xfId="0" applyFont="1" applyFill="1" applyAlignment="1">
      <alignment wrapText="1"/>
    </xf>
    <xf numFmtId="0" fontId="37" fillId="12" borderId="0" xfId="0" applyFont="1" applyFill="1" applyBorder="1" applyAlignment="1">
      <alignment horizontal="center"/>
    </xf>
    <xf numFmtId="178" fontId="37" fillId="14" borderId="1" xfId="0" applyNumberFormat="1" applyFont="1" applyFill="1" applyBorder="1" applyAlignment="1" applyProtection="1">
      <alignment horizontal="center"/>
      <protection locked="0"/>
    </xf>
    <xf numFmtId="0" fontId="37" fillId="12" borderId="9" xfId="0" applyFont="1" applyFill="1" applyBorder="1" applyAlignment="1">
      <alignment horizontal="center"/>
    </xf>
    <xf numFmtId="0" fontId="37" fillId="12" borderId="26" xfId="0" applyFont="1" applyFill="1" applyBorder="1" applyAlignment="1">
      <alignment vertical="top" wrapText="1"/>
    </xf>
    <xf numFmtId="0" fontId="37" fillId="0" borderId="0" xfId="0" applyFont="1" applyAlignment="1">
      <alignment vertical="top" wrapText="1"/>
    </xf>
    <xf numFmtId="0" fontId="37" fillId="0" borderId="22" xfId="0" applyFont="1" applyBorder="1" applyAlignment="1">
      <alignment vertical="top" wrapText="1"/>
    </xf>
    <xf numFmtId="179" fontId="37" fillId="12" borderId="0" xfId="0" applyNumberFormat="1" applyFont="1" applyFill="1" applyBorder="1" applyAlignment="1">
      <alignment horizontal="center"/>
    </xf>
    <xf numFmtId="0" fontId="37" fillId="0" borderId="22" xfId="0" applyFont="1" applyBorder="1" applyAlignment="1">
      <alignment horizontal="center"/>
    </xf>
    <xf numFmtId="5" fontId="37" fillId="12" borderId="1" xfId="0" applyNumberFormat="1" applyFont="1" applyFill="1" applyBorder="1" applyAlignment="1">
      <alignment horizontal="center"/>
    </xf>
    <xf numFmtId="0" fontId="51" fillId="12" borderId="19" xfId="0" applyFont="1" applyFill="1" applyBorder="1" applyAlignment="1">
      <alignment horizontal="center" vertical="center"/>
    </xf>
    <xf numFmtId="0" fontId="37" fillId="0" borderId="19" xfId="0" applyFont="1" applyBorder="1" applyAlignment="1">
      <alignment horizontal="center" vertical="center"/>
    </xf>
    <xf numFmtId="0" fontId="51" fillId="12" borderId="0" xfId="0" applyFont="1" applyFill="1" applyBorder="1" applyAlignment="1">
      <alignment horizontal="center" wrapText="1"/>
    </xf>
    <xf numFmtId="0" fontId="37" fillId="0" borderId="0" xfId="0" applyFont="1" applyAlignment="1">
      <alignment horizontal="center" wrapText="1"/>
    </xf>
    <xf numFmtId="0" fontId="51" fillId="0" borderId="0" xfId="0" applyFont="1" applyAlignment="1">
      <alignment horizontal="center" wrapText="1"/>
    </xf>
    <xf numFmtId="0" fontId="37" fillId="12" borderId="0" xfId="0" applyFont="1" applyFill="1" applyBorder="1" applyAlignment="1">
      <alignment wrapText="1"/>
    </xf>
    <xf numFmtId="0" fontId="37" fillId="0" borderId="0" xfId="0" applyFont="1" applyAlignment="1">
      <alignment wrapText="1"/>
    </xf>
    <xf numFmtId="178" fontId="37" fillId="12" borderId="0" xfId="0" applyNumberFormat="1" applyFont="1" applyFill="1" applyAlignment="1"/>
    <xf numFmtId="0" fontId="51" fillId="12" borderId="0" xfId="0" applyFont="1" applyFill="1" applyAlignment="1">
      <alignment horizontal="center"/>
    </xf>
    <xf numFmtId="178" fontId="37" fillId="12" borderId="0" xfId="0" applyNumberFormat="1" applyFont="1" applyFill="1" applyAlignment="1">
      <alignment horizontal="center"/>
    </xf>
    <xf numFmtId="0" fontId="37" fillId="12" borderId="0" xfId="0" applyFont="1" applyFill="1" applyBorder="1" applyAlignment="1"/>
    <xf numFmtId="0" fontId="37" fillId="0" borderId="0" xfId="0" applyFont="1" applyBorder="1" applyAlignment="1"/>
    <xf numFmtId="0" fontId="37" fillId="12" borderId="24" xfId="0" applyFont="1" applyFill="1" applyBorder="1" applyAlignment="1"/>
    <xf numFmtId="0" fontId="37" fillId="12" borderId="25" xfId="0" applyFont="1" applyFill="1" applyBorder="1" applyAlignment="1"/>
    <xf numFmtId="0" fontId="51" fillId="12" borderId="0" xfId="0" applyFont="1" applyFill="1" applyAlignment="1">
      <alignment horizontal="center" vertical="center"/>
    </xf>
    <xf numFmtId="0" fontId="51" fillId="0" borderId="0" xfId="0" applyFont="1" applyAlignment="1">
      <alignment horizontal="center" vertical="center"/>
    </xf>
  </cellXfs>
  <cellStyles count="392">
    <cellStyle name="Comma" xfId="1" builtinId="3"/>
    <cellStyle name="Comma 16" xfId="2"/>
    <cellStyle name="Comma 16 2" xfId="3"/>
    <cellStyle name="Comma 16 3" xfId="4"/>
    <cellStyle name="Comma 3 2" xfId="5"/>
    <cellStyle name="Comma 6" xfId="6"/>
    <cellStyle name="Comma 7" xfId="7"/>
    <cellStyle name="Hyperlink" xfId="8" builtinId="8"/>
    <cellStyle name="Hyperlink 2 2" xfId="9"/>
    <cellStyle name="Hyperlink 3 2" xfId="10"/>
    <cellStyle name="Hyperlink 3 3" xfId="11"/>
    <cellStyle name="Hyperlink 3 4" xfId="12"/>
    <cellStyle name="Hyperlink 4 2" xfId="13"/>
    <cellStyle name="Hyperlink 7" xfId="14"/>
    <cellStyle name="Hyperlink 7 2" xfId="15"/>
    <cellStyle name="Normal" xfId="0" builtinId="0"/>
    <cellStyle name="Normal 10" xfId="16"/>
    <cellStyle name="Normal 10 2" xfId="17"/>
    <cellStyle name="Normal 10 2 2" xfId="18"/>
    <cellStyle name="Normal 10 3" xfId="19"/>
    <cellStyle name="Normal 10 4" xfId="20"/>
    <cellStyle name="Normal 10 5" xfId="21"/>
    <cellStyle name="Normal 10 6" xfId="22"/>
    <cellStyle name="Normal 11" xfId="23"/>
    <cellStyle name="Normal 11 2" xfId="24"/>
    <cellStyle name="Normal 11 2 2" xfId="25"/>
    <cellStyle name="Normal 11 3" xfId="26"/>
    <cellStyle name="Normal 11 4" xfId="27"/>
    <cellStyle name="Normal 11 5" xfId="28"/>
    <cellStyle name="Normal 12" xfId="29"/>
    <cellStyle name="Normal 12 10" xfId="30"/>
    <cellStyle name="Normal 12 11" xfId="31"/>
    <cellStyle name="Normal 12 12" xfId="32"/>
    <cellStyle name="Normal 12 2" xfId="33"/>
    <cellStyle name="Normal 12 2 2" xfId="34"/>
    <cellStyle name="Normal 12 3" xfId="35"/>
    <cellStyle name="Normal 12 4" xfId="36"/>
    <cellStyle name="Normal 12 5" xfId="37"/>
    <cellStyle name="Normal 12 6" xfId="38"/>
    <cellStyle name="Normal 12 7" xfId="39"/>
    <cellStyle name="Normal 12 8" xfId="40"/>
    <cellStyle name="Normal 12 9" xfId="41"/>
    <cellStyle name="Normal 13" xfId="42"/>
    <cellStyle name="Normal 13 10" xfId="43"/>
    <cellStyle name="Normal 13 11" xfId="44"/>
    <cellStyle name="Normal 13 12" xfId="45"/>
    <cellStyle name="Normal 13 2" xfId="46"/>
    <cellStyle name="Normal 13 2 2" xfId="47"/>
    <cellStyle name="Normal 13 3" xfId="48"/>
    <cellStyle name="Normal 13 4" xfId="49"/>
    <cellStyle name="Normal 13 5" xfId="50"/>
    <cellStyle name="Normal 13 6" xfId="51"/>
    <cellStyle name="Normal 13 7" xfId="52"/>
    <cellStyle name="Normal 13 8" xfId="53"/>
    <cellStyle name="Normal 13 9" xfId="54"/>
    <cellStyle name="Normal 14" xfId="55"/>
    <cellStyle name="Normal 14 2" xfId="56"/>
    <cellStyle name="Normal 14 3" xfId="57"/>
    <cellStyle name="Normal 14 4" xfId="58"/>
    <cellStyle name="Normal 14 5" xfId="59"/>
    <cellStyle name="Normal 14 6" xfId="60"/>
    <cellStyle name="Normal 15" xfId="61"/>
    <cellStyle name="Normal 15 2" xfId="62"/>
    <cellStyle name="Normal 15 3" xfId="63"/>
    <cellStyle name="Normal 15 4" xfId="64"/>
    <cellStyle name="Normal 16" xfId="65"/>
    <cellStyle name="Normal 16 2" xfId="66"/>
    <cellStyle name="Normal 16 3" xfId="67"/>
    <cellStyle name="Normal 16 4" xfId="68"/>
    <cellStyle name="Normal 17" xfId="69"/>
    <cellStyle name="Normal 17 2" xfId="70"/>
    <cellStyle name="Normal 17 3" xfId="71"/>
    <cellStyle name="Normal 17 4" xfId="72"/>
    <cellStyle name="Normal 18" xfId="73"/>
    <cellStyle name="Normal 18 2" xfId="74"/>
    <cellStyle name="Normal 18 2 2" xfId="75"/>
    <cellStyle name="Normal 18 2 3" xfId="76"/>
    <cellStyle name="Normal 18 3" xfId="77"/>
    <cellStyle name="Normal 18 4" xfId="78"/>
    <cellStyle name="Normal 18 5" xfId="79"/>
    <cellStyle name="Normal 18 6" xfId="80"/>
    <cellStyle name="Normal 18 7" xfId="81"/>
    <cellStyle name="Normal 18 8" xfId="82"/>
    <cellStyle name="Normal 19" xfId="83"/>
    <cellStyle name="Normal 19 2" xfId="84"/>
    <cellStyle name="Normal 19 2 2" xfId="85"/>
    <cellStyle name="Normal 19 2 3" xfId="86"/>
    <cellStyle name="Normal 19 3" xfId="87"/>
    <cellStyle name="Normal 19 4" xfId="88"/>
    <cellStyle name="Normal 19 5" xfId="89"/>
    <cellStyle name="Normal 19 6" xfId="90"/>
    <cellStyle name="Normal 19 7" xfId="91"/>
    <cellStyle name="Normal 2" xfId="92"/>
    <cellStyle name="Normal 2 10" xfId="93"/>
    <cellStyle name="Normal 2 10 10" xfId="94"/>
    <cellStyle name="Normal 2 10 11" xfId="95"/>
    <cellStyle name="Normal 2 10 12" xfId="96"/>
    <cellStyle name="Normal 2 10 2" xfId="97"/>
    <cellStyle name="Normal 2 10 2 2" xfId="98"/>
    <cellStyle name="Normal 2 10 3" xfId="99"/>
    <cellStyle name="Normal 2 10 3 2" xfId="100"/>
    <cellStyle name="Normal 2 10 4" xfId="101"/>
    <cellStyle name="Normal 2 10 4 2" xfId="102"/>
    <cellStyle name="Normal 2 10 5" xfId="103"/>
    <cellStyle name="Normal 2 10 5 2" xfId="104"/>
    <cellStyle name="Normal 2 10 6" xfId="105"/>
    <cellStyle name="Normal 2 10 6 2" xfId="106"/>
    <cellStyle name="Normal 2 10 7" xfId="107"/>
    <cellStyle name="Normal 2 10 7 2" xfId="108"/>
    <cellStyle name="Normal 2 10 8" xfId="109"/>
    <cellStyle name="Normal 2 10 8 2" xfId="110"/>
    <cellStyle name="Normal 2 10 9" xfId="111"/>
    <cellStyle name="Normal 2 11" xfId="112"/>
    <cellStyle name="Normal 2 11 10" xfId="113"/>
    <cellStyle name="Normal 2 11 2" xfId="114"/>
    <cellStyle name="Normal 2 11 2 2" xfId="115"/>
    <cellStyle name="Normal 2 11 3" xfId="116"/>
    <cellStyle name="Normal 2 11 3 2" xfId="117"/>
    <cellStyle name="Normal 2 11 4" xfId="118"/>
    <cellStyle name="Normal 2 11 4 2" xfId="119"/>
    <cellStyle name="Normal 2 11 5" xfId="120"/>
    <cellStyle name="Normal 2 11 5 2" xfId="121"/>
    <cellStyle name="Normal 2 11 6" xfId="122"/>
    <cellStyle name="Normal 2 11 6 2" xfId="123"/>
    <cellStyle name="Normal 2 11 7" xfId="124"/>
    <cellStyle name="Normal 2 11 7 2" xfId="125"/>
    <cellStyle name="Normal 2 11 8" xfId="126"/>
    <cellStyle name="Normal 2 11 8 2" xfId="127"/>
    <cellStyle name="Normal 2 11 9" xfId="128"/>
    <cellStyle name="Normal 2 12" xfId="129"/>
    <cellStyle name="Normal 2 13" xfId="130"/>
    <cellStyle name="Normal 2 14" xfId="131"/>
    <cellStyle name="Normal 2 15" xfId="132"/>
    <cellStyle name="Normal 2 16" xfId="133"/>
    <cellStyle name="Normal 2 2" xfId="134"/>
    <cellStyle name="Normal 2 2 10" xfId="135"/>
    <cellStyle name="Normal 2 2 10 2" xfId="136"/>
    <cellStyle name="Normal 2 2 11" xfId="137"/>
    <cellStyle name="Normal 2 2 11 2" xfId="138"/>
    <cellStyle name="Normal 2 2 12" xfId="139"/>
    <cellStyle name="Normal 2 2 12 2" xfId="140"/>
    <cellStyle name="Normal 2 2 12 2 2" xfId="141"/>
    <cellStyle name="Normal 2 2 12 3" xfId="142"/>
    <cellStyle name="Normal 2 2 13" xfId="143"/>
    <cellStyle name="Normal 2 2 13 2" xfId="144"/>
    <cellStyle name="Normal 2 2 13 2 2" xfId="145"/>
    <cellStyle name="Normal 2 2 13 3" xfId="146"/>
    <cellStyle name="Normal 2 2 14" xfId="147"/>
    <cellStyle name="Normal 2 2 14 2" xfId="148"/>
    <cellStyle name="Normal 2 2 15" xfId="149"/>
    <cellStyle name="Normal 2 2 15 2" xfId="150"/>
    <cellStyle name="Normal 2 2 16" xfId="151"/>
    <cellStyle name="Normal 2 2 16 2" xfId="152"/>
    <cellStyle name="Normal 2 2 16 3" xfId="153"/>
    <cellStyle name="Normal 2 2 17" xfId="154"/>
    <cellStyle name="Normal 2 2 18" xfId="155"/>
    <cellStyle name="Normal 2 2 19" xfId="156"/>
    <cellStyle name="Normal 2 2 2" xfId="157"/>
    <cellStyle name="Normal 2 2 2 2" xfId="158"/>
    <cellStyle name="Normal 2 2 2 2 2" xfId="159"/>
    <cellStyle name="Normal 2 2 2 2 3" xfId="160"/>
    <cellStyle name="Normal 2 2 2 3" xfId="161"/>
    <cellStyle name="Normal 2 2 2 3 2" xfId="162"/>
    <cellStyle name="Normal 2 2 2 4" xfId="163"/>
    <cellStyle name="Normal 2 2 2 4 2" xfId="164"/>
    <cellStyle name="Normal 2 2 2 5" xfId="165"/>
    <cellStyle name="Normal 2 2 2 5 2" xfId="166"/>
    <cellStyle name="Normal 2 2 2 6" xfId="167"/>
    <cellStyle name="Normal 2 2 2 6 2" xfId="168"/>
    <cellStyle name="Normal 2 2 2 7" xfId="169"/>
    <cellStyle name="Normal 2 2 2 8" xfId="170"/>
    <cellStyle name="Normal 2 2 20" xfId="171"/>
    <cellStyle name="Normal 2 2 21" xfId="172"/>
    <cellStyle name="Normal 2 2 3" xfId="173"/>
    <cellStyle name="Normal 2 2 3 2" xfId="174"/>
    <cellStyle name="Normal 2 2 4" xfId="175"/>
    <cellStyle name="Normal 2 2 4 2" xfId="176"/>
    <cellStyle name="Normal 2 2 5" xfId="177"/>
    <cellStyle name="Normal 2 2 5 2" xfId="178"/>
    <cellStyle name="Normal 2 2 6" xfId="179"/>
    <cellStyle name="Normal 2 2 6 2" xfId="180"/>
    <cellStyle name="Normal 2 2 7" xfId="181"/>
    <cellStyle name="Normal 2 2 7 2" xfId="182"/>
    <cellStyle name="Normal 2 2 8" xfId="183"/>
    <cellStyle name="Normal 2 2 8 2" xfId="184"/>
    <cellStyle name="Normal 2 2 9" xfId="185"/>
    <cellStyle name="Normal 2 2 9 2" xfId="186"/>
    <cellStyle name="Normal 2 3" xfId="187"/>
    <cellStyle name="Normal 2 3 10" xfId="188"/>
    <cellStyle name="Normal 2 3 11" xfId="189"/>
    <cellStyle name="Normal 2 3 12" xfId="190"/>
    <cellStyle name="Normal 2 3 13" xfId="191"/>
    <cellStyle name="Normal 2 3 14" xfId="192"/>
    <cellStyle name="Normal 2 3 15" xfId="193"/>
    <cellStyle name="Normal 2 3 2" xfId="194"/>
    <cellStyle name="Normal 2 3 2 2" xfId="195"/>
    <cellStyle name="Normal 2 3 2 2 2" xfId="196"/>
    <cellStyle name="Normal 2 3 2 2 3" xfId="197"/>
    <cellStyle name="Normal 2 3 2 3" xfId="198"/>
    <cellStyle name="Normal 2 3 2 4" xfId="199"/>
    <cellStyle name="Normal 2 3 3" xfId="200"/>
    <cellStyle name="Normal 2 3 3 2" xfId="201"/>
    <cellStyle name="Normal 2 3 3 3" xfId="202"/>
    <cellStyle name="Normal 2 3 4" xfId="203"/>
    <cellStyle name="Normal 2 3 5" xfId="204"/>
    <cellStyle name="Normal 2 3 6" xfId="205"/>
    <cellStyle name="Normal 2 3 7" xfId="206"/>
    <cellStyle name="Normal 2 3 8" xfId="207"/>
    <cellStyle name="Normal 2 3 9" xfId="208"/>
    <cellStyle name="Normal 2 4" xfId="209"/>
    <cellStyle name="Normal 2 4 10" xfId="210"/>
    <cellStyle name="Normal 2 4 11" xfId="211"/>
    <cellStyle name="Normal 2 4 12" xfId="212"/>
    <cellStyle name="Normal 2 4 13" xfId="213"/>
    <cellStyle name="Normal 2 4 2" xfId="214"/>
    <cellStyle name="Normal 2 4 2 2" xfId="215"/>
    <cellStyle name="Normal 2 4 2 2 2" xfId="216"/>
    <cellStyle name="Normal 2 4 2 2 3" xfId="217"/>
    <cellStyle name="Normal 2 4 2 3" xfId="218"/>
    <cellStyle name="Normal 2 4 2 4" xfId="219"/>
    <cellStyle name="Normal 2 4 3" xfId="220"/>
    <cellStyle name="Normal 2 4 3 2" xfId="221"/>
    <cellStyle name="Normal 2 4 3 3" xfId="222"/>
    <cellStyle name="Normal 2 4 4" xfId="223"/>
    <cellStyle name="Normal 2 4 5" xfId="224"/>
    <cellStyle name="Normal 2 4 6" xfId="225"/>
    <cellStyle name="Normal 2 4 7" xfId="226"/>
    <cellStyle name="Normal 2 4 8" xfId="227"/>
    <cellStyle name="Normal 2 4 9" xfId="228"/>
    <cellStyle name="Normal 2 5" xfId="229"/>
    <cellStyle name="Normal 2 5 10" xfId="230"/>
    <cellStyle name="Normal 2 5 11" xfId="231"/>
    <cellStyle name="Normal 2 5 12" xfId="232"/>
    <cellStyle name="Normal 2 5 12 2" xfId="233"/>
    <cellStyle name="Normal 2 5 2" xfId="234"/>
    <cellStyle name="Normal 2 5 2 2" xfId="235"/>
    <cellStyle name="Normal 2 5 3" xfId="236"/>
    <cellStyle name="Normal 2 5 3 2" xfId="237"/>
    <cellStyle name="Normal 2 5 4" xfId="238"/>
    <cellStyle name="Normal 2 5 5" xfId="239"/>
    <cellStyle name="Normal 2 5 6" xfId="240"/>
    <cellStyle name="Normal 2 5 7" xfId="241"/>
    <cellStyle name="Normal 2 5 8" xfId="242"/>
    <cellStyle name="Normal 2 5 9" xfId="243"/>
    <cellStyle name="Normal 2 6" xfId="244"/>
    <cellStyle name="Normal 2 6 10" xfId="245"/>
    <cellStyle name="Normal 2 6 11" xfId="246"/>
    <cellStyle name="Normal 2 6 12" xfId="247"/>
    <cellStyle name="Normal 2 6 2" xfId="248"/>
    <cellStyle name="Normal 2 6 2 2" xfId="249"/>
    <cellStyle name="Normal 2 6 3" xfId="250"/>
    <cellStyle name="Normal 2 6 3 2" xfId="251"/>
    <cellStyle name="Normal 2 6 4" xfId="252"/>
    <cellStyle name="Normal 2 6 5" xfId="253"/>
    <cellStyle name="Normal 2 6 6" xfId="254"/>
    <cellStyle name="Normal 2 6 7" xfId="255"/>
    <cellStyle name="Normal 2 6 8" xfId="256"/>
    <cellStyle name="Normal 2 6 9" xfId="257"/>
    <cellStyle name="Normal 2 7" xfId="258"/>
    <cellStyle name="Normal 2 7 10" xfId="259"/>
    <cellStyle name="Normal 2 7 2" xfId="260"/>
    <cellStyle name="Normal 2 7 2 2" xfId="261"/>
    <cellStyle name="Normal 2 7 2 3" xfId="262"/>
    <cellStyle name="Normal 2 7 3" xfId="263"/>
    <cellStyle name="Normal 2 7 3 2" xfId="264"/>
    <cellStyle name="Normal 2 7 4" xfId="265"/>
    <cellStyle name="Normal 2 7 4 2" xfId="266"/>
    <cellStyle name="Normal 2 7 5" xfId="267"/>
    <cellStyle name="Normal 2 7 5 2" xfId="268"/>
    <cellStyle name="Normal 2 7 6" xfId="269"/>
    <cellStyle name="Normal 2 7 6 2" xfId="270"/>
    <cellStyle name="Normal 2 7 7" xfId="271"/>
    <cellStyle name="Normal 2 7 7 2" xfId="272"/>
    <cellStyle name="Normal 2 7 8" xfId="273"/>
    <cellStyle name="Normal 2 7 8 2" xfId="274"/>
    <cellStyle name="Normal 2 7 9" xfId="275"/>
    <cellStyle name="Normal 2 8" xfId="276"/>
    <cellStyle name="Normal 2 8 10" xfId="277"/>
    <cellStyle name="Normal 2 8 2" xfId="278"/>
    <cellStyle name="Normal 2 8 2 2" xfId="279"/>
    <cellStyle name="Normal 2 8 3" xfId="280"/>
    <cellStyle name="Normal 2 8 3 2" xfId="281"/>
    <cellStyle name="Normal 2 8 4" xfId="282"/>
    <cellStyle name="Normal 2 8 4 2" xfId="283"/>
    <cellStyle name="Normal 2 8 5" xfId="284"/>
    <cellStyle name="Normal 2 8 5 2" xfId="285"/>
    <cellStyle name="Normal 2 8 6" xfId="286"/>
    <cellStyle name="Normal 2 8 6 2" xfId="287"/>
    <cellStyle name="Normal 2 8 7" xfId="288"/>
    <cellStyle name="Normal 2 8 7 2" xfId="289"/>
    <cellStyle name="Normal 2 8 8" xfId="290"/>
    <cellStyle name="Normal 2 8 8 2" xfId="291"/>
    <cellStyle name="Normal 2 8 9" xfId="292"/>
    <cellStyle name="Normal 2 9" xfId="293"/>
    <cellStyle name="Normal 2 9 10" xfId="294"/>
    <cellStyle name="Normal 2 9 2" xfId="295"/>
    <cellStyle name="Normal 2 9 2 2" xfId="296"/>
    <cellStyle name="Normal 2 9 3" xfId="297"/>
    <cellStyle name="Normal 2 9 3 2" xfId="298"/>
    <cellStyle name="Normal 2 9 4" xfId="299"/>
    <cellStyle name="Normal 2 9 4 2" xfId="300"/>
    <cellStyle name="Normal 2 9 5" xfId="301"/>
    <cellStyle name="Normal 2 9 5 2" xfId="302"/>
    <cellStyle name="Normal 2 9 6" xfId="303"/>
    <cellStyle name="Normal 2 9 6 2" xfId="304"/>
    <cellStyle name="Normal 2 9 7" xfId="305"/>
    <cellStyle name="Normal 2 9 7 2" xfId="306"/>
    <cellStyle name="Normal 2 9 8" xfId="307"/>
    <cellStyle name="Normal 2 9 8 2" xfId="308"/>
    <cellStyle name="Normal 2 9 9" xfId="309"/>
    <cellStyle name="Normal 20" xfId="310"/>
    <cellStyle name="Normal 20 2" xfId="311"/>
    <cellStyle name="Normal 20 3" xfId="312"/>
    <cellStyle name="Normal 22" xfId="313"/>
    <cellStyle name="Normal 22 2" xfId="314"/>
    <cellStyle name="Normal 22 3" xfId="315"/>
    <cellStyle name="Normal 23" xfId="316"/>
    <cellStyle name="Normal 23 2" xfId="317"/>
    <cellStyle name="Normal 23 3" xfId="318"/>
    <cellStyle name="Normal 24" xfId="319"/>
    <cellStyle name="Normal 24 2" xfId="320"/>
    <cellStyle name="Normal 24 3" xfId="321"/>
    <cellStyle name="Normal 25" xfId="322"/>
    <cellStyle name="Normal 25 2" xfId="323"/>
    <cellStyle name="Normal 25 3" xfId="324"/>
    <cellStyle name="Normal 3" xfId="325"/>
    <cellStyle name="Normal 3 2" xfId="326"/>
    <cellStyle name="Normal 3 2 2" xfId="327"/>
    <cellStyle name="Normal 3 2 2 2" xfId="328"/>
    <cellStyle name="Normal 3 2 2 3" xfId="329"/>
    <cellStyle name="Normal 3 2 3" xfId="330"/>
    <cellStyle name="Normal 3 2 4" xfId="331"/>
    <cellStyle name="Normal 3 3" xfId="332"/>
    <cellStyle name="Normal 3 3 2" xfId="333"/>
    <cellStyle name="Normal 3 3 2 2" xfId="334"/>
    <cellStyle name="Normal 3 3 2 3" xfId="335"/>
    <cellStyle name="Normal 3 3 3" xfId="336"/>
    <cellStyle name="Normal 3 4" xfId="337"/>
    <cellStyle name="Normal 3 5" xfId="338"/>
    <cellStyle name="Normal 3 6" xfId="339"/>
    <cellStyle name="Normal 3 7" xfId="340"/>
    <cellStyle name="Normal 3 8" xfId="341"/>
    <cellStyle name="Normal 3 9" xfId="342"/>
    <cellStyle name="Normal 4 2" xfId="343"/>
    <cellStyle name="Normal 4 2 2" xfId="344"/>
    <cellStyle name="Normal 4 2 2 2" xfId="345"/>
    <cellStyle name="Normal 4 2 2 3" xfId="346"/>
    <cellStyle name="Normal 4 2 3" xfId="347"/>
    <cellStyle name="Normal 4 2 4" xfId="348"/>
    <cellStyle name="Normal 4 3" xfId="349"/>
    <cellStyle name="Normal 4 3 2" xfId="350"/>
    <cellStyle name="Normal 4 3 3" xfId="351"/>
    <cellStyle name="Normal 4 4" xfId="352"/>
    <cellStyle name="Normal 4 5" xfId="353"/>
    <cellStyle name="Normal 4 6" xfId="354"/>
    <cellStyle name="Normal 5" xfId="355"/>
    <cellStyle name="Normal 5 2" xfId="356"/>
    <cellStyle name="Normal 5 3" xfId="357"/>
    <cellStyle name="Normal 5 3 2" xfId="358"/>
    <cellStyle name="Normal 5 3 3" xfId="359"/>
    <cellStyle name="Normal 5 4" xfId="360"/>
    <cellStyle name="Normal 6" xfId="361"/>
    <cellStyle name="Normal 6 2" xfId="362"/>
    <cellStyle name="Normal 6 3" xfId="363"/>
    <cellStyle name="Normal 6 4" xfId="364"/>
    <cellStyle name="Normal 6 5" xfId="365"/>
    <cellStyle name="Normal 7" xfId="366"/>
    <cellStyle name="Normal 7 2" xfId="367"/>
    <cellStyle name="Normal 7 2 2" xfId="368"/>
    <cellStyle name="Normal 7 2 2 2" xfId="369"/>
    <cellStyle name="Normal 7 2 3" xfId="370"/>
    <cellStyle name="Normal 7 2 4" xfId="371"/>
    <cellStyle name="Normal 7 3" xfId="372"/>
    <cellStyle name="Normal 7 4" xfId="373"/>
    <cellStyle name="Normal 7 4 2" xfId="374"/>
    <cellStyle name="Normal 7 4 3" xfId="375"/>
    <cellStyle name="Normal 7 5" xfId="376"/>
    <cellStyle name="Normal 7 5 2" xfId="377"/>
    <cellStyle name="Normal 7 5 3" xfId="378"/>
    <cellStyle name="Normal 7 5 4" xfId="379"/>
    <cellStyle name="Normal 7 6" xfId="380"/>
    <cellStyle name="Normal 8" xfId="381"/>
    <cellStyle name="Normal 8 2" xfId="382"/>
    <cellStyle name="Normal 9" xfId="383"/>
    <cellStyle name="Normal 9 2" xfId="384"/>
    <cellStyle name="Normal 9 2 2" xfId="385"/>
    <cellStyle name="Normal 9 3" xfId="386"/>
    <cellStyle name="Normal 9 4" xfId="387"/>
    <cellStyle name="Normal 9 5" xfId="388"/>
    <cellStyle name="Normal_debt" xfId="389"/>
    <cellStyle name="Normal_lpform" xfId="390"/>
    <cellStyle name="Normal_Township 07" xfId="391"/>
  </cellStyles>
  <dxfs count="6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161373</xdr:colOff>
      <xdr:row>52</xdr:row>
      <xdr:rowOff>152400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781373" cy="10058400"/>
        </a:xfrm>
        <a:prstGeom prst="rect">
          <a:avLst/>
        </a:prstGeom>
        <a:noFill/>
      </xdr:spPr>
    </xdr:pic>
    <xdr:clientData/>
  </xdr:twoCellAnchor>
  <xdr:twoCellAnchor editAs="oneCell">
    <xdr:from>
      <xdr:col>0</xdr:col>
      <xdr:colOff>0</xdr:colOff>
      <xdr:row>54</xdr:row>
      <xdr:rowOff>0</xdr:rowOff>
    </xdr:from>
    <xdr:to>
      <xdr:col>10</xdr:col>
      <xdr:colOff>161373</xdr:colOff>
      <xdr:row>106</xdr:row>
      <xdr:rowOff>152400</xdr:rowOff>
    </xdr:to>
    <xdr:pic>
      <xdr:nvPicPr>
        <xdr:cNvPr id="205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10287000"/>
          <a:ext cx="7781373" cy="10058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89"/>
  <sheetViews>
    <sheetView zoomScaleNormal="75" workbookViewId="0">
      <selection activeCell="A90" sqref="A90"/>
    </sheetView>
  </sheetViews>
  <sheetFormatPr defaultRowHeight="15.75"/>
  <cols>
    <col min="1" max="1" width="81.6640625" style="92" customWidth="1"/>
    <col min="2" max="16384" width="8.88671875" style="92"/>
  </cols>
  <sheetData>
    <row r="1" spans="1:2">
      <c r="A1" s="337" t="s">
        <v>76</v>
      </c>
      <c r="B1" s="338"/>
    </row>
    <row r="2" spans="1:2">
      <c r="A2" s="337"/>
      <c r="B2" s="338"/>
    </row>
    <row r="3" spans="1:2" ht="35.25" customHeight="1">
      <c r="A3" s="339" t="s">
        <v>173</v>
      </c>
    </row>
    <row r="4" spans="1:2">
      <c r="A4" s="340"/>
    </row>
    <row r="5" spans="1:2">
      <c r="A5" s="340" t="s">
        <v>227</v>
      </c>
    </row>
    <row r="6" spans="1:2">
      <c r="A6" s="340"/>
    </row>
    <row r="7" spans="1:2" ht="57.75" customHeight="1">
      <c r="A7" s="341" t="s">
        <v>266</v>
      </c>
    </row>
    <row r="8" spans="1:2">
      <c r="A8" s="340"/>
    </row>
    <row r="9" spans="1:2">
      <c r="A9" s="342" t="s">
        <v>221</v>
      </c>
      <c r="B9" s="338"/>
    </row>
    <row r="10" spans="1:2">
      <c r="A10" s="342"/>
      <c r="B10" s="338"/>
    </row>
    <row r="11" spans="1:2">
      <c r="A11" s="340" t="s">
        <v>222</v>
      </c>
      <c r="B11" s="338"/>
    </row>
    <row r="12" spans="1:2" ht="14.25" customHeight="1">
      <c r="A12" s="146"/>
    </row>
    <row r="13" spans="1:2" s="331" customFormat="1" ht="42" customHeight="1">
      <c r="A13" s="343" t="s">
        <v>267</v>
      </c>
    </row>
    <row r="16" spans="1:2">
      <c r="A16" s="342" t="s">
        <v>5</v>
      </c>
    </row>
    <row r="17" spans="1:1">
      <c r="A17" s="146"/>
    </row>
    <row r="18" spans="1:1">
      <c r="A18" s="266" t="s">
        <v>216</v>
      </c>
    </row>
    <row r="19" spans="1:1" ht="17.25" customHeight="1">
      <c r="A19" s="343" t="s">
        <v>128</v>
      </c>
    </row>
    <row r="20" spans="1:1" ht="24.75" customHeight="1">
      <c r="A20" s="344" t="s">
        <v>127</v>
      </c>
    </row>
    <row r="21" spans="1:1" ht="52.5" customHeight="1">
      <c r="A21" s="345" t="s">
        <v>129</v>
      </c>
    </row>
    <row r="22" spans="1:1" ht="20.25" customHeight="1">
      <c r="A22" s="346" t="s">
        <v>174</v>
      </c>
    </row>
    <row r="23" spans="1:1" s="347" customFormat="1" ht="20.25" customHeight="1">
      <c r="A23" s="301" t="s">
        <v>220</v>
      </c>
    </row>
    <row r="24" spans="1:1" ht="21" customHeight="1">
      <c r="A24" s="343" t="s">
        <v>75</v>
      </c>
    </row>
    <row r="25" spans="1:1">
      <c r="A25" s="146"/>
    </row>
    <row r="26" spans="1:1">
      <c r="A26" s="348" t="s">
        <v>6</v>
      </c>
    </row>
    <row r="28" spans="1:1" ht="21" customHeight="1">
      <c r="A28" s="331" t="s">
        <v>146</v>
      </c>
    </row>
    <row r="30" spans="1:1" ht="71.25" customHeight="1">
      <c r="A30" s="331" t="s">
        <v>703</v>
      </c>
    </row>
    <row r="31" spans="1:1" ht="49.5" customHeight="1">
      <c r="A31" s="349" t="s">
        <v>219</v>
      </c>
    </row>
    <row r="32" spans="1:1" ht="74.099999999999994" customHeight="1">
      <c r="A32" s="380" t="s">
        <v>531</v>
      </c>
    </row>
    <row r="33" spans="1:1" ht="69.95" customHeight="1">
      <c r="A33" s="381" t="s">
        <v>532</v>
      </c>
    </row>
    <row r="35" spans="1:1" ht="71.25" customHeight="1">
      <c r="A35" s="331" t="s">
        <v>704</v>
      </c>
    </row>
    <row r="36" spans="1:1" ht="57.75" customHeight="1">
      <c r="A36" s="331" t="s">
        <v>533</v>
      </c>
    </row>
    <row r="37" spans="1:1" ht="105" customHeight="1">
      <c r="A37" s="331" t="s">
        <v>534</v>
      </c>
    </row>
    <row r="38" spans="1:1">
      <c r="A38" s="331"/>
    </row>
    <row r="39" spans="1:1" ht="70.5" customHeight="1">
      <c r="A39" s="331" t="s">
        <v>535</v>
      </c>
    </row>
    <row r="40" spans="1:1" ht="70.5" customHeight="1">
      <c r="A40" s="331" t="s">
        <v>536</v>
      </c>
    </row>
    <row r="41" spans="1:1" ht="39" customHeight="1">
      <c r="A41" s="331" t="s">
        <v>537</v>
      </c>
    </row>
    <row r="42" spans="1:1">
      <c r="A42" s="331"/>
    </row>
    <row r="43" spans="1:1" ht="71.25" customHeight="1">
      <c r="A43" s="331" t="s">
        <v>538</v>
      </c>
    </row>
    <row r="44" spans="1:1" ht="42" customHeight="1">
      <c r="A44" s="331" t="s">
        <v>539</v>
      </c>
    </row>
    <row r="45" spans="1:1" ht="44.25" customHeight="1">
      <c r="A45" s="331" t="s">
        <v>540</v>
      </c>
    </row>
    <row r="47" spans="1:1" ht="51.75" customHeight="1">
      <c r="A47" s="331" t="s">
        <v>541</v>
      </c>
    </row>
    <row r="49" spans="1:1" ht="35.25" customHeight="1">
      <c r="A49" s="331" t="s">
        <v>542</v>
      </c>
    </row>
    <row r="50" spans="1:1" ht="23.25" customHeight="1">
      <c r="A50" s="92" t="s">
        <v>543</v>
      </c>
    </row>
    <row r="51" spans="1:1" ht="72.75" customHeight="1">
      <c r="A51" s="331" t="s">
        <v>558</v>
      </c>
    </row>
    <row r="52" spans="1:1" ht="29.25" customHeight="1">
      <c r="A52" s="331" t="s">
        <v>544</v>
      </c>
    </row>
    <row r="54" spans="1:1" ht="72" customHeight="1">
      <c r="A54" s="331" t="s">
        <v>545</v>
      </c>
    </row>
    <row r="56" spans="1:1" ht="67.5" customHeight="1">
      <c r="A56" s="331" t="s">
        <v>546</v>
      </c>
    </row>
    <row r="57" spans="1:1">
      <c r="A57" s="331"/>
    </row>
    <row r="58" spans="1:1" ht="53.25" customHeight="1">
      <c r="A58" s="331" t="s">
        <v>547</v>
      </c>
    </row>
    <row r="59" spans="1:1" ht="70.5" customHeight="1">
      <c r="A59" s="571" t="s">
        <v>705</v>
      </c>
    </row>
    <row r="60" spans="1:1" ht="53.25" customHeight="1">
      <c r="A60" s="571" t="s">
        <v>706</v>
      </c>
    </row>
    <row r="61" spans="1:1" ht="53.25" customHeight="1">
      <c r="A61" s="572" t="s">
        <v>707</v>
      </c>
    </row>
    <row r="62" spans="1:1" ht="68.25" customHeight="1">
      <c r="A62" s="571" t="s">
        <v>708</v>
      </c>
    </row>
    <row r="63" spans="1:1" ht="69" customHeight="1">
      <c r="A63" s="331" t="s">
        <v>709</v>
      </c>
    </row>
    <row r="64" spans="1:1" ht="90" customHeight="1">
      <c r="A64" s="331" t="s">
        <v>710</v>
      </c>
    </row>
    <row r="65" spans="1:1" ht="113.25" customHeight="1">
      <c r="A65" s="351" t="s">
        <v>711</v>
      </c>
    </row>
    <row r="66" spans="1:1" ht="105.75" customHeight="1">
      <c r="A66" s="352" t="s">
        <v>712</v>
      </c>
    </row>
    <row r="67" spans="1:1" ht="77.25" customHeight="1">
      <c r="A67" s="353" t="s">
        <v>713</v>
      </c>
    </row>
    <row r="68" spans="1:1" ht="91.5" customHeight="1">
      <c r="A68" s="331" t="s">
        <v>714</v>
      </c>
    </row>
    <row r="69" spans="1:1" ht="113.25" customHeight="1">
      <c r="A69" s="354" t="s">
        <v>715</v>
      </c>
    </row>
    <row r="70" spans="1:1" ht="11.25" customHeight="1">
      <c r="A70" s="331"/>
    </row>
    <row r="71" spans="1:1" ht="120.75" customHeight="1">
      <c r="A71" s="331" t="s">
        <v>548</v>
      </c>
    </row>
    <row r="72" spans="1:1" ht="108" customHeight="1">
      <c r="A72" s="350" t="s">
        <v>549</v>
      </c>
    </row>
    <row r="73" spans="1:1" ht="66" customHeight="1">
      <c r="A73" s="350" t="s">
        <v>550</v>
      </c>
    </row>
    <row r="74" spans="1:1" ht="21" customHeight="1">
      <c r="A74" s="331" t="s">
        <v>551</v>
      </c>
    </row>
    <row r="75" spans="1:1" ht="11.25" customHeight="1">
      <c r="A75" s="331"/>
    </row>
    <row r="76" spans="1:1" s="331" customFormat="1" ht="50.25" customHeight="1">
      <c r="A76" s="331" t="s">
        <v>552</v>
      </c>
    </row>
    <row r="77" spans="1:1" s="331" customFormat="1" ht="23.25" customHeight="1">
      <c r="A77" s="331" t="s">
        <v>555</v>
      </c>
    </row>
    <row r="78" spans="1:1" s="331" customFormat="1" ht="70.5" customHeight="1">
      <c r="A78" s="571" t="s">
        <v>716</v>
      </c>
    </row>
    <row r="79" spans="1:1" s="331" customFormat="1" ht="88.5" customHeight="1">
      <c r="A79" s="571" t="s">
        <v>717</v>
      </c>
    </row>
    <row r="80" spans="1:1" s="331" customFormat="1" ht="43.5" customHeight="1">
      <c r="A80" s="331" t="s">
        <v>718</v>
      </c>
    </row>
    <row r="81" spans="1:1" s="331" customFormat="1" ht="54" customHeight="1">
      <c r="A81" s="331" t="s">
        <v>719</v>
      </c>
    </row>
    <row r="83" spans="1:1" s="331" customFormat="1" ht="33.75" customHeight="1">
      <c r="A83" s="331" t="s">
        <v>553</v>
      </c>
    </row>
    <row r="85" spans="1:1" ht="21.75" customHeight="1">
      <c r="A85" s="331" t="s">
        <v>554</v>
      </c>
    </row>
    <row r="87" spans="1:1" ht="49.5" customHeight="1">
      <c r="A87" s="571" t="s">
        <v>720</v>
      </c>
    </row>
    <row r="88" spans="1:1" ht="81.75" customHeight="1">
      <c r="A88" s="571" t="s">
        <v>721</v>
      </c>
    </row>
    <row r="89" spans="1:1" ht="97.5" customHeight="1">
      <c r="A89" s="571" t="s">
        <v>722</v>
      </c>
    </row>
  </sheetData>
  <sheetProtection sheet="1"/>
  <phoneticPr fontId="0" type="noConversion"/>
  <pageMargins left="0.5" right="0.5" top="0.5" bottom="0.5" header="0.5" footer="0.5"/>
  <pageSetup orientation="portrait" blackAndWhite="1" horizontalDpi="4294967292" r:id="rId1"/>
  <headerFooter alignWithMargins="0"/>
  <rowBreaks count="1" manualBreakCount="1">
    <brk id="75" man="1"/>
  </rowBreaks>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defaultRowHeight="15"/>
  <cols>
    <col min="1" max="1" width="71.109375" style="57" customWidth="1"/>
    <col min="2" max="16384" width="8.88671875" style="57"/>
  </cols>
  <sheetData>
    <row r="1" spans="1:1" ht="18.75">
      <c r="A1" s="332" t="s">
        <v>305</v>
      </c>
    </row>
    <row r="2" spans="1:1" ht="15.75">
      <c r="A2" s="92"/>
    </row>
    <row r="3" spans="1:1" ht="47.25">
      <c r="A3" s="333" t="s">
        <v>306</v>
      </c>
    </row>
    <row r="4" spans="1:1" ht="15.75">
      <c r="A4" s="334"/>
    </row>
    <row r="5" spans="1:1" ht="15.75">
      <c r="A5" s="92"/>
    </row>
    <row r="6" spans="1:1" ht="63">
      <c r="A6" s="333" t="s">
        <v>307</v>
      </c>
    </row>
    <row r="7" spans="1:1" ht="15.75">
      <c r="A7" s="334"/>
    </row>
    <row r="8" spans="1:1" ht="15.75">
      <c r="A8" s="92"/>
    </row>
    <row r="9" spans="1:1" ht="47.25">
      <c r="A9" s="333" t="s">
        <v>308</v>
      </c>
    </row>
    <row r="10" spans="1:1" ht="15.75">
      <c r="A10" s="334"/>
    </row>
    <row r="11" spans="1:1" ht="15.75">
      <c r="A11" s="334"/>
    </row>
    <row r="12" spans="1:1" ht="31.5">
      <c r="A12" s="333" t="s">
        <v>309</v>
      </c>
    </row>
    <row r="13" spans="1:1" ht="15.75">
      <c r="A13" s="92"/>
    </row>
    <row r="14" spans="1:1" ht="15.75">
      <c r="A14" s="92"/>
    </row>
    <row r="15" spans="1:1" ht="47.25">
      <c r="A15" s="333" t="s">
        <v>310</v>
      </c>
    </row>
    <row r="16" spans="1:1" ht="15.75">
      <c r="A16" s="92"/>
    </row>
    <row r="17" spans="1:1" ht="15.75">
      <c r="A17" s="92"/>
    </row>
    <row r="18" spans="1:1" ht="63">
      <c r="A18" s="512" t="s">
        <v>669</v>
      </c>
    </row>
    <row r="19" spans="1:1" ht="15.75">
      <c r="A19" s="92"/>
    </row>
    <row r="20" spans="1:1" ht="15.75">
      <c r="A20" s="92"/>
    </row>
    <row r="21" spans="1:1" ht="63">
      <c r="A21" s="355" t="s">
        <v>311</v>
      </c>
    </row>
    <row r="22" spans="1:1" ht="15.75">
      <c r="A22" s="334"/>
    </row>
    <row r="23" spans="1:1" ht="15.75">
      <c r="A23" s="92"/>
    </row>
    <row r="24" spans="1:1" ht="63">
      <c r="A24" s="333" t="s">
        <v>312</v>
      </c>
    </row>
    <row r="25" spans="1:1" ht="47.25">
      <c r="A25" s="335" t="s">
        <v>313</v>
      </c>
    </row>
    <row r="26" spans="1:1" ht="15.75">
      <c r="A26" s="334"/>
    </row>
    <row r="27" spans="1:1" ht="15.75">
      <c r="A27" s="92"/>
    </row>
    <row r="28" spans="1:1" ht="63">
      <c r="A28" s="512" t="s">
        <v>670</v>
      </c>
    </row>
    <row r="29" spans="1:1" ht="15.75">
      <c r="A29" s="92"/>
    </row>
    <row r="30" spans="1:1" ht="15.75">
      <c r="A30" s="92"/>
    </row>
    <row r="31" spans="1:1" ht="78.75">
      <c r="A31" s="512" t="s">
        <v>671</v>
      </c>
    </row>
    <row r="32" spans="1:1" ht="15.75">
      <c r="A32" s="92"/>
    </row>
    <row r="33" spans="1:1" ht="15.75">
      <c r="A33" s="92"/>
    </row>
    <row r="34" spans="1:1" ht="47.25">
      <c r="A34" s="513" t="s">
        <v>672</v>
      </c>
    </row>
    <row r="35" spans="1:1" ht="15.75">
      <c r="A35" s="92"/>
    </row>
    <row r="36" spans="1:1" ht="15.75">
      <c r="A36" s="92"/>
    </row>
    <row r="37" spans="1:1" ht="78.75">
      <c r="A37" s="333" t="s">
        <v>314</v>
      </c>
    </row>
    <row r="38" spans="1:1" ht="15.75">
      <c r="A38" s="334"/>
    </row>
    <row r="39" spans="1:1" ht="15.75">
      <c r="A39" s="334"/>
    </row>
    <row r="40" spans="1:1" ht="47.25">
      <c r="A40" s="355" t="s">
        <v>315</v>
      </c>
    </row>
    <row r="41" spans="1:1" ht="15.75">
      <c r="A41" s="334"/>
    </row>
  </sheetData>
  <sheetProtection sheet="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X43"/>
  <sheetViews>
    <sheetView zoomScale="75" workbookViewId="0">
      <selection activeCell="E18" sqref="E18"/>
    </sheetView>
  </sheetViews>
  <sheetFormatPr defaultRowHeight="15.75"/>
  <cols>
    <col min="1" max="1" width="20.77734375" style="16" customWidth="1"/>
    <col min="2" max="2" width="9.77734375" style="16" customWidth="1"/>
    <col min="3" max="3" width="10.77734375" style="16" customWidth="1"/>
    <col min="4" max="4" width="9.77734375" style="16" customWidth="1"/>
    <col min="5" max="5" width="17.21875" style="16" customWidth="1"/>
    <col min="6" max="11" width="9.77734375" style="16" customWidth="1"/>
    <col min="12" max="16384" width="8.88671875" style="16"/>
  </cols>
  <sheetData>
    <row r="1" spans="1:11">
      <c r="A1" s="18" t="str">
        <f>inputPrYr!$D$3</f>
        <v>Antioch Cemetery</v>
      </c>
      <c r="B1" s="18"/>
      <c r="C1" s="18"/>
      <c r="D1" s="18"/>
      <c r="E1" s="18"/>
      <c r="F1" s="18"/>
      <c r="G1" s="18"/>
      <c r="H1" s="18"/>
      <c r="I1" s="18"/>
      <c r="J1" s="18"/>
      <c r="K1" s="185">
        <f>inputPrYr!D6</f>
        <v>2013</v>
      </c>
    </row>
    <row r="2" spans="1:11">
      <c r="A2" s="18" t="str">
        <f>inputPrYr!$D$4</f>
        <v>Franklin County</v>
      </c>
      <c r="B2" s="18"/>
      <c r="C2" s="18"/>
      <c r="D2" s="18"/>
      <c r="E2" s="18"/>
      <c r="F2" s="18"/>
      <c r="G2" s="18"/>
      <c r="H2" s="18"/>
      <c r="I2" s="18"/>
      <c r="J2" s="18"/>
      <c r="K2" s="138"/>
    </row>
    <row r="3" spans="1:11">
      <c r="A3" s="18"/>
      <c r="B3" s="18"/>
      <c r="C3" s="18"/>
      <c r="D3" s="18"/>
      <c r="E3" s="18"/>
      <c r="F3" s="18"/>
      <c r="G3" s="18"/>
      <c r="H3" s="18"/>
      <c r="I3" s="18"/>
      <c r="J3" s="18"/>
      <c r="K3" s="138"/>
    </row>
    <row r="4" spans="1:11" s="188" customFormat="1">
      <c r="A4" s="186" t="s">
        <v>84</v>
      </c>
      <c r="B4" s="187"/>
      <c r="C4" s="187"/>
      <c r="D4" s="26"/>
      <c r="E4" s="187"/>
      <c r="F4" s="187"/>
      <c r="G4" s="187"/>
      <c r="H4" s="187"/>
      <c r="I4" s="187"/>
      <c r="J4" s="187"/>
      <c r="K4" s="187"/>
    </row>
    <row r="5" spans="1:11" s="188" customFormat="1">
      <c r="A5" s="189"/>
      <c r="B5" s="189"/>
      <c r="C5" s="189"/>
      <c r="D5" s="189"/>
      <c r="E5" s="189"/>
      <c r="F5" s="189"/>
      <c r="G5" s="189"/>
      <c r="H5" s="189"/>
      <c r="I5" s="189"/>
      <c r="J5" s="189"/>
      <c r="K5" s="189"/>
    </row>
    <row r="6" spans="1:11" s="188" customFormat="1">
      <c r="A6" s="18"/>
      <c r="B6" s="98" t="s">
        <v>57</v>
      </c>
      <c r="C6" s="98" t="s">
        <v>66</v>
      </c>
      <c r="D6" s="98"/>
      <c r="E6" s="98" t="s">
        <v>31</v>
      </c>
      <c r="F6" s="190"/>
      <c r="G6" s="191"/>
      <c r="H6" s="190" t="s">
        <v>58</v>
      </c>
      <c r="I6" s="191"/>
      <c r="J6" s="190" t="s">
        <v>58</v>
      </c>
      <c r="K6" s="191"/>
    </row>
    <row r="7" spans="1:11" s="188" customFormat="1">
      <c r="A7" s="18"/>
      <c r="B7" s="101" t="s">
        <v>59</v>
      </c>
      <c r="C7" s="101" t="s">
        <v>60</v>
      </c>
      <c r="D7" s="101" t="s">
        <v>31</v>
      </c>
      <c r="E7" s="101" t="s">
        <v>131</v>
      </c>
      <c r="F7" s="192" t="s">
        <v>61</v>
      </c>
      <c r="G7" s="193"/>
      <c r="H7" s="192">
        <f>K1-1</f>
        <v>2012</v>
      </c>
      <c r="I7" s="193"/>
      <c r="J7" s="192">
        <f>K1</f>
        <v>2013</v>
      </c>
      <c r="K7" s="193"/>
    </row>
    <row r="8" spans="1:11" s="188" customFormat="1">
      <c r="A8" s="194" t="s">
        <v>62</v>
      </c>
      <c r="B8" s="110" t="s">
        <v>63</v>
      </c>
      <c r="C8" s="110" t="s">
        <v>43</v>
      </c>
      <c r="D8" s="110" t="s">
        <v>64</v>
      </c>
      <c r="E8" s="195" t="str">
        <f>CONCATENATE("Jan 1,",K1-1,"")</f>
        <v>Jan 1,2012</v>
      </c>
      <c r="F8" s="107" t="s">
        <v>66</v>
      </c>
      <c r="G8" s="107" t="s">
        <v>67</v>
      </c>
      <c r="H8" s="107" t="s">
        <v>66</v>
      </c>
      <c r="I8" s="107" t="s">
        <v>67</v>
      </c>
      <c r="J8" s="107" t="s">
        <v>66</v>
      </c>
      <c r="K8" s="107" t="s">
        <v>67</v>
      </c>
    </row>
    <row r="9" spans="1:11" s="188" customFormat="1">
      <c r="A9" s="35" t="s">
        <v>175</v>
      </c>
      <c r="B9" s="196"/>
      <c r="C9" s="35"/>
      <c r="D9" s="35"/>
      <c r="E9" s="35"/>
      <c r="F9" s="197"/>
      <c r="G9" s="197"/>
      <c r="H9" s="35"/>
      <c r="I9" s="35"/>
      <c r="J9" s="35"/>
      <c r="K9" s="35"/>
    </row>
    <row r="10" spans="1:11" s="188" customFormat="1">
      <c r="A10" s="198"/>
      <c r="B10" s="401"/>
      <c r="C10" s="198"/>
      <c r="D10" s="198"/>
      <c r="E10" s="55"/>
      <c r="F10" s="199"/>
      <c r="G10" s="199"/>
      <c r="H10" s="198"/>
      <c r="I10" s="198"/>
      <c r="J10" s="198"/>
      <c r="K10" s="198"/>
    </row>
    <row r="11" spans="1:11" s="188" customFormat="1">
      <c r="A11" s="36"/>
      <c r="B11" s="402"/>
      <c r="C11" s="200"/>
      <c r="D11" s="37"/>
      <c r="E11" s="37"/>
      <c r="F11" s="201"/>
      <c r="G11" s="201"/>
      <c r="H11" s="202"/>
      <c r="I11" s="202"/>
      <c r="J11" s="202"/>
      <c r="K11" s="202"/>
    </row>
    <row r="12" spans="1:11" s="188" customFormat="1">
      <c r="A12" s="203" t="s">
        <v>176</v>
      </c>
      <c r="B12" s="204"/>
      <c r="C12" s="205"/>
      <c r="D12" s="206"/>
      <c r="E12" s="207">
        <f>SUM(E10:E11)</f>
        <v>0</v>
      </c>
      <c r="F12" s="208"/>
      <c r="G12" s="208"/>
      <c r="H12" s="207">
        <f>SUM(H10:H11)</f>
        <v>0</v>
      </c>
      <c r="I12" s="207">
        <f>SUM(I10:I11)</f>
        <v>0</v>
      </c>
      <c r="J12" s="207">
        <f>SUM(J10:J11)</f>
        <v>0</v>
      </c>
      <c r="K12" s="207">
        <f>SUM(K10:K11)</f>
        <v>0</v>
      </c>
    </row>
    <row r="13" spans="1:11" s="188" customFormat="1">
      <c r="A13" s="203" t="s">
        <v>177</v>
      </c>
      <c r="B13" s="204"/>
      <c r="C13" s="205"/>
      <c r="D13" s="206"/>
      <c r="E13" s="121"/>
      <c r="F13" s="208"/>
      <c r="G13" s="208"/>
      <c r="H13" s="121"/>
      <c r="I13" s="121"/>
      <c r="J13" s="121"/>
      <c r="K13" s="121"/>
    </row>
    <row r="14" spans="1:11" s="188" customFormat="1">
      <c r="A14" s="36"/>
      <c r="B14" s="402"/>
      <c r="C14" s="200"/>
      <c r="D14" s="37"/>
      <c r="E14" s="202"/>
      <c r="F14" s="201"/>
      <c r="G14" s="201"/>
      <c r="H14" s="202"/>
      <c r="I14" s="202"/>
      <c r="J14" s="202"/>
      <c r="K14" s="202"/>
    </row>
    <row r="15" spans="1:11" s="188" customFormat="1">
      <c r="A15" s="36"/>
      <c r="B15" s="402"/>
      <c r="C15" s="200"/>
      <c r="D15" s="37"/>
      <c r="E15" s="202"/>
      <c r="F15" s="201"/>
      <c r="G15" s="201"/>
      <c r="H15" s="202"/>
      <c r="I15" s="202"/>
      <c r="J15" s="202"/>
      <c r="K15" s="202"/>
    </row>
    <row r="16" spans="1:11" s="188" customFormat="1">
      <c r="A16" s="203" t="s">
        <v>178</v>
      </c>
      <c r="B16" s="204"/>
      <c r="C16" s="205"/>
      <c r="D16" s="206"/>
      <c r="E16" s="121">
        <f>SUM(E14:E15)</f>
        <v>0</v>
      </c>
      <c r="F16" s="208"/>
      <c r="G16" s="208"/>
      <c r="H16" s="207">
        <f>SUM(H14:H15)</f>
        <v>0</v>
      </c>
      <c r="I16" s="207">
        <f>SUM(I14:I15)</f>
        <v>0</v>
      </c>
      <c r="J16" s="207">
        <f>SUM(J14:J15)</f>
        <v>0</v>
      </c>
      <c r="K16" s="207">
        <f>SUM(K14:K15)</f>
        <v>0</v>
      </c>
    </row>
    <row r="17" spans="1:24" s="188" customFormat="1">
      <c r="A17" s="203" t="s">
        <v>179</v>
      </c>
      <c r="B17" s="204"/>
      <c r="C17" s="205"/>
      <c r="D17" s="206"/>
      <c r="E17" s="121"/>
      <c r="F17" s="208"/>
      <c r="G17" s="208"/>
      <c r="H17" s="121"/>
      <c r="I17" s="121"/>
      <c r="J17" s="121"/>
      <c r="K17" s="121"/>
    </row>
    <row r="18" spans="1:24" s="188" customFormat="1">
      <c r="A18" s="36"/>
      <c r="B18" s="402"/>
      <c r="C18" s="200"/>
      <c r="D18" s="37"/>
      <c r="E18" s="202"/>
      <c r="F18" s="201"/>
      <c r="G18" s="201"/>
      <c r="H18" s="202"/>
      <c r="I18" s="202"/>
      <c r="J18" s="202"/>
      <c r="K18" s="202"/>
    </row>
    <row r="19" spans="1:24" s="188" customFormat="1">
      <c r="A19" s="36"/>
      <c r="B19" s="402"/>
      <c r="C19" s="200"/>
      <c r="D19" s="37"/>
      <c r="E19" s="202"/>
      <c r="F19" s="201"/>
      <c r="G19" s="201"/>
      <c r="H19" s="202"/>
      <c r="I19" s="202"/>
      <c r="J19" s="202"/>
      <c r="K19" s="202"/>
    </row>
    <row r="20" spans="1:24" s="188" customFormat="1">
      <c r="A20" s="38" t="s">
        <v>180</v>
      </c>
      <c r="B20" s="209"/>
      <c r="C20" s="210"/>
      <c r="D20" s="47"/>
      <c r="E20" s="207">
        <f>SUM(E18:E19)</f>
        <v>0</v>
      </c>
      <c r="F20" s="208"/>
      <c r="G20" s="208"/>
      <c r="H20" s="207">
        <f>SUM(H18:H19)</f>
        <v>0</v>
      </c>
      <c r="I20" s="207">
        <f>SUM(I18:I19)</f>
        <v>0</v>
      </c>
      <c r="J20" s="207">
        <f>SUM(J18:J19)</f>
        <v>0</v>
      </c>
      <c r="K20" s="207">
        <f>SUM(K18:K19)</f>
        <v>0</v>
      </c>
    </row>
    <row r="21" spans="1:24" s="188" customFormat="1">
      <c r="A21" s="211" t="s">
        <v>85</v>
      </c>
      <c r="B21" s="212"/>
      <c r="C21" s="213"/>
      <c r="D21" s="214"/>
      <c r="E21" s="215">
        <f>SUM(E12+E16+E20)</f>
        <v>0</v>
      </c>
      <c r="F21" s="212"/>
      <c r="G21" s="216"/>
      <c r="H21" s="215">
        <f>SUM(H12+H16+H20)</f>
        <v>0</v>
      </c>
      <c r="I21" s="215">
        <f>SUM(I12+I16+I20)</f>
        <v>0</v>
      </c>
      <c r="J21" s="215">
        <f>SUM(J12+J16+J20)</f>
        <v>0</v>
      </c>
      <c r="K21" s="215">
        <f>SUM(K12+K16+K20)</f>
        <v>0</v>
      </c>
    </row>
    <row r="22" spans="1:24" s="188" customFormat="1">
      <c r="A22" s="18"/>
      <c r="B22" s="18"/>
      <c r="C22" s="65"/>
      <c r="D22" s="65"/>
      <c r="E22" s="65"/>
      <c r="F22" s="65"/>
      <c r="G22" s="65"/>
      <c r="H22" s="65"/>
      <c r="I22" s="65"/>
      <c r="J22" s="65"/>
      <c r="K22" s="65"/>
      <c r="L22" s="92"/>
      <c r="M22" s="92"/>
      <c r="N22" s="92"/>
      <c r="O22" s="92"/>
      <c r="P22" s="92"/>
      <c r="Q22" s="92"/>
      <c r="R22" s="92"/>
      <c r="S22" s="92"/>
      <c r="T22" s="92"/>
      <c r="U22" s="92"/>
      <c r="V22" s="92"/>
      <c r="W22" s="92"/>
      <c r="X22" s="92"/>
    </row>
    <row r="23" spans="1:24" s="219" customFormat="1">
      <c r="A23" s="186" t="s">
        <v>79</v>
      </c>
      <c r="B23" s="217"/>
      <c r="C23" s="217"/>
      <c r="D23" s="217"/>
      <c r="E23" s="26"/>
      <c r="F23" s="217"/>
      <c r="G23" s="217"/>
      <c r="H23" s="217"/>
      <c r="I23" s="217"/>
      <c r="J23" s="217"/>
      <c r="K23" s="218"/>
    </row>
    <row r="24" spans="1:24" s="219" customFormat="1">
      <c r="A24" s="65"/>
      <c r="B24" s="102"/>
      <c r="C24" s="102"/>
      <c r="D24" s="102"/>
      <c r="E24" s="102"/>
      <c r="F24" s="102"/>
      <c r="G24" s="102"/>
      <c r="H24" s="102"/>
      <c r="I24" s="96"/>
      <c r="J24" s="96"/>
      <c r="K24" s="218"/>
    </row>
    <row r="25" spans="1:24" s="219" customFormat="1">
      <c r="A25" s="220"/>
      <c r="B25" s="220"/>
      <c r="C25" s="98" t="s">
        <v>65</v>
      </c>
      <c r="D25" s="220"/>
      <c r="E25" s="98" t="s">
        <v>13</v>
      </c>
      <c r="F25" s="220"/>
      <c r="G25" s="220"/>
      <c r="H25" s="220"/>
      <c r="I25" s="221"/>
      <c r="J25" s="222"/>
      <c r="K25" s="218"/>
    </row>
    <row r="26" spans="1:24" s="219" customFormat="1">
      <c r="A26" s="223"/>
      <c r="B26" s="101"/>
      <c r="C26" s="101" t="s">
        <v>59</v>
      </c>
      <c r="D26" s="101" t="s">
        <v>66</v>
      </c>
      <c r="E26" s="101" t="s">
        <v>31</v>
      </c>
      <c r="F26" s="101" t="s">
        <v>67</v>
      </c>
      <c r="G26" s="101" t="s">
        <v>68</v>
      </c>
      <c r="H26" s="101" t="s">
        <v>68</v>
      </c>
      <c r="I26" s="218"/>
      <c r="J26" s="218"/>
      <c r="K26" s="218"/>
    </row>
    <row r="27" spans="1:24" s="219" customFormat="1">
      <c r="A27" s="223"/>
      <c r="B27" s="101" t="s">
        <v>69</v>
      </c>
      <c r="C27" s="101" t="s">
        <v>70</v>
      </c>
      <c r="D27" s="101" t="s">
        <v>60</v>
      </c>
      <c r="E27" s="101" t="s">
        <v>71</v>
      </c>
      <c r="F27" s="101" t="s">
        <v>111</v>
      </c>
      <c r="G27" s="101" t="s">
        <v>72</v>
      </c>
      <c r="H27" s="101" t="s">
        <v>72</v>
      </c>
      <c r="I27" s="218"/>
      <c r="J27" s="218"/>
      <c r="K27" s="218"/>
    </row>
    <row r="28" spans="1:24" s="219" customFormat="1">
      <c r="A28" s="224" t="s">
        <v>73</v>
      </c>
      <c r="B28" s="110" t="s">
        <v>57</v>
      </c>
      <c r="C28" s="225" t="s">
        <v>74</v>
      </c>
      <c r="D28" s="110" t="s">
        <v>43</v>
      </c>
      <c r="E28" s="225" t="s">
        <v>132</v>
      </c>
      <c r="F28" s="195" t="str">
        <f>E8</f>
        <v>Jan 1,2012</v>
      </c>
      <c r="G28" s="110">
        <f>K1-1</f>
        <v>2012</v>
      </c>
      <c r="H28" s="110">
        <f>K1</f>
        <v>2013</v>
      </c>
      <c r="I28" s="218"/>
      <c r="J28" s="218"/>
      <c r="K28" s="218"/>
    </row>
    <row r="29" spans="1:24" s="219" customFormat="1">
      <c r="A29" s="36"/>
      <c r="B29" s="402"/>
      <c r="C29" s="226"/>
      <c r="D29" s="200"/>
      <c r="E29" s="37"/>
      <c r="F29" s="37"/>
      <c r="G29" s="37"/>
      <c r="H29" s="37"/>
      <c r="I29" s="218"/>
      <c r="J29" s="218"/>
      <c r="K29" s="218"/>
    </row>
    <row r="30" spans="1:24" s="219" customFormat="1">
      <c r="A30" s="36"/>
      <c r="B30" s="402"/>
      <c r="C30" s="226"/>
      <c r="D30" s="200"/>
      <c r="E30" s="37"/>
      <c r="F30" s="37"/>
      <c r="G30" s="37"/>
      <c r="H30" s="37"/>
      <c r="I30" s="218"/>
      <c r="J30" s="218"/>
      <c r="K30" s="218"/>
    </row>
    <row r="31" spans="1:24" s="219" customFormat="1">
      <c r="A31" s="36"/>
      <c r="B31" s="402"/>
      <c r="C31" s="226"/>
      <c r="D31" s="200"/>
      <c r="E31" s="37"/>
      <c r="F31" s="37"/>
      <c r="G31" s="37"/>
      <c r="H31" s="37"/>
      <c r="I31" s="218"/>
      <c r="J31" s="218"/>
      <c r="K31" s="218"/>
    </row>
    <row r="32" spans="1:24" s="219" customFormat="1">
      <c r="A32" s="36"/>
      <c r="B32" s="402"/>
      <c r="C32" s="226"/>
      <c r="D32" s="200"/>
      <c r="E32" s="37"/>
      <c r="F32" s="37"/>
      <c r="G32" s="37"/>
      <c r="H32" s="37"/>
      <c r="I32" s="218"/>
      <c r="J32" s="218"/>
      <c r="K32" s="218"/>
    </row>
    <row r="33" spans="1:11" s="219" customFormat="1">
      <c r="A33" s="36"/>
      <c r="B33" s="402"/>
      <c r="C33" s="226"/>
      <c r="D33" s="200"/>
      <c r="E33" s="37"/>
      <c r="F33" s="37"/>
      <c r="G33" s="37"/>
      <c r="H33" s="37"/>
      <c r="I33" s="218"/>
      <c r="J33" s="218"/>
      <c r="K33" s="218"/>
    </row>
    <row r="34" spans="1:11" s="219" customFormat="1">
      <c r="A34" s="36"/>
      <c r="B34" s="402"/>
      <c r="C34" s="226"/>
      <c r="D34" s="200"/>
      <c r="E34" s="37"/>
      <c r="F34" s="37"/>
      <c r="G34" s="37"/>
      <c r="H34" s="37"/>
      <c r="I34" s="218"/>
      <c r="J34" s="218"/>
      <c r="K34" s="218"/>
    </row>
    <row r="35" spans="1:11" s="219" customFormat="1">
      <c r="A35" s="36"/>
      <c r="B35" s="402"/>
      <c r="C35" s="226"/>
      <c r="D35" s="200"/>
      <c r="E35" s="37"/>
      <c r="F35" s="37"/>
      <c r="G35" s="37"/>
      <c r="H35" s="37"/>
      <c r="I35" s="218"/>
      <c r="J35" s="218"/>
      <c r="K35" s="218"/>
    </row>
    <row r="36" spans="1:11" s="219" customFormat="1">
      <c r="A36" s="36"/>
      <c r="B36" s="402"/>
      <c r="C36" s="226"/>
      <c r="D36" s="200"/>
      <c r="E36" s="37"/>
      <c r="F36" s="37"/>
      <c r="G36" s="37"/>
      <c r="H36" s="37"/>
      <c r="I36" s="218"/>
      <c r="J36" s="218"/>
      <c r="K36" s="218"/>
    </row>
    <row r="37" spans="1:11" s="219" customFormat="1">
      <c r="A37" s="36"/>
      <c r="B37" s="402"/>
      <c r="C37" s="226"/>
      <c r="D37" s="200"/>
      <c r="E37" s="37"/>
      <c r="F37" s="37"/>
      <c r="G37" s="37"/>
      <c r="H37" s="37"/>
      <c r="I37" s="218"/>
      <c r="J37" s="218"/>
      <c r="K37" s="218"/>
    </row>
    <row r="38" spans="1:11" s="219" customFormat="1">
      <c r="A38" s="36"/>
      <c r="B38" s="402"/>
      <c r="C38" s="226"/>
      <c r="D38" s="200"/>
      <c r="E38" s="37"/>
      <c r="F38" s="37"/>
      <c r="G38" s="37"/>
      <c r="H38" s="37"/>
      <c r="I38" s="218"/>
      <c r="J38" s="218"/>
      <c r="K38" s="218"/>
    </row>
    <row r="39" spans="1:11" s="219" customFormat="1">
      <c r="A39" s="36"/>
      <c r="B39" s="402"/>
      <c r="C39" s="226"/>
      <c r="D39" s="200"/>
      <c r="E39" s="37"/>
      <c r="F39" s="37"/>
      <c r="G39" s="37"/>
      <c r="H39" s="37"/>
      <c r="I39" s="218"/>
      <c r="J39" s="218"/>
      <c r="K39" s="218"/>
    </row>
    <row r="40" spans="1:11" s="219" customFormat="1">
      <c r="A40" s="36"/>
      <c r="B40" s="402"/>
      <c r="C40" s="226"/>
      <c r="D40" s="200"/>
      <c r="E40" s="37"/>
      <c r="F40" s="37"/>
      <c r="G40" s="37"/>
      <c r="H40" s="37"/>
      <c r="I40" s="218"/>
      <c r="J40" s="218"/>
      <c r="K40" s="218"/>
    </row>
    <row r="41" spans="1:11" s="188" customFormat="1">
      <c r="A41" s="227" t="s">
        <v>85</v>
      </c>
      <c r="B41" s="228"/>
      <c r="C41" s="229"/>
      <c r="D41" s="230"/>
      <c r="E41" s="231">
        <f>SUM(E29:E40)</f>
        <v>0</v>
      </c>
      <c r="F41" s="232">
        <f>SUM(F29:F40)</f>
        <v>0</v>
      </c>
      <c r="G41" s="232">
        <f>SUM(G29:G40)</f>
        <v>0</v>
      </c>
      <c r="H41" s="232">
        <f>SUM(H29:H40)</f>
        <v>0</v>
      </c>
      <c r="I41" s="189"/>
      <c r="J41" s="189"/>
      <c r="K41" s="73"/>
    </row>
    <row r="42" spans="1:11">
      <c r="A42" s="54"/>
      <c r="B42" s="54"/>
      <c r="C42" s="54"/>
      <c r="D42" s="54"/>
      <c r="E42" s="54"/>
      <c r="F42" s="54"/>
      <c r="G42" s="54"/>
      <c r="H42" s="54"/>
      <c r="I42" s="18"/>
      <c r="J42" s="18"/>
      <c r="K42" s="18"/>
    </row>
    <row r="43" spans="1:11">
      <c r="A43" s="233" t="s">
        <v>230</v>
      </c>
      <c r="B43" s="184"/>
      <c r="C43" s="184"/>
      <c r="D43" s="184"/>
      <c r="E43" s="184"/>
      <c r="F43" s="184"/>
      <c r="G43" s="184"/>
      <c r="H43" s="54"/>
      <c r="I43" s="18"/>
      <c r="J43" s="18"/>
      <c r="K43" s="18"/>
    </row>
  </sheetData>
  <sheetProtection sheet="1"/>
  <phoneticPr fontId="0" type="noConversion"/>
  <pageMargins left="0.5" right="0.5" top="1" bottom="0.5" header="0.5" footer="0.25"/>
  <pageSetup scale="75" orientation="landscape" blackAndWhite="1" horizontalDpi="120" verticalDpi="144" r:id="rId1"/>
  <headerFooter alignWithMargins="0">
    <oddHeader xml:space="preserve">&amp;RState of Kansas
Special District
</oddHeader>
    <oddFooter>&amp;CPage No. 5</oddFooter>
  </headerFooter>
</worksheet>
</file>

<file path=xl/worksheets/sheet12.xml><?xml version="1.0" encoding="utf-8"?>
<worksheet xmlns="http://schemas.openxmlformats.org/spreadsheetml/2006/main" xmlns:r="http://schemas.openxmlformats.org/officeDocument/2006/relationships">
  <sheetPr>
    <pageSetUpPr fitToPage="1"/>
  </sheetPr>
  <dimension ref="B1:J71"/>
  <sheetViews>
    <sheetView topLeftCell="A37" workbookViewId="0">
      <selection activeCell="E32" sqref="E32"/>
    </sheetView>
  </sheetViews>
  <sheetFormatPr defaultRowHeight="15.75"/>
  <cols>
    <col min="1" max="1" width="2.44140625" style="92" customWidth="1"/>
    <col min="2" max="2" width="31.109375" style="92" customWidth="1"/>
    <col min="3" max="5" width="15.77734375" style="92" customWidth="1"/>
    <col min="6" max="16384" width="8.88671875" style="92"/>
  </cols>
  <sheetData>
    <row r="1" spans="2:6">
      <c r="B1" s="18" t="str">
        <f>inputPrYr!D3</f>
        <v>Antioch Cemetery</v>
      </c>
      <c r="C1" s="234"/>
      <c r="D1" s="18"/>
      <c r="E1" s="185"/>
    </row>
    <row r="2" spans="2:6">
      <c r="B2" s="18" t="str">
        <f>inputPrYr!D4</f>
        <v>Franklin County</v>
      </c>
      <c r="C2" s="234"/>
      <c r="D2" s="18"/>
      <c r="E2" s="138"/>
    </row>
    <row r="3" spans="2:6">
      <c r="B3" s="543" t="s">
        <v>80</v>
      </c>
      <c r="C3" s="234"/>
      <c r="D3" s="18"/>
      <c r="E3" s="235"/>
      <c r="F3" s="185">
        <f>inputPrYr!$D$6</f>
        <v>2013</v>
      </c>
    </row>
    <row r="4" spans="2:6">
      <c r="B4" s="18"/>
      <c r="C4" s="96"/>
      <c r="D4" s="96"/>
      <c r="E4" s="96"/>
    </row>
    <row r="5" spans="2:6">
      <c r="B5" s="17" t="s">
        <v>32</v>
      </c>
      <c r="C5" s="391" t="s">
        <v>248</v>
      </c>
      <c r="D5" s="392" t="s">
        <v>247</v>
      </c>
      <c r="E5" s="236" t="s">
        <v>244</v>
      </c>
    </row>
    <row r="6" spans="2:6">
      <c r="B6" s="416" t="str">
        <f>inputPrYr!B19</f>
        <v>General</v>
      </c>
      <c r="C6" s="393" t="str">
        <f>CONCATENATE("Actual ",F3-2,"")</f>
        <v>Actual 2011</v>
      </c>
      <c r="D6" s="393" t="str">
        <f>CONCATENATE("Estimate ",F3-1,"")</f>
        <v>Estimate 2012</v>
      </c>
      <c r="E6" s="237" t="str">
        <f>CONCATENATE("Year ",F3,"")</f>
        <v>Year 2013</v>
      </c>
    </row>
    <row r="7" spans="2:6">
      <c r="B7" s="115" t="s">
        <v>124</v>
      </c>
      <c r="C7" s="387">
        <v>32860</v>
      </c>
      <c r="D7" s="394">
        <f>C51</f>
        <v>34698</v>
      </c>
      <c r="E7" s="47">
        <f>D51</f>
        <v>22984</v>
      </c>
    </row>
    <row r="8" spans="2:6">
      <c r="B8" s="239" t="s">
        <v>126</v>
      </c>
      <c r="C8" s="240"/>
      <c r="D8" s="240"/>
      <c r="E8" s="121"/>
    </row>
    <row r="9" spans="2:6">
      <c r="B9" s="115" t="s">
        <v>33</v>
      </c>
      <c r="C9" s="387">
        <v>12064</v>
      </c>
      <c r="D9" s="394">
        <f>inputPrYr!E19</f>
        <v>9934</v>
      </c>
      <c r="E9" s="128" t="s">
        <v>28</v>
      </c>
    </row>
    <row r="10" spans="2:6">
      <c r="B10" s="115" t="s">
        <v>34</v>
      </c>
      <c r="C10" s="387"/>
      <c r="D10" s="387"/>
      <c r="E10" s="202"/>
    </row>
    <row r="11" spans="2:6">
      <c r="B11" s="115" t="s">
        <v>35</v>
      </c>
      <c r="C11" s="387"/>
      <c r="D11" s="387">
        <v>1690</v>
      </c>
      <c r="E11" s="47">
        <f>mvalloc!D11</f>
        <v>1556</v>
      </c>
    </row>
    <row r="12" spans="2:6">
      <c r="B12" s="115" t="s">
        <v>36</v>
      </c>
      <c r="C12" s="387"/>
      <c r="D12" s="387">
        <v>52</v>
      </c>
      <c r="E12" s="47">
        <f>mvalloc!E11</f>
        <v>44</v>
      </c>
    </row>
    <row r="13" spans="2:6">
      <c r="B13" s="240" t="s">
        <v>108</v>
      </c>
      <c r="C13" s="387"/>
      <c r="D13" s="387">
        <v>60</v>
      </c>
      <c r="E13" s="47">
        <f>mvalloc!F11</f>
        <v>39</v>
      </c>
    </row>
    <row r="14" spans="2:6">
      <c r="B14" s="240" t="s">
        <v>154</v>
      </c>
      <c r="C14" s="387"/>
      <c r="D14" s="387"/>
      <c r="E14" s="47">
        <f>inputOth!E30</f>
        <v>0</v>
      </c>
    </row>
    <row r="15" spans="2:6">
      <c r="B15" s="240" t="s">
        <v>155</v>
      </c>
      <c r="C15" s="387"/>
      <c r="D15" s="387"/>
      <c r="E15" s="47">
        <f>mvalloc!G11</f>
        <v>0</v>
      </c>
    </row>
    <row r="16" spans="2:6">
      <c r="B16" s="241" t="s">
        <v>37</v>
      </c>
      <c r="C16" s="387"/>
      <c r="D16" s="387"/>
      <c r="E16" s="202"/>
    </row>
    <row r="17" spans="2:5">
      <c r="B17" s="241"/>
      <c r="C17" s="387"/>
      <c r="D17" s="387"/>
      <c r="E17" s="202"/>
    </row>
    <row r="18" spans="2:5">
      <c r="B18" s="241"/>
      <c r="C18" s="387"/>
      <c r="D18" s="387"/>
      <c r="E18" s="202"/>
    </row>
    <row r="19" spans="2:5">
      <c r="B19" s="241"/>
      <c r="C19" s="387"/>
      <c r="D19" s="387"/>
      <c r="E19" s="202"/>
    </row>
    <row r="20" spans="2:5">
      <c r="B20" s="241"/>
      <c r="C20" s="387"/>
      <c r="D20" s="387"/>
      <c r="E20" s="202"/>
    </row>
    <row r="21" spans="2:5">
      <c r="B21" s="241"/>
      <c r="C21" s="387"/>
      <c r="D21" s="387"/>
      <c r="E21" s="202"/>
    </row>
    <row r="22" spans="2:5">
      <c r="B22" s="241"/>
      <c r="C22" s="387"/>
      <c r="D22" s="387"/>
      <c r="E22" s="202"/>
    </row>
    <row r="23" spans="2:5">
      <c r="B23" s="241"/>
      <c r="C23" s="387"/>
      <c r="D23" s="387"/>
      <c r="E23" s="202"/>
    </row>
    <row r="24" spans="2:5">
      <c r="B24" s="242"/>
      <c r="C24" s="387"/>
      <c r="D24" s="387"/>
      <c r="E24" s="202"/>
    </row>
    <row r="25" spans="2:5">
      <c r="B25" s="242" t="s">
        <v>38</v>
      </c>
      <c r="C25" s="387"/>
      <c r="D25" s="387"/>
      <c r="E25" s="202"/>
    </row>
    <row r="26" spans="2:5">
      <c r="B26" s="243" t="s">
        <v>217</v>
      </c>
      <c r="C26" s="241"/>
      <c r="D26" s="241"/>
      <c r="E26" s="202"/>
    </row>
    <row r="27" spans="2:5">
      <c r="B27" s="243" t="s">
        <v>571</v>
      </c>
      <c r="C27" s="388" t="str">
        <f>IF(C28*0.1&lt;C26,"Exceed 10% Rule","")</f>
        <v/>
      </c>
      <c r="D27" s="388" t="str">
        <f>IF(D28*0.1&lt;D26,"Exceed 10% Rule","")</f>
        <v/>
      </c>
      <c r="E27" s="414" t="str">
        <f>IF(E28*0.1+E57&lt;E26,"Exceed 10% Rule","")</f>
        <v/>
      </c>
    </row>
    <row r="28" spans="2:5">
      <c r="B28" s="246" t="s">
        <v>39</v>
      </c>
      <c r="C28" s="389">
        <f>SUM(C9:C26)</f>
        <v>12064</v>
      </c>
      <c r="D28" s="389">
        <f>SUM(D9:D26)</f>
        <v>11736</v>
      </c>
      <c r="E28" s="247">
        <f>SUM(E9:E26)</f>
        <v>1639</v>
      </c>
    </row>
    <row r="29" spans="2:5">
      <c r="B29" s="246" t="s">
        <v>40</v>
      </c>
      <c r="C29" s="389">
        <f>C7+C28</f>
        <v>44924</v>
      </c>
      <c r="D29" s="389">
        <f>D7+D28</f>
        <v>46434</v>
      </c>
      <c r="E29" s="247">
        <f>E7+E28</f>
        <v>24623</v>
      </c>
    </row>
    <row r="30" spans="2:5">
      <c r="B30" s="115" t="s">
        <v>41</v>
      </c>
      <c r="C30" s="119"/>
      <c r="D30" s="119"/>
      <c r="E30" s="38"/>
    </row>
    <row r="31" spans="2:5">
      <c r="B31" s="241" t="s">
        <v>738</v>
      </c>
      <c r="C31" s="387">
        <v>2680</v>
      </c>
      <c r="D31" s="387">
        <v>15000</v>
      </c>
      <c r="E31" s="202">
        <v>20000</v>
      </c>
    </row>
    <row r="32" spans="2:5">
      <c r="B32" s="241" t="s">
        <v>739</v>
      </c>
      <c r="C32" s="387">
        <v>7150</v>
      </c>
      <c r="D32" s="387">
        <v>8000</v>
      </c>
      <c r="E32" s="202">
        <v>8000</v>
      </c>
    </row>
    <row r="33" spans="2:10">
      <c r="B33" s="241" t="s">
        <v>740</v>
      </c>
      <c r="C33" s="387">
        <v>124</v>
      </c>
      <c r="D33" s="387">
        <v>150</v>
      </c>
      <c r="E33" s="202">
        <v>150</v>
      </c>
    </row>
    <row r="34" spans="2:10">
      <c r="B34" s="241" t="s">
        <v>741</v>
      </c>
      <c r="C34" s="387">
        <v>250</v>
      </c>
      <c r="D34" s="387">
        <v>300</v>
      </c>
      <c r="E34" s="202">
        <v>500</v>
      </c>
    </row>
    <row r="35" spans="2:10">
      <c r="B35" s="241" t="s">
        <v>742</v>
      </c>
      <c r="C35" s="387">
        <v>22</v>
      </c>
      <c r="D35" s="387"/>
      <c r="E35" s="202"/>
    </row>
    <row r="36" spans="2:10">
      <c r="B36" s="241"/>
      <c r="C36" s="387"/>
      <c r="D36" s="387"/>
      <c r="E36" s="202"/>
    </row>
    <row r="37" spans="2:10">
      <c r="B37" s="241"/>
      <c r="C37" s="387"/>
      <c r="D37" s="387"/>
      <c r="E37" s="202"/>
    </row>
    <row r="38" spans="2:10">
      <c r="B38" s="241"/>
      <c r="C38" s="387"/>
      <c r="D38" s="387"/>
      <c r="E38" s="202"/>
    </row>
    <row r="39" spans="2:10">
      <c r="B39" s="241"/>
      <c r="C39" s="387"/>
      <c r="D39" s="387"/>
      <c r="E39" s="202"/>
    </row>
    <row r="40" spans="2:10">
      <c r="B40" s="241"/>
      <c r="C40" s="387"/>
      <c r="D40" s="387"/>
      <c r="E40" s="202"/>
    </row>
    <row r="41" spans="2:10">
      <c r="B41" s="241"/>
      <c r="C41" s="387"/>
      <c r="D41" s="387"/>
      <c r="E41" s="202"/>
    </row>
    <row r="42" spans="2:10">
      <c r="B42" s="241"/>
      <c r="C42" s="387"/>
      <c r="D42" s="387"/>
      <c r="E42" s="202"/>
    </row>
    <row r="43" spans="2:10">
      <c r="B43" s="241"/>
      <c r="C43" s="387"/>
      <c r="D43" s="387"/>
      <c r="E43" s="202"/>
      <c r="G43" s="620" t="str">
        <f>CONCATENATE("Projected Carryover Into ",F3+1,"")</f>
        <v>Projected Carryover Into 2014</v>
      </c>
      <c r="H43" s="621"/>
      <c r="I43" s="621"/>
      <c r="J43" s="622"/>
    </row>
    <row r="44" spans="2:10">
      <c r="B44" s="241"/>
      <c r="C44" s="387"/>
      <c r="D44" s="387"/>
      <c r="E44" s="202"/>
      <c r="G44" s="548"/>
      <c r="H44" s="535"/>
      <c r="I44" s="535"/>
      <c r="J44" s="534"/>
    </row>
    <row r="45" spans="2:10">
      <c r="B45" s="241"/>
      <c r="C45" s="387"/>
      <c r="D45" s="387"/>
      <c r="E45" s="202"/>
      <c r="G45" s="542">
        <f>D51</f>
        <v>22984</v>
      </c>
      <c r="H45" s="541" t="str">
        <f>CONCATENATE("",F3-1," Ending Cash Balance (est.)")</f>
        <v>2012 Ending Cash Balance (est.)</v>
      </c>
      <c r="I45" s="533"/>
      <c r="J45" s="534"/>
    </row>
    <row r="46" spans="2:10">
      <c r="B46" s="241"/>
      <c r="C46" s="387"/>
      <c r="D46" s="387"/>
      <c r="E46" s="202"/>
      <c r="G46" s="542">
        <f>E28</f>
        <v>1639</v>
      </c>
      <c r="H46" s="533" t="str">
        <f>CONCATENATE("",F3," Non-AV Receipts (est.)")</f>
        <v>2013 Non-AV Receipts (est.)</v>
      </c>
      <c r="I46" s="533"/>
      <c r="J46" s="534"/>
    </row>
    <row r="47" spans="2:10">
      <c r="B47" s="119" t="s">
        <v>218</v>
      </c>
      <c r="C47" s="387"/>
      <c r="D47" s="387"/>
      <c r="E47" s="207" t="str">
        <f>Nhood!E7</f>
        <v/>
      </c>
      <c r="G47" s="532">
        <f>E57</f>
        <v>4027</v>
      </c>
      <c r="H47" s="533" t="str">
        <f>CONCATENATE("",F3," Ad Valorem Tax (est.)")</f>
        <v>2013 Ad Valorem Tax (est.)</v>
      </c>
      <c r="I47" s="533"/>
      <c r="J47" s="534"/>
    </row>
    <row r="48" spans="2:10">
      <c r="B48" s="119" t="s">
        <v>217</v>
      </c>
      <c r="C48" s="387"/>
      <c r="D48" s="387"/>
      <c r="E48" s="37"/>
      <c r="G48" s="542">
        <f>SUM(G45:G47)</f>
        <v>28650</v>
      </c>
      <c r="H48" s="533" t="str">
        <f>CONCATENATE("Total ",E4," Resources Available")</f>
        <v>Total  Resources Available</v>
      </c>
      <c r="I48" s="533"/>
      <c r="J48" s="534"/>
    </row>
    <row r="49" spans="2:10">
      <c r="B49" s="119" t="s">
        <v>570</v>
      </c>
      <c r="C49" s="388" t="str">
        <f>IF(C50*0.1&lt;C48,"Exceed 10% Rule","")</f>
        <v/>
      </c>
      <c r="D49" s="388" t="str">
        <f>IF(D50*0.1&lt;D48,"Exceed 10% Rule","")</f>
        <v/>
      </c>
      <c r="E49" s="414" t="str">
        <f>IF(E50*0.1&lt;E48,"Exceed 10% Rule","")</f>
        <v/>
      </c>
      <c r="G49" s="531"/>
      <c r="H49" s="533"/>
      <c r="I49" s="533"/>
      <c r="J49" s="534"/>
    </row>
    <row r="50" spans="2:10">
      <c r="B50" s="246" t="s">
        <v>42</v>
      </c>
      <c r="C50" s="389">
        <f>SUM(C31:C48)</f>
        <v>10226</v>
      </c>
      <c r="D50" s="389">
        <f>SUM(D31:D48)</f>
        <v>23450</v>
      </c>
      <c r="E50" s="247">
        <f>SUM(E31:E48)</f>
        <v>28650</v>
      </c>
      <c r="G50" s="532">
        <f>C50*0.05+C50</f>
        <v>10737.3</v>
      </c>
      <c r="H50" s="533" t="str">
        <f>CONCATENATE("Less ",F3-2," Expenditures + 5%")</f>
        <v>Less 2011 Expenditures + 5%</v>
      </c>
      <c r="I50" s="533"/>
      <c r="J50" s="534"/>
    </row>
    <row r="51" spans="2:10">
      <c r="B51" s="115" t="s">
        <v>125</v>
      </c>
      <c r="C51" s="390">
        <f>C29-C50</f>
        <v>34698</v>
      </c>
      <c r="D51" s="390">
        <f>D29-D50</f>
        <v>22984</v>
      </c>
      <c r="E51" s="128" t="s">
        <v>28</v>
      </c>
      <c r="G51" s="530">
        <f>G48-G50</f>
        <v>17912.7</v>
      </c>
      <c r="H51" s="529" t="str">
        <f>CONCATENATE("Projected ",F3+1," Carryover (est.)")</f>
        <v>Projected 2014 Carryover (est.)</v>
      </c>
      <c r="I51" s="515"/>
      <c r="J51" s="528"/>
    </row>
    <row r="52" spans="2:10">
      <c r="B52" s="138" t="str">
        <f>CONCATENATE("",F3-2,"/",F3-1," Budget Authority Amount:")</f>
        <v>2011/2012 Budget Authority Amount:</v>
      </c>
      <c r="C52" s="116">
        <f>inputOth!B42</f>
        <v>24074</v>
      </c>
      <c r="D52" s="415">
        <f>inputPrYr!D19</f>
        <v>32460</v>
      </c>
      <c r="E52" s="128" t="s">
        <v>28</v>
      </c>
      <c r="F52" s="248"/>
      <c r="G52" s="16"/>
      <c r="H52" s="16"/>
      <c r="I52" s="16"/>
      <c r="J52" s="16"/>
    </row>
    <row r="53" spans="2:10">
      <c r="B53" s="138"/>
      <c r="C53" s="616" t="s">
        <v>673</v>
      </c>
      <c r="D53" s="617"/>
      <c r="E53" s="37"/>
      <c r="F53" s="248" t="str">
        <f>IF(E50/0.95-E50&lt;E53,"Exceeds 5%","")</f>
        <v/>
      </c>
      <c r="G53" s="527">
        <f>IF(inputOth!E7=0,"",ROUND(gen!E57/inputOth!E7*1000,3))</f>
        <v>0.749</v>
      </c>
      <c r="H53" s="526" t="str">
        <f>CONCATENATE("Projected ",F3-1," Mill Rate (est.)")</f>
        <v>Projected 2012 Mill Rate (est.)</v>
      </c>
      <c r="I53" s="525"/>
      <c r="J53" s="524"/>
    </row>
    <row r="54" spans="2:10">
      <c r="B54" s="413" t="str">
        <f>CONCATENATE(C70,"     ",D70)</f>
        <v xml:space="preserve">     </v>
      </c>
      <c r="C54" s="618" t="s">
        <v>674</v>
      </c>
      <c r="D54" s="619"/>
      <c r="E54" s="47">
        <f>E50+E53</f>
        <v>28650</v>
      </c>
      <c r="G54" s="523"/>
      <c r="H54" s="523"/>
      <c r="I54" s="523"/>
      <c r="J54" s="523"/>
    </row>
    <row r="55" spans="2:10">
      <c r="B55" s="413" t="str">
        <f>CONCATENATE(C71,"     ",D71)</f>
        <v xml:space="preserve">     </v>
      </c>
      <c r="C55" s="547"/>
      <c r="D55" s="546" t="s">
        <v>675</v>
      </c>
      <c r="E55" s="44">
        <f>IF(E54-E29&gt;0,E54-E29,0)</f>
        <v>4027</v>
      </c>
      <c r="G55" s="620" t="str">
        <f>CONCATENATE("Desired Carryover Into ",F3+1,"")</f>
        <v>Desired Carryover Into 2014</v>
      </c>
      <c r="H55" s="623"/>
      <c r="I55" s="623"/>
      <c r="J55" s="622"/>
    </row>
    <row r="56" spans="2:10">
      <c r="B56" s="158"/>
      <c r="C56" s="544" t="s">
        <v>676</v>
      </c>
      <c r="D56" s="545">
        <f>inputOth!$E$36</f>
        <v>0</v>
      </c>
      <c r="E56" s="47">
        <f>ROUND(IF(D56&gt;0,(E55*D56),0),0)</f>
        <v>0</v>
      </c>
      <c r="G56" s="522"/>
      <c r="H56" s="535"/>
      <c r="I56" s="533"/>
      <c r="J56" s="521"/>
    </row>
    <row r="57" spans="2:10">
      <c r="B57" s="18"/>
      <c r="C57" s="614" t="str">
        <f>CONCATENATE("Amount of  ",$F$3-1," Ad Valorem Tax")</f>
        <v>Amount of  2012 Ad Valorem Tax</v>
      </c>
      <c r="D57" s="615"/>
      <c r="E57" s="44">
        <f>E55+E56</f>
        <v>4027</v>
      </c>
      <c r="G57" s="520" t="s">
        <v>677</v>
      </c>
      <c r="H57" s="533"/>
      <c r="I57" s="533"/>
      <c r="J57" s="519"/>
    </row>
    <row r="58" spans="2:10">
      <c r="B58" s="18"/>
      <c r="C58" s="18"/>
      <c r="D58" s="18"/>
      <c r="E58" s="18"/>
      <c r="G58" s="522" t="s">
        <v>678</v>
      </c>
      <c r="H58" s="535"/>
      <c r="I58" s="535"/>
      <c r="J58" s="518" t="str">
        <f>IF(gen!J57=0,"",ROUND((J57+E57-G51)/inputOth!E7*1000,3)-G53)</f>
        <v/>
      </c>
    </row>
    <row r="59" spans="2:10">
      <c r="B59" s="18"/>
      <c r="C59" s="18"/>
      <c r="D59" s="18"/>
      <c r="E59" s="18"/>
      <c r="G59" s="517" t="str">
        <f>CONCATENATE("",F3," Total Expenditures Must Be:")</f>
        <v>2013 Total Expenditures Must Be:</v>
      </c>
      <c r="H59" s="516"/>
      <c r="I59" s="515"/>
      <c r="J59" s="514">
        <f>IF((J57&gt;0),(E50+J57-G51),0)</f>
        <v>0</v>
      </c>
    </row>
    <row r="60" spans="2:10">
      <c r="B60" s="18"/>
      <c r="C60" s="18"/>
      <c r="D60" s="18"/>
      <c r="E60" s="18"/>
    </row>
    <row r="61" spans="2:10">
      <c r="B61" s="18"/>
      <c r="C61" s="18"/>
      <c r="D61" s="18"/>
      <c r="E61" s="18"/>
    </row>
    <row r="62" spans="2:10">
      <c r="B62" s="18"/>
      <c r="C62" s="234"/>
      <c r="D62" s="234"/>
      <c r="E62" s="234"/>
    </row>
    <row r="63" spans="2:10">
      <c r="B63" s="138"/>
      <c r="C63" s="18" t="s">
        <v>226</v>
      </c>
      <c r="D63" s="18"/>
      <c r="E63" s="18"/>
    </row>
    <row r="65" spans="2:4">
      <c r="B65" s="57"/>
    </row>
    <row r="70" spans="2:4" hidden="1">
      <c r="C70" s="92" t="str">
        <f>IF(C50&gt;C52,"See Tab A","")</f>
        <v/>
      </c>
      <c r="D70" s="92" t="str">
        <f>IF(D50&gt;D52,"See Tab C","")</f>
        <v/>
      </c>
    </row>
    <row r="71" spans="2:4" hidden="1">
      <c r="C71" s="92" t="str">
        <f>IF(C51&lt;0,"See Tab B","")</f>
        <v/>
      </c>
      <c r="D71" s="92" t="str">
        <f>IF(D51&lt;0,"See Tab D","")</f>
        <v/>
      </c>
    </row>
  </sheetData>
  <sheetProtection sheet="1"/>
  <mergeCells count="5">
    <mergeCell ref="C57:D57"/>
    <mergeCell ref="C53:D53"/>
    <mergeCell ref="C54:D54"/>
    <mergeCell ref="G43:J43"/>
    <mergeCell ref="G55:J55"/>
  </mergeCells>
  <phoneticPr fontId="0" type="noConversion"/>
  <conditionalFormatting sqref="E53">
    <cfRule type="cellIs" dxfId="61" priority="2" stopIfTrue="1" operator="greaterThan">
      <formula>$E$50/0.95-$E$50</formula>
    </cfRule>
  </conditionalFormatting>
  <conditionalFormatting sqref="C48">
    <cfRule type="cellIs" dxfId="60" priority="3" stopIfTrue="1" operator="greaterThan">
      <formula>$C$50*0.1</formula>
    </cfRule>
  </conditionalFormatting>
  <conditionalFormatting sqref="D48">
    <cfRule type="cellIs" dxfId="59" priority="4" stopIfTrue="1" operator="greaterThan">
      <formula>$D$50*0.1</formula>
    </cfRule>
  </conditionalFormatting>
  <conditionalFormatting sqref="E48">
    <cfRule type="cellIs" dxfId="58" priority="5" stopIfTrue="1" operator="greaterThan">
      <formula>$E$50*0.1</formula>
    </cfRule>
  </conditionalFormatting>
  <conditionalFormatting sqref="C26">
    <cfRule type="cellIs" dxfId="57" priority="6" stopIfTrue="1" operator="greaterThan">
      <formula>$C$28*0.1</formula>
    </cfRule>
  </conditionalFormatting>
  <conditionalFormatting sqref="D26">
    <cfRule type="cellIs" dxfId="56" priority="7" stopIfTrue="1" operator="greaterThan">
      <formula>$D$28*0.1</formula>
    </cfRule>
  </conditionalFormatting>
  <conditionalFormatting sqref="C51">
    <cfRule type="cellIs" dxfId="55" priority="8" stopIfTrue="1" operator="lessThan">
      <formula>0</formula>
    </cfRule>
  </conditionalFormatting>
  <conditionalFormatting sqref="E26">
    <cfRule type="cellIs" dxfId="54" priority="11" stopIfTrue="1" operator="greaterThan">
      <formula>$E$28*0.1+$E$57</formula>
    </cfRule>
  </conditionalFormatting>
  <conditionalFormatting sqref="D51">
    <cfRule type="cellIs" dxfId="53" priority="1" stopIfTrue="1" operator="lessThan">
      <formula>0</formula>
    </cfRule>
  </conditionalFormatting>
  <conditionalFormatting sqref="D50">
    <cfRule type="cellIs" dxfId="52" priority="20" stopIfTrue="1" operator="greaterThan">
      <formula>$D$52</formula>
    </cfRule>
  </conditionalFormatting>
  <conditionalFormatting sqref="C50">
    <cfRule type="cellIs" dxfId="51" priority="28" stopIfTrue="1" operator="greaterThan">
      <formula>$C$52</formula>
    </cfRule>
  </conditionalFormatting>
  <pageMargins left="1" right="1" top="0.5" bottom="0.5" header="0.5" footer="0.5"/>
  <pageSetup scale="74" orientation="portrait" blackAndWhite="1" horizontalDpi="120" verticalDpi="144" r:id="rId1"/>
  <headerFooter alignWithMargins="0">
    <oddHeader xml:space="preserve">&amp;RState of Kansas
Special District
</oddHeader>
  </headerFooter>
</worksheet>
</file>

<file path=xl/worksheets/sheet13.xml><?xml version="1.0" encoding="utf-8"?>
<worksheet xmlns="http://schemas.openxmlformats.org/spreadsheetml/2006/main" xmlns:r="http://schemas.openxmlformats.org/officeDocument/2006/relationships">
  <sheetPr>
    <pageSetUpPr fitToPage="1"/>
  </sheetPr>
  <dimension ref="B1:I70"/>
  <sheetViews>
    <sheetView workbookViewId="0">
      <selection activeCell="G55" sqref="G55"/>
    </sheetView>
  </sheetViews>
  <sheetFormatPr defaultRowHeight="15.75"/>
  <cols>
    <col min="1" max="1" width="2.44140625" style="16" customWidth="1"/>
    <col min="2" max="2" width="31.109375" style="16" customWidth="1"/>
    <col min="3" max="5" width="15.77734375" style="16" customWidth="1"/>
    <col min="6" max="16384" width="8.88671875" style="16"/>
  </cols>
  <sheetData>
    <row r="1" spans="2:5">
      <c r="B1" s="159" t="str">
        <f>inputPrYr!D3</f>
        <v>Antioch Cemetery</v>
      </c>
      <c r="C1" s="18"/>
      <c r="D1" s="18"/>
      <c r="E1" s="250">
        <f>inputPrYr!$D$6</f>
        <v>2013</v>
      </c>
    </row>
    <row r="2" spans="2:5">
      <c r="B2" s="18"/>
      <c r="C2" s="18"/>
      <c r="D2" s="18"/>
      <c r="E2" s="158"/>
    </row>
    <row r="3" spans="2:5">
      <c r="B3" s="543" t="s">
        <v>80</v>
      </c>
      <c r="C3" s="234"/>
      <c r="D3" s="234"/>
      <c r="E3" s="251"/>
    </row>
    <row r="4" spans="2:5">
      <c r="B4" s="18"/>
      <c r="C4" s="252"/>
      <c r="D4" s="252"/>
      <c r="E4" s="252"/>
    </row>
    <row r="5" spans="2:5">
      <c r="B5" s="45" t="s">
        <v>32</v>
      </c>
      <c r="C5" s="391" t="s">
        <v>152</v>
      </c>
      <c r="D5" s="392" t="s">
        <v>247</v>
      </c>
      <c r="E5" s="236" t="s">
        <v>244</v>
      </c>
    </row>
    <row r="6" spans="2:5">
      <c r="B6" s="417" t="s">
        <v>271</v>
      </c>
      <c r="C6" s="399">
        <f>E1-2</f>
        <v>2011</v>
      </c>
      <c r="D6" s="399" t="str">
        <f>CONCATENATE("Estimate ",E1-1,"")</f>
        <v>Estimate 2012</v>
      </c>
      <c r="E6" s="173" t="str">
        <f>CONCATENATE("Year ",E1,"")</f>
        <v>Year 2013</v>
      </c>
    </row>
    <row r="7" spans="2:5">
      <c r="B7" s="109" t="s">
        <v>124</v>
      </c>
      <c r="C7" s="396"/>
      <c r="D7" s="400">
        <f>C55</f>
        <v>0</v>
      </c>
      <c r="E7" s="254">
        <f>D55</f>
        <v>0</v>
      </c>
    </row>
    <row r="8" spans="2:5">
      <c r="B8" s="255" t="s">
        <v>126</v>
      </c>
      <c r="C8" s="398"/>
      <c r="D8" s="400"/>
      <c r="E8" s="254"/>
    </row>
    <row r="9" spans="2:5">
      <c r="B9" s="109" t="s">
        <v>33</v>
      </c>
      <c r="C9" s="387"/>
      <c r="D9" s="398">
        <f>inputPrYr!E20</f>
        <v>0</v>
      </c>
      <c r="E9" s="256" t="s">
        <v>28</v>
      </c>
    </row>
    <row r="10" spans="2:5">
      <c r="B10" s="109" t="s">
        <v>34</v>
      </c>
      <c r="C10" s="387"/>
      <c r="D10" s="387"/>
      <c r="E10" s="257"/>
    </row>
    <row r="11" spans="2:5">
      <c r="B11" s="109" t="s">
        <v>35</v>
      </c>
      <c r="C11" s="387"/>
      <c r="D11" s="387"/>
      <c r="E11" s="258">
        <f>mvalloc!D12</f>
        <v>0</v>
      </c>
    </row>
    <row r="12" spans="2:5">
      <c r="B12" s="109" t="s">
        <v>36</v>
      </c>
      <c r="C12" s="387"/>
      <c r="D12" s="387"/>
      <c r="E12" s="258">
        <f>mvalloc!E12</f>
        <v>0</v>
      </c>
    </row>
    <row r="13" spans="2:5">
      <c r="B13" s="259" t="s">
        <v>108</v>
      </c>
      <c r="C13" s="387"/>
      <c r="D13" s="387"/>
      <c r="E13" s="258">
        <f>mvalloc!F12</f>
        <v>0</v>
      </c>
    </row>
    <row r="14" spans="2:5">
      <c r="B14" s="259" t="s">
        <v>155</v>
      </c>
      <c r="C14" s="387"/>
      <c r="D14" s="387"/>
      <c r="E14" s="258">
        <f>mvalloc!G12</f>
        <v>0</v>
      </c>
    </row>
    <row r="15" spans="2:5">
      <c r="B15" s="259"/>
      <c r="C15" s="387"/>
      <c r="D15" s="387"/>
      <c r="E15" s="258"/>
    </row>
    <row r="16" spans="2:5">
      <c r="B16" s="540"/>
      <c r="C16" s="387"/>
      <c r="D16" s="387"/>
      <c r="E16" s="539"/>
    </row>
    <row r="17" spans="2:5">
      <c r="B17" s="260"/>
      <c r="C17" s="387"/>
      <c r="D17" s="387"/>
      <c r="E17" s="257"/>
    </row>
    <row r="18" spans="2:5">
      <c r="B18" s="260"/>
      <c r="C18" s="387"/>
      <c r="D18" s="387"/>
      <c r="E18" s="261"/>
    </row>
    <row r="19" spans="2:5">
      <c r="B19" s="260"/>
      <c r="C19" s="387"/>
      <c r="D19" s="387"/>
      <c r="E19" s="257"/>
    </row>
    <row r="20" spans="2:5">
      <c r="B20" s="260"/>
      <c r="C20" s="387"/>
      <c r="D20" s="387"/>
      <c r="E20" s="257"/>
    </row>
    <row r="21" spans="2:5">
      <c r="B21" s="260"/>
      <c r="C21" s="387"/>
      <c r="D21" s="387"/>
      <c r="E21" s="257"/>
    </row>
    <row r="22" spans="2:5">
      <c r="B22" s="260"/>
      <c r="C22" s="387"/>
      <c r="D22" s="387"/>
      <c r="E22" s="257"/>
    </row>
    <row r="23" spans="2:5">
      <c r="B23" s="260"/>
      <c r="C23" s="387"/>
      <c r="D23" s="387"/>
      <c r="E23" s="257"/>
    </row>
    <row r="24" spans="2:5">
      <c r="B24" s="260"/>
      <c r="C24" s="387"/>
      <c r="D24" s="387"/>
      <c r="E24" s="257"/>
    </row>
    <row r="25" spans="2:5">
      <c r="B25" s="260"/>
      <c r="C25" s="387"/>
      <c r="D25" s="387"/>
      <c r="E25" s="257"/>
    </row>
    <row r="26" spans="2:5">
      <c r="B26" s="260" t="s">
        <v>153</v>
      </c>
      <c r="C26" s="387"/>
      <c r="D26" s="387"/>
      <c r="E26" s="257"/>
    </row>
    <row r="27" spans="2:5">
      <c r="B27" s="262" t="s">
        <v>38</v>
      </c>
      <c r="C27" s="387"/>
      <c r="D27" s="387"/>
      <c r="E27" s="257"/>
    </row>
    <row r="28" spans="2:5">
      <c r="B28" s="243" t="s">
        <v>217</v>
      </c>
      <c r="C28" s="396"/>
      <c r="D28" s="396"/>
      <c r="E28" s="257"/>
    </row>
    <row r="29" spans="2:5">
      <c r="B29" s="243" t="s">
        <v>571</v>
      </c>
      <c r="C29" s="388" t="str">
        <f>IF(C30*0.1&lt;C28,"Exceed 10% Rule","")</f>
        <v/>
      </c>
      <c r="D29" s="388" t="str">
        <f>IF(D30*0.1&lt;D28,"Exceed 10% Rule","")</f>
        <v/>
      </c>
      <c r="E29" s="414" t="str">
        <f>IF(E30*0.1+E61&lt;E28,"Exceed 10% Rule","")</f>
        <v/>
      </c>
    </row>
    <row r="30" spans="2:5">
      <c r="B30" s="246" t="s">
        <v>39</v>
      </c>
      <c r="C30" s="397">
        <f>SUM(C9:C28)</f>
        <v>0</v>
      </c>
      <c r="D30" s="397">
        <f>SUM(D9:D28)</f>
        <v>0</v>
      </c>
      <c r="E30" s="263">
        <f>SUM(E9:E28)</f>
        <v>0</v>
      </c>
    </row>
    <row r="31" spans="2:5">
      <c r="B31" s="246" t="s">
        <v>40</v>
      </c>
      <c r="C31" s="397">
        <f>C7+C30</f>
        <v>0</v>
      </c>
      <c r="D31" s="397">
        <f>D7+D30</f>
        <v>0</v>
      </c>
      <c r="E31" s="264">
        <f>E7+E30</f>
        <v>0</v>
      </c>
    </row>
    <row r="32" spans="2:5">
      <c r="B32" s="255" t="s">
        <v>41</v>
      </c>
      <c r="C32" s="398"/>
      <c r="D32" s="398"/>
      <c r="E32" s="258"/>
    </row>
    <row r="33" spans="2:5">
      <c r="B33" s="265"/>
      <c r="C33" s="387"/>
      <c r="D33" s="387"/>
      <c r="E33" s="257"/>
    </row>
    <row r="34" spans="2:5">
      <c r="B34" s="265"/>
      <c r="C34" s="387"/>
      <c r="D34" s="387"/>
      <c r="E34" s="257"/>
    </row>
    <row r="35" spans="2:5">
      <c r="B35" s="265"/>
      <c r="C35" s="387"/>
      <c r="D35" s="387"/>
      <c r="E35" s="257"/>
    </row>
    <row r="36" spans="2:5">
      <c r="B36" s="265"/>
      <c r="C36" s="387"/>
      <c r="D36" s="387"/>
      <c r="E36" s="257"/>
    </row>
    <row r="37" spans="2:5">
      <c r="B37" s="265"/>
      <c r="C37" s="387"/>
      <c r="D37" s="387"/>
      <c r="E37" s="257"/>
    </row>
    <row r="38" spans="2:5">
      <c r="B38" s="265"/>
      <c r="C38" s="387"/>
      <c r="D38" s="387"/>
      <c r="E38" s="257"/>
    </row>
    <row r="39" spans="2:5">
      <c r="B39" s="265"/>
      <c r="C39" s="387"/>
      <c r="D39" s="387"/>
      <c r="E39" s="257"/>
    </row>
    <row r="40" spans="2:5">
      <c r="B40" s="265"/>
      <c r="C40" s="387"/>
      <c r="D40" s="387"/>
      <c r="E40" s="257"/>
    </row>
    <row r="41" spans="2:5">
      <c r="B41" s="265"/>
      <c r="C41" s="387"/>
      <c r="D41" s="387"/>
      <c r="E41" s="257"/>
    </row>
    <row r="42" spans="2:5">
      <c r="B42" s="265"/>
      <c r="C42" s="387"/>
      <c r="D42" s="387"/>
      <c r="E42" s="257"/>
    </row>
    <row r="43" spans="2:5">
      <c r="B43" s="265"/>
      <c r="C43" s="387"/>
      <c r="D43" s="387"/>
      <c r="E43" s="257"/>
    </row>
    <row r="44" spans="2:5">
      <c r="B44" s="265"/>
      <c r="C44" s="387"/>
      <c r="D44" s="387"/>
      <c r="E44" s="257"/>
    </row>
    <row r="45" spans="2:5">
      <c r="B45" s="265"/>
      <c r="C45" s="387"/>
      <c r="D45" s="387"/>
      <c r="E45" s="257"/>
    </row>
    <row r="46" spans="2:5">
      <c r="B46" s="265"/>
      <c r="C46" s="387"/>
      <c r="D46" s="387"/>
      <c r="E46" s="257"/>
    </row>
    <row r="47" spans="2:5">
      <c r="B47" s="265"/>
      <c r="C47" s="387"/>
      <c r="D47" s="387"/>
      <c r="E47" s="257"/>
    </row>
    <row r="48" spans="2:5">
      <c r="B48" s="265"/>
      <c r="C48" s="387"/>
      <c r="D48" s="387"/>
      <c r="E48" s="257"/>
    </row>
    <row r="49" spans="2:9">
      <c r="B49" s="265"/>
      <c r="C49" s="387"/>
      <c r="D49" s="387"/>
      <c r="E49" s="257"/>
    </row>
    <row r="50" spans="2:9">
      <c r="B50" s="265"/>
      <c r="C50" s="387"/>
      <c r="D50" s="387"/>
      <c r="E50" s="257"/>
    </row>
    <row r="51" spans="2:9">
      <c r="B51" s="119" t="s">
        <v>218</v>
      </c>
      <c r="C51" s="396"/>
      <c r="D51" s="396"/>
      <c r="E51" s="179" t="str">
        <f>Nhood!E8</f>
        <v/>
      </c>
    </row>
    <row r="52" spans="2:9">
      <c r="B52" s="119" t="s">
        <v>217</v>
      </c>
      <c r="C52" s="396"/>
      <c r="D52" s="396"/>
      <c r="E52" s="257"/>
      <c r="G52" s="624" t="str">
        <f>CONCATENATE("Projected Carryover Into ",E1+1,"")</f>
        <v>Projected Carryover Into 2014</v>
      </c>
      <c r="H52" s="625"/>
      <c r="I52" s="626"/>
    </row>
    <row r="53" spans="2:9">
      <c r="B53" s="119" t="s">
        <v>570</v>
      </c>
      <c r="C53" s="388" t="str">
        <f>IF(C54*0.1&lt;C52,"Exceed 10% Rule","")</f>
        <v/>
      </c>
      <c r="D53" s="388" t="str">
        <f>IF(D54*0.1&lt;D52,"Exceed 10% Rule","")</f>
        <v/>
      </c>
      <c r="E53" s="414" t="str">
        <f>IF(E54*0.1&lt;E52,"Exceed 10% Rule","")</f>
        <v/>
      </c>
      <c r="G53" s="548"/>
      <c r="H53" s="535"/>
      <c r="I53" s="534"/>
    </row>
    <row r="54" spans="2:9">
      <c r="B54" s="246" t="s">
        <v>42</v>
      </c>
      <c r="C54" s="397">
        <f>SUM(C33:C52)</f>
        <v>0</v>
      </c>
      <c r="D54" s="397">
        <f>SUM(D33:D52)</f>
        <v>0</v>
      </c>
      <c r="E54" s="263">
        <f>SUM(E33:E52)</f>
        <v>0</v>
      </c>
      <c r="G54" s="542">
        <f>D54</f>
        <v>0</v>
      </c>
      <c r="H54" s="552" t="str">
        <f>CONCATENATE("",E1-1," Ending Cash Balance (est.)")</f>
        <v>2012 Ending Cash Balance (est.)</v>
      </c>
      <c r="I54" s="534"/>
    </row>
    <row r="55" spans="2:9">
      <c r="B55" s="109" t="s">
        <v>125</v>
      </c>
      <c r="C55" s="395">
        <f>C31-C54</f>
        <v>0</v>
      </c>
      <c r="D55" s="395">
        <f>D31-D54</f>
        <v>0</v>
      </c>
      <c r="E55" s="256" t="s">
        <v>28</v>
      </c>
      <c r="G55" s="542">
        <f>E30</f>
        <v>0</v>
      </c>
      <c r="H55" s="553" t="str">
        <f>CONCATENATE("",E1," Non-AV Receipts (est.)")</f>
        <v>2013 Non-AV Receipts (est.)</v>
      </c>
      <c r="I55" s="534"/>
    </row>
    <row r="56" spans="2:9">
      <c r="B56" s="138" t="str">
        <f>CONCATENATE("",E1-2,"/",E1-1," Budget Authority Amount:")</f>
        <v>2011/2012 Budget Authority Amount:</v>
      </c>
      <c r="C56" s="116">
        <f>inputOth!B43</f>
        <v>0</v>
      </c>
      <c r="D56" s="415">
        <f>inputPrYr!D20</f>
        <v>0</v>
      </c>
      <c r="E56" s="256" t="s">
        <v>28</v>
      </c>
      <c r="F56" s="266"/>
      <c r="G56" s="532">
        <f>E61</f>
        <v>0</v>
      </c>
      <c r="H56" s="553" t="str">
        <f>CONCATENATE("",E1," Ad Valorem Tax (est.)")</f>
        <v>2013 Ad Valorem Tax (est.)</v>
      </c>
      <c r="I56" s="534"/>
    </row>
    <row r="57" spans="2:9">
      <c r="B57" s="138"/>
      <c r="C57" s="616" t="s">
        <v>673</v>
      </c>
      <c r="D57" s="617"/>
      <c r="E57" s="37"/>
      <c r="F57" s="266" t="str">
        <f>IF(E54/0.95-E54&lt;E57,"Exceeds 5%","")</f>
        <v/>
      </c>
      <c r="G57" s="542">
        <f>SUM(G54:G56)</f>
        <v>0</v>
      </c>
      <c r="H57" s="553" t="str">
        <f>CONCATENATE("Total ",E1," Resources Available")</f>
        <v>Total 2013 Resources Available</v>
      </c>
      <c r="I57" s="534"/>
    </row>
    <row r="58" spans="2:9">
      <c r="B58" s="413" t="str">
        <f>CONCATENATE(C69,"     ",D69)</f>
        <v xml:space="preserve">     </v>
      </c>
      <c r="C58" s="618" t="s">
        <v>674</v>
      </c>
      <c r="D58" s="619"/>
      <c r="E58" s="47">
        <f>E54+E57</f>
        <v>0</v>
      </c>
      <c r="G58" s="531"/>
      <c r="H58" s="553"/>
      <c r="I58" s="534"/>
    </row>
    <row r="59" spans="2:9">
      <c r="B59" s="413" t="str">
        <f>CONCATENATE(C70,"     ",D70)</f>
        <v xml:space="preserve">     </v>
      </c>
      <c r="C59" s="549"/>
      <c r="D59" s="546" t="s">
        <v>675</v>
      </c>
      <c r="E59" s="44">
        <f>IF(E58-E31&gt;0,E58-E31,0)</f>
        <v>0</v>
      </c>
      <c r="G59" s="532">
        <f>C54</f>
        <v>0</v>
      </c>
      <c r="H59" s="553" t="str">
        <f>CONCATENATE("Less ",E1-2," Expenditures")</f>
        <v>Less 2011 Expenditures</v>
      </c>
      <c r="I59" s="534"/>
    </row>
    <row r="60" spans="2:9">
      <c r="B60" s="158"/>
      <c r="C60" s="544" t="s">
        <v>676</v>
      </c>
      <c r="D60" s="545">
        <f>inputOth!$E$36</f>
        <v>0</v>
      </c>
      <c r="E60" s="47">
        <f>ROUND(IF(D60&gt;0,(E59*D60),0),0)</f>
        <v>0</v>
      </c>
      <c r="G60" s="566">
        <f>G57-G59</f>
        <v>0</v>
      </c>
      <c r="H60" s="554" t="str">
        <f>CONCATENATE("Projected ",E1+1," carryover (est.)")</f>
        <v>Projected 2014 carryover (est.)</v>
      </c>
      <c r="I60" s="528"/>
    </row>
    <row r="61" spans="2:9">
      <c r="B61" s="18"/>
      <c r="C61" s="614" t="str">
        <f>CONCATENATE("Amount of  ",$E$1-1," Ad Valorem Tax")</f>
        <v>Amount of  2012 Ad Valorem Tax</v>
      </c>
      <c r="D61" s="615"/>
      <c r="E61" s="44">
        <f>E59+E60</f>
        <v>0</v>
      </c>
    </row>
    <row r="62" spans="2:9">
      <c r="B62" s="158"/>
      <c r="C62" s="18"/>
      <c r="D62" s="18"/>
      <c r="E62" s="18"/>
      <c r="G62" s="567">
        <f>IF(inputOth!E7&gt;0,ROUND(DebtService!E61/inputOth!E7*1000,3),0)</f>
        <v>0</v>
      </c>
      <c r="H62" s="568" t="str">
        <f>CONCATENATE("",E1," Mill Rate")</f>
        <v>2013 Mill Rate</v>
      </c>
      <c r="I62" s="569"/>
    </row>
    <row r="63" spans="2:9">
      <c r="B63" s="138" t="s">
        <v>44</v>
      </c>
      <c r="C63" s="267"/>
      <c r="D63" s="18"/>
      <c r="E63" s="18"/>
    </row>
    <row r="69" spans="3:4" hidden="1">
      <c r="C69" s="16" t="str">
        <f>IF(C54&gt;C56,"See Tab A","")</f>
        <v/>
      </c>
      <c r="D69" s="16" t="str">
        <f>IF(D54&gt;D56,"See Tab C","")</f>
        <v/>
      </c>
    </row>
    <row r="70" spans="3:4" hidden="1">
      <c r="C70" s="16" t="str">
        <f>IF(C55&lt;0,"See Tab B","")</f>
        <v/>
      </c>
      <c r="D70" s="16" t="str">
        <f>IF(D55&lt;0,"See Tab D","")</f>
        <v/>
      </c>
    </row>
  </sheetData>
  <sheetProtection sheet="1"/>
  <mergeCells count="4">
    <mergeCell ref="C61:D61"/>
    <mergeCell ref="C57:D57"/>
    <mergeCell ref="C58:D58"/>
    <mergeCell ref="G52:I52"/>
  </mergeCells>
  <phoneticPr fontId="15" type="noConversion"/>
  <conditionalFormatting sqref="C52">
    <cfRule type="cellIs" dxfId="50" priority="2" stopIfTrue="1" operator="greaterThan">
      <formula>$C$54*0.1</formula>
    </cfRule>
  </conditionalFormatting>
  <conditionalFormatting sqref="D52">
    <cfRule type="cellIs" dxfId="49" priority="3" stopIfTrue="1" operator="greaterThan">
      <formula>$D$54*0.1</formula>
    </cfRule>
  </conditionalFormatting>
  <conditionalFormatting sqref="E52">
    <cfRule type="cellIs" dxfId="48" priority="4" stopIfTrue="1" operator="greaterThan">
      <formula>$E$54*0.1</formula>
    </cfRule>
  </conditionalFormatting>
  <conditionalFormatting sqref="E57">
    <cfRule type="cellIs" dxfId="47" priority="5" stopIfTrue="1" operator="greaterThan">
      <formula>$E$54/0.95-$E$54</formula>
    </cfRule>
  </conditionalFormatting>
  <conditionalFormatting sqref="C28">
    <cfRule type="cellIs" dxfId="46" priority="6" stopIfTrue="1" operator="greaterThan">
      <formula>$C$30*0.1</formula>
    </cfRule>
  </conditionalFormatting>
  <conditionalFormatting sqref="D28">
    <cfRule type="cellIs" dxfId="45" priority="7" stopIfTrue="1" operator="greaterThan">
      <formula>$D$30*0.1</formula>
    </cfRule>
  </conditionalFormatting>
  <conditionalFormatting sqref="C55">
    <cfRule type="cellIs" dxfId="44" priority="8" stopIfTrue="1" operator="lessThan">
      <formula>0</formula>
    </cfRule>
  </conditionalFormatting>
  <conditionalFormatting sqref="E28">
    <cfRule type="cellIs" dxfId="43" priority="11" stopIfTrue="1" operator="greaterThan">
      <formula>$E$30*0.1+$E$61</formula>
    </cfRule>
  </conditionalFormatting>
  <conditionalFormatting sqref="D55">
    <cfRule type="cellIs" dxfId="42" priority="1" stopIfTrue="1" operator="lessThan">
      <formula>0</formula>
    </cfRule>
  </conditionalFormatting>
  <conditionalFormatting sqref="D54">
    <cfRule type="cellIs" dxfId="41" priority="20" stopIfTrue="1" operator="greaterThan">
      <formula>$D$56</formula>
    </cfRule>
  </conditionalFormatting>
  <conditionalFormatting sqref="C54">
    <cfRule type="cellIs" dxfId="40" priority="28" stopIfTrue="1" operator="greaterThan">
      <formula>$C$56</formula>
    </cfRule>
  </conditionalFormatting>
  <pageMargins left="0.75" right="0.75" top="1" bottom="1" header="0.5" footer="0.5"/>
  <pageSetup scale="66" orientation="portrait" blackAndWhite="1" r:id="rId1"/>
  <headerFooter alignWithMargins="0">
    <oddHeader>&amp;RState of Kansas
Special District</oddHeader>
  </headerFooter>
</worksheet>
</file>

<file path=xl/worksheets/sheet14.xml><?xml version="1.0" encoding="utf-8"?>
<worksheet xmlns="http://schemas.openxmlformats.org/spreadsheetml/2006/main" xmlns:r="http://schemas.openxmlformats.org/officeDocument/2006/relationships">
  <sheetPr>
    <pageSetUpPr fitToPage="1"/>
  </sheetPr>
  <dimension ref="B1:F90"/>
  <sheetViews>
    <sheetView workbookViewId="0">
      <selection activeCell="C80" sqref="C80"/>
    </sheetView>
  </sheetViews>
  <sheetFormatPr defaultRowHeight="15.75"/>
  <cols>
    <col min="1" max="1" width="2.44140625" style="92" customWidth="1"/>
    <col min="2" max="2" width="31.109375" style="92" customWidth="1"/>
    <col min="3" max="5" width="15.77734375" style="92" customWidth="1"/>
    <col min="6" max="16384" width="8.88671875" style="92"/>
  </cols>
  <sheetData>
    <row r="1" spans="2:6">
      <c r="B1" s="18" t="str">
        <f>inputPrYr!D3</f>
        <v>Antioch Cemetery</v>
      </c>
      <c r="C1" s="18"/>
      <c r="D1" s="18"/>
      <c r="E1" s="185"/>
    </row>
    <row r="2" spans="2:6">
      <c r="B2" s="18" t="str">
        <f>inputPrYr!D4</f>
        <v>Franklin County</v>
      </c>
      <c r="C2" s="18"/>
      <c r="D2" s="18"/>
      <c r="E2" s="138"/>
    </row>
    <row r="3" spans="2:6">
      <c r="B3" s="27" t="s">
        <v>80</v>
      </c>
      <c r="C3" s="234"/>
      <c r="D3" s="234"/>
      <c r="E3" s="235"/>
      <c r="F3" s="92">
        <f>inputPrYr!D6</f>
        <v>2013</v>
      </c>
    </row>
    <row r="4" spans="2:6">
      <c r="B4" s="18"/>
      <c r="C4" s="102"/>
      <c r="D4" s="102"/>
      <c r="E4" s="102"/>
    </row>
    <row r="5" spans="2:6">
      <c r="B5" s="17" t="s">
        <v>32</v>
      </c>
      <c r="C5" s="391" t="s">
        <v>246</v>
      </c>
      <c r="D5" s="392" t="s">
        <v>245</v>
      </c>
      <c r="E5" s="236" t="s">
        <v>244</v>
      </c>
    </row>
    <row r="6" spans="2:6">
      <c r="B6" s="416">
        <f>inputPrYr!B22</f>
        <v>0</v>
      </c>
      <c r="C6" s="393" t="str">
        <f>CONCATENATE("Actual ",$F$3-2,"")</f>
        <v>Actual 2011</v>
      </c>
      <c r="D6" s="393" t="str">
        <f>CONCATENATE("Estimate ",F3-1,"")</f>
        <v>Estimate 2012</v>
      </c>
      <c r="E6" s="237" t="str">
        <f>CONCATENATE("Year ",F3,"")</f>
        <v>Year 2013</v>
      </c>
    </row>
    <row r="7" spans="2:6">
      <c r="B7" s="115" t="s">
        <v>124</v>
      </c>
      <c r="C7" s="387"/>
      <c r="D7" s="394">
        <f>C34</f>
        <v>0</v>
      </c>
      <c r="E7" s="47">
        <f>D34</f>
        <v>0</v>
      </c>
    </row>
    <row r="8" spans="2:6">
      <c r="B8" s="239" t="s">
        <v>126</v>
      </c>
      <c r="C8" s="240"/>
      <c r="D8" s="240"/>
      <c r="E8" s="121"/>
    </row>
    <row r="9" spans="2:6">
      <c r="B9" s="115" t="s">
        <v>33</v>
      </c>
      <c r="C9" s="387"/>
      <c r="D9" s="394">
        <f>inputPrYr!E22</f>
        <v>0</v>
      </c>
      <c r="E9" s="128" t="s">
        <v>28</v>
      </c>
    </row>
    <row r="10" spans="2:6">
      <c r="B10" s="115" t="s">
        <v>34</v>
      </c>
      <c r="C10" s="387"/>
      <c r="D10" s="387"/>
      <c r="E10" s="202"/>
    </row>
    <row r="11" spans="2:6">
      <c r="B11" s="115" t="s">
        <v>35</v>
      </c>
      <c r="C11" s="387"/>
      <c r="D11" s="387"/>
      <c r="E11" s="47">
        <f>mvalloc!D13</f>
        <v>0</v>
      </c>
    </row>
    <row r="12" spans="2:6">
      <c r="B12" s="115" t="s">
        <v>36</v>
      </c>
      <c r="C12" s="387"/>
      <c r="D12" s="387"/>
      <c r="E12" s="47">
        <f>mvalloc!E13</f>
        <v>0</v>
      </c>
    </row>
    <row r="13" spans="2:6">
      <c r="B13" s="240" t="s">
        <v>108</v>
      </c>
      <c r="C13" s="387"/>
      <c r="D13" s="387"/>
      <c r="E13" s="47">
        <f>mvalloc!F13</f>
        <v>0</v>
      </c>
    </row>
    <row r="14" spans="2:6">
      <c r="B14" s="240" t="s">
        <v>155</v>
      </c>
      <c r="C14" s="387"/>
      <c r="D14" s="387"/>
      <c r="E14" s="47">
        <f>mvalloc!G13</f>
        <v>0</v>
      </c>
    </row>
    <row r="15" spans="2:6">
      <c r="B15" s="241"/>
      <c r="C15" s="387"/>
      <c r="D15" s="387"/>
      <c r="E15" s="202"/>
    </row>
    <row r="16" spans="2:6">
      <c r="B16" s="241"/>
      <c r="C16" s="387"/>
      <c r="D16" s="387"/>
      <c r="E16" s="202"/>
    </row>
    <row r="17" spans="2:5">
      <c r="B17" s="241"/>
      <c r="C17" s="387"/>
      <c r="D17" s="387"/>
      <c r="E17" s="202"/>
    </row>
    <row r="18" spans="2:5">
      <c r="B18" s="242" t="s">
        <v>38</v>
      </c>
      <c r="C18" s="387"/>
      <c r="D18" s="387"/>
      <c r="E18" s="202"/>
    </row>
    <row r="19" spans="2:5">
      <c r="B19" s="243" t="s">
        <v>217</v>
      </c>
      <c r="C19" s="387"/>
      <c r="D19" s="387"/>
      <c r="E19" s="37"/>
    </row>
    <row r="20" spans="2:5">
      <c r="B20" s="243" t="s">
        <v>571</v>
      </c>
      <c r="C20" s="388" t="str">
        <f>IF(C21*0.1&lt;C19,"Exceed 10% Rule","")</f>
        <v/>
      </c>
      <c r="D20" s="388" t="str">
        <f>IF(D21*0.1&lt;D19,"Exceed 10% Rule","")</f>
        <v/>
      </c>
      <c r="E20" s="414" t="str">
        <f>IF(E21*0.1+E40&lt;E19,"Exceed 10% Rule","")</f>
        <v/>
      </c>
    </row>
    <row r="21" spans="2:5">
      <c r="B21" s="246" t="s">
        <v>39</v>
      </c>
      <c r="C21" s="389">
        <f>SUM(C9:C19)</f>
        <v>0</v>
      </c>
      <c r="D21" s="389">
        <f>SUM(D9:D19)</f>
        <v>0</v>
      </c>
      <c r="E21" s="247">
        <f>SUM(E9:E19)</f>
        <v>0</v>
      </c>
    </row>
    <row r="22" spans="2:5">
      <c r="B22" s="246" t="s">
        <v>40</v>
      </c>
      <c r="C22" s="389">
        <f>C7+C21</f>
        <v>0</v>
      </c>
      <c r="D22" s="389">
        <f>D7+D21</f>
        <v>0</v>
      </c>
      <c r="E22" s="247">
        <f>E7+E21</f>
        <v>0</v>
      </c>
    </row>
    <row r="23" spans="2:5">
      <c r="B23" s="115" t="s">
        <v>41</v>
      </c>
      <c r="C23" s="119"/>
      <c r="D23" s="119"/>
      <c r="E23" s="38"/>
    </row>
    <row r="24" spans="2:5">
      <c r="B24" s="241"/>
      <c r="C24" s="387"/>
      <c r="D24" s="387"/>
      <c r="E24" s="202"/>
    </row>
    <row r="25" spans="2:5">
      <c r="B25" s="241"/>
      <c r="C25" s="387"/>
      <c r="D25" s="387"/>
      <c r="E25" s="202"/>
    </row>
    <row r="26" spans="2:5">
      <c r="B26" s="241"/>
      <c r="C26" s="387"/>
      <c r="D26" s="387"/>
      <c r="E26" s="202"/>
    </row>
    <row r="27" spans="2:5">
      <c r="B27" s="241"/>
      <c r="C27" s="387"/>
      <c r="D27" s="387"/>
      <c r="E27" s="202"/>
    </row>
    <row r="28" spans="2:5">
      <c r="B28" s="241"/>
      <c r="C28" s="387"/>
      <c r="D28" s="387"/>
      <c r="E28" s="202"/>
    </row>
    <row r="29" spans="2:5">
      <c r="B29" s="241"/>
      <c r="C29" s="387"/>
      <c r="D29" s="387"/>
      <c r="E29" s="202"/>
    </row>
    <row r="30" spans="2:5">
      <c r="B30" s="119" t="s">
        <v>218</v>
      </c>
      <c r="C30" s="387"/>
      <c r="D30" s="387"/>
      <c r="E30" s="207" t="str">
        <f>Nhood!E9</f>
        <v/>
      </c>
    </row>
    <row r="31" spans="2:5">
      <c r="B31" s="119" t="s">
        <v>217</v>
      </c>
      <c r="C31" s="241"/>
      <c r="D31" s="241"/>
      <c r="E31" s="202"/>
    </row>
    <row r="32" spans="2:5">
      <c r="B32" s="119" t="s">
        <v>570</v>
      </c>
      <c r="C32" s="388" t="str">
        <f>IF(C33*0.1&lt;C31,"Exceed 10% Rule","")</f>
        <v/>
      </c>
      <c r="D32" s="388" t="str">
        <f>IF(D33*0.1&lt;D31,"Exceed 10% Rule","")</f>
        <v/>
      </c>
      <c r="E32" s="414" t="str">
        <f>IF(E33*0.1&lt;E31,"Exceed 10% Rule","")</f>
        <v/>
      </c>
    </row>
    <row r="33" spans="2:6">
      <c r="B33" s="246" t="s">
        <v>42</v>
      </c>
      <c r="C33" s="389">
        <f>SUM(C24:C31)</f>
        <v>0</v>
      </c>
      <c r="D33" s="389">
        <f>SUM(D24:D31)</f>
        <v>0</v>
      </c>
      <c r="E33" s="247">
        <f>SUM(E24:E31)</f>
        <v>0</v>
      </c>
    </row>
    <row r="34" spans="2:6">
      <c r="B34" s="115" t="s">
        <v>125</v>
      </c>
      <c r="C34" s="390">
        <f>C22-C33</f>
        <v>0</v>
      </c>
      <c r="D34" s="390">
        <f>D22-D33</f>
        <v>0</v>
      </c>
      <c r="E34" s="128" t="s">
        <v>28</v>
      </c>
    </row>
    <row r="35" spans="2:6">
      <c r="B35" s="138" t="str">
        <f>CONCATENATE("",F3-2,"/",F3-1," Budget Authority Amount:")</f>
        <v>2011/2012 Budget Authority Amount:</v>
      </c>
      <c r="C35" s="116">
        <f>inputOth!B44</f>
        <v>0</v>
      </c>
      <c r="D35" s="415">
        <f>inputPrYr!D22</f>
        <v>0</v>
      </c>
      <c r="E35" s="128" t="s">
        <v>28</v>
      </c>
      <c r="F35" s="248"/>
    </row>
    <row r="36" spans="2:6">
      <c r="B36" s="138"/>
      <c r="C36" s="616" t="s">
        <v>673</v>
      </c>
      <c r="D36" s="617"/>
      <c r="E36" s="37"/>
      <c r="F36" s="248" t="str">
        <f>IF(E33/0.95-E33&lt;E36,"Exceeds 5%","")</f>
        <v/>
      </c>
    </row>
    <row r="37" spans="2:6">
      <c r="B37" s="413" t="str">
        <f>CONCATENATE(C87,"     ",D87)</f>
        <v xml:space="preserve">     </v>
      </c>
      <c r="C37" s="618" t="s">
        <v>674</v>
      </c>
      <c r="D37" s="619"/>
      <c r="E37" s="47">
        <f>E33+E36</f>
        <v>0</v>
      </c>
    </row>
    <row r="38" spans="2:6">
      <c r="B38" s="413" t="str">
        <f>CONCATENATE(C88,"     ",D88)</f>
        <v xml:space="preserve">     </v>
      </c>
      <c r="C38" s="551"/>
      <c r="D38" s="546" t="s">
        <v>675</v>
      </c>
      <c r="E38" s="44">
        <f>IF(E37-E22&gt;0,E37-E22,0)</f>
        <v>0</v>
      </c>
    </row>
    <row r="39" spans="2:6">
      <c r="B39" s="158"/>
      <c r="C39" s="544" t="s">
        <v>676</v>
      </c>
      <c r="D39" s="545">
        <f>inputOth!$E$36</f>
        <v>0</v>
      </c>
      <c r="E39" s="47">
        <f>ROUND(IF(D39&gt;0,(E38*D39),0),0)</f>
        <v>0</v>
      </c>
    </row>
    <row r="40" spans="2:6">
      <c r="B40" s="18"/>
      <c r="C40" s="614" t="str">
        <f>CONCATENATE("Amount of  ",$F$3-1," Ad Valorem Tax")</f>
        <v>Amount of  2012 Ad Valorem Tax</v>
      </c>
      <c r="D40" s="615"/>
      <c r="E40" s="44">
        <f>E38+E39</f>
        <v>0</v>
      </c>
    </row>
    <row r="41" spans="2:6">
      <c r="B41" s="18"/>
      <c r="C41" s="18"/>
      <c r="D41" s="18"/>
      <c r="E41" s="18"/>
    </row>
    <row r="42" spans="2:6">
      <c r="B42" s="17" t="s">
        <v>32</v>
      </c>
      <c r="C42" s="102"/>
      <c r="D42" s="102"/>
      <c r="E42" s="102"/>
    </row>
    <row r="43" spans="2:6" ht="15.75" customHeight="1">
      <c r="B43" s="18"/>
      <c r="C43" s="391" t="s">
        <v>246</v>
      </c>
      <c r="D43" s="392" t="s">
        <v>247</v>
      </c>
      <c r="E43" s="236" t="s">
        <v>244</v>
      </c>
    </row>
    <row r="44" spans="2:6" ht="15.75" customHeight="1">
      <c r="B44" s="416">
        <f>inputPrYr!B23</f>
        <v>0</v>
      </c>
      <c r="C44" s="393" t="str">
        <f>C6</f>
        <v>Actual 2011</v>
      </c>
      <c r="D44" s="393" t="str">
        <f>D6</f>
        <v>Estimate 2012</v>
      </c>
      <c r="E44" s="237" t="str">
        <f>E6</f>
        <v>Year 2013</v>
      </c>
    </row>
    <row r="45" spans="2:6">
      <c r="B45" s="115" t="s">
        <v>124</v>
      </c>
      <c r="C45" s="387"/>
      <c r="D45" s="394">
        <f>C72</f>
        <v>0</v>
      </c>
      <c r="E45" s="47">
        <f>D72</f>
        <v>0</v>
      </c>
    </row>
    <row r="46" spans="2:6">
      <c r="B46" s="239" t="s">
        <v>126</v>
      </c>
      <c r="C46" s="240"/>
      <c r="D46" s="240"/>
      <c r="E46" s="121"/>
    </row>
    <row r="47" spans="2:6">
      <c r="B47" s="115" t="s">
        <v>33</v>
      </c>
      <c r="C47" s="387"/>
      <c r="D47" s="394">
        <f>inputPrYr!E23</f>
        <v>0</v>
      </c>
      <c r="E47" s="128" t="s">
        <v>28</v>
      </c>
    </row>
    <row r="48" spans="2:6">
      <c r="B48" s="115" t="s">
        <v>34</v>
      </c>
      <c r="C48" s="387"/>
      <c r="D48" s="387"/>
      <c r="E48" s="202"/>
    </row>
    <row r="49" spans="2:5">
      <c r="B49" s="115" t="s">
        <v>35</v>
      </c>
      <c r="C49" s="387"/>
      <c r="D49" s="387"/>
      <c r="E49" s="47">
        <f>mvalloc!D14</f>
        <v>0</v>
      </c>
    </row>
    <row r="50" spans="2:5">
      <c r="B50" s="115" t="s">
        <v>36</v>
      </c>
      <c r="C50" s="387"/>
      <c r="D50" s="387"/>
      <c r="E50" s="47">
        <f>mvalloc!E14</f>
        <v>0</v>
      </c>
    </row>
    <row r="51" spans="2:5">
      <c r="B51" s="240" t="s">
        <v>108</v>
      </c>
      <c r="C51" s="387"/>
      <c r="D51" s="387"/>
      <c r="E51" s="47">
        <f>mvalloc!F14</f>
        <v>0</v>
      </c>
    </row>
    <row r="52" spans="2:5">
      <c r="B52" s="240" t="s">
        <v>155</v>
      </c>
      <c r="C52" s="387"/>
      <c r="D52" s="387"/>
      <c r="E52" s="47">
        <f>mvalloc!G14</f>
        <v>0</v>
      </c>
    </row>
    <row r="53" spans="2:5">
      <c r="B53" s="241"/>
      <c r="C53" s="387"/>
      <c r="D53" s="387"/>
      <c r="E53" s="202"/>
    </row>
    <row r="54" spans="2:5">
      <c r="B54" s="241"/>
      <c r="C54" s="387"/>
      <c r="D54" s="387"/>
      <c r="E54" s="202"/>
    </row>
    <row r="55" spans="2:5">
      <c r="B55" s="241"/>
      <c r="C55" s="387"/>
      <c r="D55" s="387"/>
      <c r="E55" s="202"/>
    </row>
    <row r="56" spans="2:5">
      <c r="B56" s="242" t="s">
        <v>38</v>
      </c>
      <c r="C56" s="387"/>
      <c r="D56" s="387"/>
      <c r="E56" s="202"/>
    </row>
    <row r="57" spans="2:5">
      <c r="B57" s="243" t="s">
        <v>217</v>
      </c>
      <c r="C57" s="241"/>
      <c r="D57" s="241"/>
      <c r="E57" s="202"/>
    </row>
    <row r="58" spans="2:5">
      <c r="B58" s="243" t="s">
        <v>571</v>
      </c>
      <c r="C58" s="388" t="str">
        <f>IF(C59*0.1&lt;C57,"Exceed 10% Rule","")</f>
        <v/>
      </c>
      <c r="D58" s="388" t="str">
        <f>IF(D59*0.1&lt;D57,"Exceed 10% Rule","")</f>
        <v/>
      </c>
      <c r="E58" s="414" t="str">
        <f>IF(E59*0.1+E78&lt;E57,"Exceed 10% Rule","")</f>
        <v/>
      </c>
    </row>
    <row r="59" spans="2:5">
      <c r="B59" s="246" t="s">
        <v>39</v>
      </c>
      <c r="C59" s="389">
        <f>SUM(C47:C57)</f>
        <v>0</v>
      </c>
      <c r="D59" s="389">
        <f>SUM(D47:D57)</f>
        <v>0</v>
      </c>
      <c r="E59" s="247">
        <f>SUM(E47:E57)</f>
        <v>0</v>
      </c>
    </row>
    <row r="60" spans="2:5">
      <c r="B60" s="246" t="s">
        <v>40</v>
      </c>
      <c r="C60" s="389">
        <f>C45+C59</f>
        <v>0</v>
      </c>
      <c r="D60" s="389">
        <f>D45+D59</f>
        <v>0</v>
      </c>
      <c r="E60" s="247">
        <f>E45+E59</f>
        <v>0</v>
      </c>
    </row>
    <row r="61" spans="2:5">
      <c r="B61" s="115" t="s">
        <v>41</v>
      </c>
      <c r="C61" s="119"/>
      <c r="D61" s="119"/>
      <c r="E61" s="38"/>
    </row>
    <row r="62" spans="2:5">
      <c r="B62" s="241"/>
      <c r="C62" s="387"/>
      <c r="D62" s="387"/>
      <c r="E62" s="202"/>
    </row>
    <row r="63" spans="2:5">
      <c r="B63" s="241"/>
      <c r="C63" s="387"/>
      <c r="D63" s="387"/>
      <c r="E63" s="202"/>
    </row>
    <row r="64" spans="2:5">
      <c r="B64" s="241"/>
      <c r="C64" s="387"/>
      <c r="D64" s="387"/>
      <c r="E64" s="202"/>
    </row>
    <row r="65" spans="2:6">
      <c r="B65" s="241"/>
      <c r="C65" s="387"/>
      <c r="D65" s="387"/>
      <c r="E65" s="202"/>
    </row>
    <row r="66" spans="2:6">
      <c r="B66" s="241"/>
      <c r="C66" s="387"/>
      <c r="D66" s="387"/>
      <c r="E66" s="202"/>
    </row>
    <row r="67" spans="2:6">
      <c r="B67" s="241"/>
      <c r="C67" s="387"/>
      <c r="D67" s="387"/>
      <c r="E67" s="202"/>
    </row>
    <row r="68" spans="2:6">
      <c r="B68" s="119" t="s">
        <v>218</v>
      </c>
      <c r="C68" s="387"/>
      <c r="D68" s="387"/>
      <c r="E68" s="207" t="str">
        <f>Nhood!E10</f>
        <v/>
      </c>
    </row>
    <row r="69" spans="2:6">
      <c r="B69" s="119" t="s">
        <v>217</v>
      </c>
      <c r="C69" s="241"/>
      <c r="D69" s="241"/>
      <c r="E69" s="202"/>
    </row>
    <row r="70" spans="2:6">
      <c r="B70" s="119" t="s">
        <v>570</v>
      </c>
      <c r="C70" s="388" t="str">
        <f>IF(C71*0.1&lt;C69,"Exceed 10% Rule","")</f>
        <v/>
      </c>
      <c r="D70" s="388" t="str">
        <f>IF(D71*0.1&lt;D69,"Exceed 10% Rule","")</f>
        <v/>
      </c>
      <c r="E70" s="414" t="str">
        <f>IF(E71*0.1&lt;E69,"Exceed 10% Rule","")</f>
        <v/>
      </c>
    </row>
    <row r="71" spans="2:6">
      <c r="B71" s="246" t="s">
        <v>42</v>
      </c>
      <c r="C71" s="389">
        <f>SUM(C62:C69)</f>
        <v>0</v>
      </c>
      <c r="D71" s="389">
        <f>SUM(D62:D69)</f>
        <v>0</v>
      </c>
      <c r="E71" s="247">
        <f>SUM(E62:E69)</f>
        <v>0</v>
      </c>
    </row>
    <row r="72" spans="2:6">
      <c r="B72" s="115" t="s">
        <v>125</v>
      </c>
      <c r="C72" s="390">
        <f>C60-C71</f>
        <v>0</v>
      </c>
      <c r="D72" s="390">
        <f>D60-D71</f>
        <v>0</v>
      </c>
      <c r="E72" s="128" t="s">
        <v>28</v>
      </c>
    </row>
    <row r="73" spans="2:6">
      <c r="B73" s="138" t="str">
        <f>CONCATENATE("",F3-2,"/",F3-1," Budget Authority Amount:")</f>
        <v>2011/2012 Budget Authority Amount:</v>
      </c>
      <c r="C73" s="116">
        <f>inputOth!B45</f>
        <v>0</v>
      </c>
      <c r="D73" s="415">
        <f>inputPrYr!D23</f>
        <v>0</v>
      </c>
      <c r="E73" s="128" t="s">
        <v>28</v>
      </c>
      <c r="F73" s="248"/>
    </row>
    <row r="74" spans="2:6">
      <c r="B74" s="138"/>
      <c r="C74" s="616" t="s">
        <v>673</v>
      </c>
      <c r="D74" s="617"/>
      <c r="E74" s="37"/>
      <c r="F74" s="248" t="str">
        <f>IF(E71/0.95-E71&lt;E74,"Exceeds 5%","")</f>
        <v/>
      </c>
    </row>
    <row r="75" spans="2:6">
      <c r="B75" s="413" t="str">
        <f>CONCATENATE(C89,"     ",D89)</f>
        <v xml:space="preserve">     </v>
      </c>
      <c r="C75" s="618" t="s">
        <v>674</v>
      </c>
      <c r="D75" s="619"/>
      <c r="E75" s="47">
        <f>E71+E74</f>
        <v>0</v>
      </c>
    </row>
    <row r="76" spans="2:6">
      <c r="B76" s="413" t="str">
        <f>CONCATENATE(C90,"     ",D90)</f>
        <v xml:space="preserve">     </v>
      </c>
      <c r="C76" s="550"/>
      <c r="D76" s="546" t="s">
        <v>675</v>
      </c>
      <c r="E76" s="44">
        <f>IF(E75-E60&gt;0,E75-E60,0)</f>
        <v>0</v>
      </c>
    </row>
    <row r="77" spans="2:6">
      <c r="B77" s="158"/>
      <c r="C77" s="544" t="s">
        <v>676</v>
      </c>
      <c r="D77" s="545">
        <f>inputOth!$E$36</f>
        <v>0</v>
      </c>
      <c r="E77" s="47">
        <f>ROUND(IF(D77&gt;0,(E76*D77),0),0)</f>
        <v>0</v>
      </c>
    </row>
    <row r="78" spans="2:6">
      <c r="B78" s="18"/>
      <c r="C78" s="614" t="str">
        <f>CONCATENATE("Amount of  ",$F$3-1," Ad Valorem Tax")</f>
        <v>Amount of  2012 Ad Valorem Tax</v>
      </c>
      <c r="D78" s="615"/>
      <c r="E78" s="44">
        <f>E76+E77</f>
        <v>0</v>
      </c>
    </row>
    <row r="79" spans="2:6">
      <c r="B79" s="18"/>
      <c r="C79" s="159"/>
      <c r="D79" s="159"/>
      <c r="E79" s="159"/>
    </row>
    <row r="80" spans="2:6">
      <c r="B80" s="138" t="s">
        <v>44</v>
      </c>
      <c r="C80" s="267"/>
      <c r="D80" s="18"/>
      <c r="E80" s="18"/>
    </row>
    <row r="87" spans="3:4" hidden="1">
      <c r="C87" s="92" t="str">
        <f>IF(C33&gt;C35,"See Tab A","")</f>
        <v/>
      </c>
      <c r="D87" s="92" t="str">
        <f>IF(D33&gt;D35,"See Tab C","")</f>
        <v/>
      </c>
    </row>
    <row r="88" spans="3:4" hidden="1">
      <c r="C88" s="92" t="str">
        <f>IF(C34&lt;0,"See Tab B","")</f>
        <v/>
      </c>
      <c r="D88" s="92" t="str">
        <f>IF(D34&lt;0,"See Tab D","")</f>
        <v/>
      </c>
    </row>
    <row r="89" spans="3:4" hidden="1">
      <c r="C89" s="92" t="str">
        <f>IF(C71&gt;C73,"See Tab A","")</f>
        <v/>
      </c>
      <c r="D89" s="92" t="str">
        <f>IF(D71&gt;D73,"See Tab C","")</f>
        <v/>
      </c>
    </row>
    <row r="90" spans="3:4" hidden="1">
      <c r="C90" s="92" t="str">
        <f>IF(C72&lt;0,"See Tab B","")</f>
        <v/>
      </c>
      <c r="D90" s="92" t="str">
        <f>IF(D72&lt;0,"See Tab D","")</f>
        <v/>
      </c>
    </row>
  </sheetData>
  <sheetProtection sheet="1"/>
  <mergeCells count="6">
    <mergeCell ref="C78:D78"/>
    <mergeCell ref="C40:D40"/>
    <mergeCell ref="C74:D74"/>
    <mergeCell ref="C75:D75"/>
    <mergeCell ref="C36:D36"/>
    <mergeCell ref="C37:D37"/>
  </mergeCells>
  <phoneticPr fontId="0" type="noConversion"/>
  <conditionalFormatting sqref="C19">
    <cfRule type="cellIs" dxfId="39" priority="6" stopIfTrue="1" operator="greaterThan">
      <formula>$C$21*0.1</formula>
    </cfRule>
  </conditionalFormatting>
  <conditionalFormatting sqref="D19">
    <cfRule type="cellIs" dxfId="38" priority="7" stopIfTrue="1" operator="greaterThan">
      <formula>$D$21*0.1</formula>
    </cfRule>
  </conditionalFormatting>
  <conditionalFormatting sqref="C31">
    <cfRule type="cellIs" dxfId="37" priority="8" stopIfTrue="1" operator="greaterThan">
      <formula>$C$33*0.1</formula>
    </cfRule>
  </conditionalFormatting>
  <conditionalFormatting sqref="D31">
    <cfRule type="cellIs" dxfId="36" priority="9" stopIfTrue="1" operator="greaterThan">
      <formula>$D$33*0.1</formula>
    </cfRule>
  </conditionalFormatting>
  <conditionalFormatting sqref="E31">
    <cfRule type="cellIs" dxfId="35" priority="10" stopIfTrue="1" operator="greaterThan">
      <formula>$E$33*0.1</formula>
    </cfRule>
  </conditionalFormatting>
  <conditionalFormatting sqref="C57">
    <cfRule type="cellIs" dxfId="34" priority="11" stopIfTrue="1" operator="greaterThan">
      <formula>$C$59*0.1</formula>
    </cfRule>
  </conditionalFormatting>
  <conditionalFormatting sqref="D57">
    <cfRule type="cellIs" dxfId="33" priority="12" stopIfTrue="1" operator="greaterThan">
      <formula>$D$59*0.1</formula>
    </cfRule>
  </conditionalFormatting>
  <conditionalFormatting sqref="C69">
    <cfRule type="cellIs" dxfId="32" priority="13" stopIfTrue="1" operator="greaterThan">
      <formula>$C$71*0.1</formula>
    </cfRule>
  </conditionalFormatting>
  <conditionalFormatting sqref="D69">
    <cfRule type="cellIs" dxfId="31" priority="14" stopIfTrue="1" operator="greaterThan">
      <formula>$D$71*0.1</formula>
    </cfRule>
  </conditionalFormatting>
  <conditionalFormatting sqref="E69">
    <cfRule type="cellIs" dxfId="30" priority="15" stopIfTrue="1" operator="greaterThan">
      <formula>$E$71*0.1</formula>
    </cfRule>
  </conditionalFormatting>
  <conditionalFormatting sqref="E74">
    <cfRule type="cellIs" dxfId="29" priority="16" stopIfTrue="1" operator="greaterThan">
      <formula>$E$71/0.95-$E$71</formula>
    </cfRule>
  </conditionalFormatting>
  <conditionalFormatting sqref="E36">
    <cfRule type="cellIs" dxfId="28" priority="17" stopIfTrue="1" operator="greaterThan">
      <formula>$E$33/0.95-$E$33</formula>
    </cfRule>
  </conditionalFormatting>
  <conditionalFormatting sqref="C72">
    <cfRule type="cellIs" dxfId="27" priority="18" stopIfTrue="1" operator="lessThan">
      <formula>0</formula>
    </cfRule>
  </conditionalFormatting>
  <conditionalFormatting sqref="E57">
    <cfRule type="cellIs" dxfId="26" priority="21" stopIfTrue="1" operator="greaterThan">
      <formula>$E$59*0.1+$E$78</formula>
    </cfRule>
  </conditionalFormatting>
  <conditionalFormatting sqref="E19">
    <cfRule type="cellIs" dxfId="25" priority="22" stopIfTrue="1" operator="greaterThan">
      <formula>$E$21*0.1+$E$40</formula>
    </cfRule>
  </conditionalFormatting>
  <conditionalFormatting sqref="D72 C34:D34">
    <cfRule type="cellIs" dxfId="24" priority="4" stopIfTrue="1" operator="lessThan">
      <formula>0</formula>
    </cfRule>
  </conditionalFormatting>
  <conditionalFormatting sqref="D33">
    <cfRule type="cellIs" dxfId="23" priority="43" stopIfTrue="1" operator="greaterThan">
      <formula>$D$35</formula>
    </cfRule>
  </conditionalFormatting>
  <conditionalFormatting sqref="C33">
    <cfRule type="cellIs" dxfId="22" priority="61" stopIfTrue="1" operator="greaterThan">
      <formula>$C$35</formula>
    </cfRule>
  </conditionalFormatting>
  <conditionalFormatting sqref="D71">
    <cfRule type="cellIs" dxfId="21" priority="76" stopIfTrue="1" operator="greaterThan">
      <formula>$D$73</formula>
    </cfRule>
  </conditionalFormatting>
  <conditionalFormatting sqref="C71">
    <cfRule type="cellIs" dxfId="20" priority="90" stopIfTrue="1" operator="greaterThan">
      <formula>$C$73</formula>
    </cfRule>
  </conditionalFormatting>
  <pageMargins left="1" right="1" top="0.5" bottom="0.5" header="0.5" footer="0.5"/>
  <pageSetup scale="65" orientation="portrait" blackAndWhite="1" horizontalDpi="120" verticalDpi="144" r:id="rId1"/>
  <headerFooter alignWithMargins="0">
    <oddHeader xml:space="preserve">&amp;RState of Kansas
Special District
</oddHeader>
  </headerFooter>
</worksheet>
</file>

<file path=xl/worksheets/sheet15.xml><?xml version="1.0" encoding="utf-8"?>
<worksheet xmlns="http://schemas.openxmlformats.org/spreadsheetml/2006/main" xmlns:r="http://schemas.openxmlformats.org/officeDocument/2006/relationships">
  <sheetPr>
    <pageSetUpPr fitToPage="1"/>
  </sheetPr>
  <dimension ref="B1:F70"/>
  <sheetViews>
    <sheetView workbookViewId="0">
      <selection activeCell="F25" sqref="F25"/>
    </sheetView>
  </sheetViews>
  <sheetFormatPr defaultColWidth="27.77734375" defaultRowHeight="15.75"/>
  <cols>
    <col min="1" max="1" width="2.44140625" style="92" customWidth="1"/>
    <col min="2" max="2" width="31.109375" style="92" customWidth="1"/>
    <col min="3" max="4" width="15.77734375" style="92" customWidth="1"/>
    <col min="5" max="5" width="17.6640625" style="92" customWidth="1"/>
    <col min="6" max="16384" width="27.77734375" style="92"/>
  </cols>
  <sheetData>
    <row r="1" spans="2:6">
      <c r="B1" s="18" t="str">
        <f>inputPrYr!D3</f>
        <v>Antioch Cemetery</v>
      </c>
      <c r="C1" s="234"/>
      <c r="D1" s="18"/>
      <c r="E1" s="185"/>
    </row>
    <row r="2" spans="2:6">
      <c r="B2" s="18" t="str">
        <f>inputPrYr!D4</f>
        <v>Franklin County</v>
      </c>
      <c r="C2" s="234"/>
      <c r="D2" s="18"/>
      <c r="E2" s="138"/>
    </row>
    <row r="3" spans="2:6">
      <c r="B3" s="27" t="s">
        <v>81</v>
      </c>
      <c r="C3" s="234"/>
      <c r="D3" s="234"/>
      <c r="E3" s="235"/>
      <c r="F3" s="92">
        <f>inputPrYr!$D$6</f>
        <v>2013</v>
      </c>
    </row>
    <row r="4" spans="2:6">
      <c r="B4" s="18"/>
      <c r="C4" s="102"/>
      <c r="D4" s="102"/>
      <c r="E4" s="102"/>
    </row>
    <row r="5" spans="2:6">
      <c r="B5" s="17" t="s">
        <v>32</v>
      </c>
      <c r="C5" s="269" t="s">
        <v>246</v>
      </c>
      <c r="D5" s="236" t="s">
        <v>247</v>
      </c>
      <c r="E5" s="236" t="s">
        <v>244</v>
      </c>
    </row>
    <row r="6" spans="2:6">
      <c r="B6" s="416">
        <f>inputPrYr!B26</f>
        <v>0</v>
      </c>
      <c r="C6" s="237" t="str">
        <f>CONCATENATE("Actual ",F3-2,"")</f>
        <v>Actual 2011</v>
      </c>
      <c r="D6" s="237" t="str">
        <f>CONCATENATE("Estimate ",F3-1,"")</f>
        <v>Estimate 2012</v>
      </c>
      <c r="E6" s="237" t="str">
        <f>CONCATENATE("Year ",F3,"")</f>
        <v>Year 2013</v>
      </c>
    </row>
    <row r="7" spans="2:6">
      <c r="B7" s="115" t="s">
        <v>124</v>
      </c>
      <c r="C7" s="37"/>
      <c r="D7" s="47">
        <f>C32</f>
        <v>0</v>
      </c>
      <c r="E7" s="47">
        <f>D32</f>
        <v>0</v>
      </c>
    </row>
    <row r="8" spans="2:6">
      <c r="B8" s="239" t="s">
        <v>126</v>
      </c>
      <c r="C8" s="38"/>
      <c r="D8" s="38"/>
      <c r="E8" s="38"/>
    </row>
    <row r="9" spans="2:6">
      <c r="B9" s="241"/>
      <c r="C9" s="202"/>
      <c r="D9" s="202"/>
      <c r="E9" s="202"/>
    </row>
    <row r="10" spans="2:6">
      <c r="B10" s="241"/>
      <c r="C10" s="202"/>
      <c r="D10" s="202"/>
      <c r="E10" s="202"/>
    </row>
    <row r="11" spans="2:6">
      <c r="B11" s="241"/>
      <c r="C11" s="202"/>
      <c r="D11" s="202"/>
      <c r="E11" s="202"/>
    </row>
    <row r="12" spans="2:6">
      <c r="B12" s="241"/>
      <c r="C12" s="202"/>
      <c r="D12" s="202"/>
      <c r="E12" s="202"/>
    </row>
    <row r="13" spans="2:6">
      <c r="B13" s="241"/>
      <c r="C13" s="202"/>
      <c r="D13" s="202"/>
      <c r="E13" s="202"/>
    </row>
    <row r="14" spans="2:6">
      <c r="B14" s="241"/>
      <c r="C14" s="202"/>
      <c r="D14" s="202"/>
      <c r="E14" s="202"/>
    </row>
    <row r="15" spans="2:6">
      <c r="B15" s="241"/>
      <c r="C15" s="202"/>
      <c r="D15" s="202"/>
      <c r="E15" s="202"/>
    </row>
    <row r="16" spans="2:6">
      <c r="B16" s="242" t="s">
        <v>38</v>
      </c>
      <c r="C16" s="202"/>
      <c r="D16" s="202"/>
      <c r="E16" s="202"/>
    </row>
    <row r="17" spans="2:5">
      <c r="B17" s="243" t="s">
        <v>217</v>
      </c>
      <c r="C17" s="202"/>
      <c r="D17" s="244"/>
      <c r="E17" s="244"/>
    </row>
    <row r="18" spans="2:5">
      <c r="B18" s="243" t="s">
        <v>571</v>
      </c>
      <c r="C18" s="414" t="str">
        <f>IF(C19*0.1&lt;C17,"Exceed 10% Rule","")</f>
        <v/>
      </c>
      <c r="D18" s="245" t="str">
        <f>IF(D19*0.1&lt;D17,"Exceed 10% Rule","")</f>
        <v/>
      </c>
      <c r="E18" s="245" t="str">
        <f>IF(E19*0.1&lt;E17,"Exceed 10% Rule","")</f>
        <v/>
      </c>
    </row>
    <row r="19" spans="2:5">
      <c r="B19" s="246" t="s">
        <v>39</v>
      </c>
      <c r="C19" s="247">
        <f>SUM(C9:C17)</f>
        <v>0</v>
      </c>
      <c r="D19" s="247">
        <f>SUM(D9:D17)</f>
        <v>0</v>
      </c>
      <c r="E19" s="247">
        <f>SUM(E9:E17)</f>
        <v>0</v>
      </c>
    </row>
    <row r="20" spans="2:5">
      <c r="B20" s="246" t="s">
        <v>40</v>
      </c>
      <c r="C20" s="247">
        <f>C19+C7</f>
        <v>0</v>
      </c>
      <c r="D20" s="247">
        <f>D19+D7</f>
        <v>0</v>
      </c>
      <c r="E20" s="247">
        <f>E19+E7</f>
        <v>0</v>
      </c>
    </row>
    <row r="21" spans="2:5">
      <c r="B21" s="115" t="s">
        <v>41</v>
      </c>
      <c r="C21" s="38"/>
      <c r="D21" s="38"/>
      <c r="E21" s="38"/>
    </row>
    <row r="22" spans="2:5">
      <c r="B22" s="241"/>
      <c r="C22" s="202"/>
      <c r="D22" s="202"/>
      <c r="E22" s="202"/>
    </row>
    <row r="23" spans="2:5">
      <c r="B23" s="241"/>
      <c r="C23" s="202"/>
      <c r="D23" s="202"/>
      <c r="E23" s="202"/>
    </row>
    <row r="24" spans="2:5">
      <c r="B24" s="241"/>
      <c r="C24" s="202"/>
      <c r="D24" s="202"/>
      <c r="E24" s="202"/>
    </row>
    <row r="25" spans="2:5">
      <c r="B25" s="241"/>
      <c r="C25" s="202"/>
      <c r="D25" s="202"/>
      <c r="E25" s="202"/>
    </row>
    <row r="26" spans="2:5">
      <c r="B26" s="241"/>
      <c r="C26" s="202"/>
      <c r="D26" s="202"/>
      <c r="E26" s="202"/>
    </row>
    <row r="27" spans="2:5">
      <c r="B27" s="241"/>
      <c r="C27" s="202"/>
      <c r="D27" s="202"/>
      <c r="E27" s="202"/>
    </row>
    <row r="28" spans="2:5">
      <c r="B28" s="241"/>
      <c r="C28" s="202"/>
      <c r="D28" s="202"/>
      <c r="E28" s="202"/>
    </row>
    <row r="29" spans="2:5">
      <c r="B29" s="119" t="s">
        <v>217</v>
      </c>
      <c r="C29" s="37"/>
      <c r="D29" s="238"/>
      <c r="E29" s="238"/>
    </row>
    <row r="30" spans="2:5">
      <c r="B30" s="119" t="s">
        <v>570</v>
      </c>
      <c r="C30" s="414" t="str">
        <f>IF(C31*0.1&lt;C29,"Exceed 10% Rule","")</f>
        <v/>
      </c>
      <c r="D30" s="245" t="str">
        <f>IF(D31*0.1&lt;D29,"Exceed 10% Rule","")</f>
        <v/>
      </c>
      <c r="E30" s="245" t="str">
        <f>IF(E31*0.1&lt;E29,"Exceed 10% Rule","")</f>
        <v/>
      </c>
    </row>
    <row r="31" spans="2:5">
      <c r="B31" s="246" t="s">
        <v>42</v>
      </c>
      <c r="C31" s="247">
        <f>SUM(C22:C29)</f>
        <v>0</v>
      </c>
      <c r="D31" s="247">
        <f>SUM(D22:D29)</f>
        <v>0</v>
      </c>
      <c r="E31" s="247">
        <f>SUM(E22:E29)</f>
        <v>0</v>
      </c>
    </row>
    <row r="32" spans="2:5">
      <c r="B32" s="115" t="s">
        <v>125</v>
      </c>
      <c r="C32" s="44">
        <f>C20-C31</f>
        <v>0</v>
      </c>
      <c r="D32" s="44">
        <f>D20-D31</f>
        <v>0</v>
      </c>
      <c r="E32" s="44">
        <f>E20-E31</f>
        <v>0</v>
      </c>
    </row>
    <row r="33" spans="2:5">
      <c r="B33" s="138" t="str">
        <f>CONCATENATE("",F3-2,"/",F3-1," Budget Authority Amount:")</f>
        <v>2011/2012 Budget Authority Amount:</v>
      </c>
      <c r="C33" s="116">
        <f>inputOth!B46</f>
        <v>0</v>
      </c>
      <c r="D33" s="116">
        <f>inputPrYr!D26</f>
        <v>0</v>
      </c>
      <c r="E33" s="418" t="str">
        <f>IF(E32&lt;0,"See Tab E","")</f>
        <v/>
      </c>
    </row>
    <row r="34" spans="2:5">
      <c r="B34" s="138"/>
      <c r="C34" s="249" t="str">
        <f>IF(C31&gt;C33,"See Tab A","")</f>
        <v/>
      </c>
      <c r="D34" s="249" t="str">
        <f>IF(D31&gt;D33,"See Tab C","")</f>
        <v/>
      </c>
      <c r="E34" s="39"/>
    </row>
    <row r="35" spans="2:5">
      <c r="B35" s="138"/>
      <c r="C35" s="249" t="str">
        <f>IF(C32&lt;0,"See Tab B","")</f>
        <v/>
      </c>
      <c r="D35" s="249" t="str">
        <f>IF(D32&lt;0,"See Tab D","")</f>
        <v/>
      </c>
      <c r="E35" s="39"/>
    </row>
    <row r="36" spans="2:5">
      <c r="B36" s="18"/>
      <c r="C36" s="159"/>
      <c r="D36" s="159"/>
      <c r="E36" s="159"/>
    </row>
    <row r="37" spans="2:5">
      <c r="B37" s="18"/>
      <c r="C37" s="102"/>
      <c r="D37" s="102"/>
      <c r="E37" s="102"/>
    </row>
    <row r="38" spans="2:5" ht="15.75" customHeight="1">
      <c r="B38" s="17" t="s">
        <v>32</v>
      </c>
      <c r="C38" s="269" t="s">
        <v>246</v>
      </c>
      <c r="D38" s="236" t="s">
        <v>247</v>
      </c>
      <c r="E38" s="236" t="s">
        <v>244</v>
      </c>
    </row>
    <row r="39" spans="2:5" ht="15.75" customHeight="1">
      <c r="B39" s="416">
        <f>inputPrYr!B27</f>
        <v>0</v>
      </c>
      <c r="C39" s="237" t="str">
        <f>C6</f>
        <v>Actual 2011</v>
      </c>
      <c r="D39" s="237" t="str">
        <f>D6</f>
        <v>Estimate 2012</v>
      </c>
      <c r="E39" s="237" t="str">
        <f>E6</f>
        <v>Year 2013</v>
      </c>
    </row>
    <row r="40" spans="2:5">
      <c r="B40" s="115" t="s">
        <v>124</v>
      </c>
      <c r="C40" s="37"/>
      <c r="D40" s="47">
        <f>C65</f>
        <v>0</v>
      </c>
      <c r="E40" s="47">
        <f>D65</f>
        <v>0</v>
      </c>
    </row>
    <row r="41" spans="2:5">
      <c r="B41" s="239" t="s">
        <v>126</v>
      </c>
      <c r="C41" s="38"/>
      <c r="D41" s="38"/>
      <c r="E41" s="38"/>
    </row>
    <row r="42" spans="2:5">
      <c r="B42" s="241"/>
      <c r="C42" s="202"/>
      <c r="D42" s="202"/>
      <c r="E42" s="202"/>
    </row>
    <row r="43" spans="2:5">
      <c r="B43" s="241"/>
      <c r="C43" s="202"/>
      <c r="D43" s="202"/>
      <c r="E43" s="202"/>
    </row>
    <row r="44" spans="2:5">
      <c r="B44" s="241"/>
      <c r="C44" s="202"/>
      <c r="D44" s="202"/>
      <c r="E44" s="202"/>
    </row>
    <row r="45" spans="2:5">
      <c r="B45" s="241"/>
      <c r="C45" s="202"/>
      <c r="D45" s="202"/>
      <c r="E45" s="202"/>
    </row>
    <row r="46" spans="2:5">
      <c r="B46" s="241"/>
      <c r="C46" s="202"/>
      <c r="D46" s="202"/>
      <c r="E46" s="202"/>
    </row>
    <row r="47" spans="2:5">
      <c r="B47" s="241"/>
      <c r="C47" s="202"/>
      <c r="D47" s="202"/>
      <c r="E47" s="202"/>
    </row>
    <row r="48" spans="2:5">
      <c r="B48" s="241"/>
      <c r="C48" s="202"/>
      <c r="D48" s="202"/>
      <c r="E48" s="202"/>
    </row>
    <row r="49" spans="2:5">
      <c r="B49" s="242" t="s">
        <v>38</v>
      </c>
      <c r="C49" s="202"/>
      <c r="D49" s="202"/>
      <c r="E49" s="202"/>
    </row>
    <row r="50" spans="2:5">
      <c r="B50" s="243" t="s">
        <v>217</v>
      </c>
      <c r="C50" s="202"/>
      <c r="D50" s="244"/>
      <c r="E50" s="244"/>
    </row>
    <row r="51" spans="2:5">
      <c r="B51" s="243" t="s">
        <v>571</v>
      </c>
      <c r="C51" s="414" t="str">
        <f>IF(C52*0.1&lt;C50,"Exceed 10% Rule","")</f>
        <v/>
      </c>
      <c r="D51" s="245" t="str">
        <f>IF(D52*0.1&lt;D50,"Exceed 10% Rule","")</f>
        <v/>
      </c>
      <c r="E51" s="245" t="str">
        <f>IF(E52*0.1&lt;E50,"Exceed 10% Rule","")</f>
        <v/>
      </c>
    </row>
    <row r="52" spans="2:5">
      <c r="B52" s="246" t="s">
        <v>39</v>
      </c>
      <c r="C52" s="247">
        <f>SUM(C42:C50)</f>
        <v>0</v>
      </c>
      <c r="D52" s="247">
        <f>SUM(D42:D50)</f>
        <v>0</v>
      </c>
      <c r="E52" s="247">
        <f>SUM(E42:E50)</f>
        <v>0</v>
      </c>
    </row>
    <row r="53" spans="2:5">
      <c r="B53" s="246" t="s">
        <v>40</v>
      </c>
      <c r="C53" s="247">
        <f>C52+C40</f>
        <v>0</v>
      </c>
      <c r="D53" s="247">
        <f>D52+D40</f>
        <v>0</v>
      </c>
      <c r="E53" s="247">
        <f>E52+E40</f>
        <v>0</v>
      </c>
    </row>
    <row r="54" spans="2:5">
      <c r="B54" s="115" t="s">
        <v>41</v>
      </c>
      <c r="C54" s="38"/>
      <c r="D54" s="38"/>
      <c r="E54" s="38"/>
    </row>
    <row r="55" spans="2:5">
      <c r="B55" s="241"/>
      <c r="C55" s="202"/>
      <c r="D55" s="202"/>
      <c r="E55" s="202"/>
    </row>
    <row r="56" spans="2:5">
      <c r="B56" s="241"/>
      <c r="C56" s="202"/>
      <c r="D56" s="202"/>
      <c r="E56" s="202"/>
    </row>
    <row r="57" spans="2:5">
      <c r="B57" s="241"/>
      <c r="C57" s="202"/>
      <c r="D57" s="202"/>
      <c r="E57" s="202"/>
    </row>
    <row r="58" spans="2:5">
      <c r="B58" s="241"/>
      <c r="C58" s="202"/>
      <c r="D58" s="202"/>
      <c r="E58" s="202"/>
    </row>
    <row r="59" spans="2:5">
      <c r="B59" s="241"/>
      <c r="C59" s="202"/>
      <c r="D59" s="202"/>
      <c r="E59" s="202"/>
    </row>
    <row r="60" spans="2:5">
      <c r="B60" s="241"/>
      <c r="C60" s="202"/>
      <c r="D60" s="202"/>
      <c r="E60" s="202"/>
    </row>
    <row r="61" spans="2:5">
      <c r="B61" s="241"/>
      <c r="C61" s="202"/>
      <c r="D61" s="202"/>
      <c r="E61" s="202"/>
    </row>
    <row r="62" spans="2:5">
      <c r="B62" s="119" t="s">
        <v>217</v>
      </c>
      <c r="C62" s="37"/>
      <c r="D62" s="238"/>
      <c r="E62" s="238"/>
    </row>
    <row r="63" spans="2:5">
      <c r="B63" s="119" t="s">
        <v>570</v>
      </c>
      <c r="C63" s="414" t="str">
        <f>IF(C64*0.1&lt;C62,"Exceed 10% Rule","")</f>
        <v/>
      </c>
      <c r="D63" s="245" t="str">
        <f>IF(D64*0.1&lt;D62,"Exceed 10% Rule","")</f>
        <v/>
      </c>
      <c r="E63" s="245" t="str">
        <f>IF(E64*0.1&lt;E62,"Exceed 10% Rule","")</f>
        <v/>
      </c>
    </row>
    <row r="64" spans="2:5">
      <c r="B64" s="246" t="s">
        <v>42</v>
      </c>
      <c r="C64" s="247">
        <f>SUM(C55:C62)</f>
        <v>0</v>
      </c>
      <c r="D64" s="247">
        <f>SUM(D55:D62)</f>
        <v>0</v>
      </c>
      <c r="E64" s="247">
        <f>SUM(E55:E62)</f>
        <v>0</v>
      </c>
    </row>
    <row r="65" spans="2:5">
      <c r="B65" s="115" t="s">
        <v>125</v>
      </c>
      <c r="C65" s="44">
        <f>C53-C64</f>
        <v>0</v>
      </c>
      <c r="D65" s="44">
        <f>D53-D64</f>
        <v>0</v>
      </c>
      <c r="E65" s="44">
        <f>E53-E64</f>
        <v>0</v>
      </c>
    </row>
    <row r="66" spans="2:5">
      <c r="B66" s="138" t="str">
        <f>CONCATENATE("",F3-2,"/",F3-1," Budget Authority Amount:")</f>
        <v>2011/2012 Budget Authority Amount:</v>
      </c>
      <c r="C66" s="116">
        <f>inputOth!B47</f>
        <v>0</v>
      </c>
      <c r="D66" s="116">
        <f>inputPrYr!D27</f>
        <v>0</v>
      </c>
      <c r="E66" s="418" t="str">
        <f>IF(E65&lt;0,"See Tab E","")</f>
        <v/>
      </c>
    </row>
    <row r="67" spans="2:5">
      <c r="B67" s="138"/>
      <c r="C67" s="249" t="str">
        <f>IF(C64&gt;C66,"See Tab A","")</f>
        <v/>
      </c>
      <c r="D67" s="249" t="str">
        <f>IF(D64&gt;D66,"See Tab C","")</f>
        <v/>
      </c>
      <c r="E67" s="18"/>
    </row>
    <row r="68" spans="2:5">
      <c r="B68" s="138"/>
      <c r="C68" s="249" t="str">
        <f>IF(C65&lt;0,"See Tab B","")</f>
        <v/>
      </c>
      <c r="D68" s="249" t="str">
        <f>IF(D65&lt;0,"See Tab D","")</f>
        <v/>
      </c>
      <c r="E68" s="18"/>
    </row>
    <row r="69" spans="2:5">
      <c r="B69" s="18"/>
      <c r="C69" s="18"/>
      <c r="D69" s="234"/>
      <c r="E69" s="234"/>
    </row>
    <row r="70" spans="2:5">
      <c r="B70" s="138" t="s">
        <v>44</v>
      </c>
      <c r="C70" s="267"/>
      <c r="D70" s="18"/>
      <c r="E70" s="18"/>
    </row>
  </sheetData>
  <sheetProtection sheet="1"/>
  <phoneticPr fontId="0" type="noConversion"/>
  <conditionalFormatting sqref="E17">
    <cfRule type="cellIs" dxfId="19" priority="6" stopIfTrue="1" operator="greaterThan">
      <formula>$E$19*0.1</formula>
    </cfRule>
  </conditionalFormatting>
  <conditionalFormatting sqref="E29">
    <cfRule type="cellIs" dxfId="18" priority="7" stopIfTrue="1" operator="greaterThan">
      <formula>$E$31*0.1</formula>
    </cfRule>
  </conditionalFormatting>
  <conditionalFormatting sqref="E50">
    <cfRule type="cellIs" dxfId="17" priority="8" stopIfTrue="1" operator="greaterThan">
      <formula>$E$52*0.1</formula>
    </cfRule>
  </conditionalFormatting>
  <conditionalFormatting sqref="E62">
    <cfRule type="cellIs" dxfId="16" priority="9" stopIfTrue="1" operator="greaterThan">
      <formula>$E$64*0.1</formula>
    </cfRule>
  </conditionalFormatting>
  <conditionalFormatting sqref="D17">
    <cfRule type="cellIs" dxfId="15" priority="10" stopIfTrue="1" operator="greaterThan">
      <formula>$D$19*0.1</formula>
    </cfRule>
  </conditionalFormatting>
  <conditionalFormatting sqref="D29">
    <cfRule type="cellIs" dxfId="14" priority="11" stopIfTrue="1" operator="greaterThan">
      <formula>$D$31*0.1</formula>
    </cfRule>
  </conditionalFormatting>
  <conditionalFormatting sqref="D50">
    <cfRule type="cellIs" dxfId="13" priority="12" stopIfTrue="1" operator="greaterThan">
      <formula>$D$52*0.1</formula>
    </cfRule>
  </conditionalFormatting>
  <conditionalFormatting sqref="D62">
    <cfRule type="cellIs" dxfId="12" priority="13" stopIfTrue="1" operator="greaterThan">
      <formula>$D$64*0.1</formula>
    </cfRule>
  </conditionalFormatting>
  <conditionalFormatting sqref="C17">
    <cfRule type="cellIs" dxfId="11" priority="14" stopIfTrue="1" operator="greaterThan">
      <formula>$C$19*0.1</formula>
    </cfRule>
  </conditionalFormatting>
  <conditionalFormatting sqref="C29">
    <cfRule type="cellIs" dxfId="10" priority="15" stopIfTrue="1" operator="greaterThan">
      <formula>$C$31*0.1</formula>
    </cfRule>
  </conditionalFormatting>
  <conditionalFormatting sqref="C50">
    <cfRule type="cellIs" dxfId="9" priority="16" stopIfTrue="1" operator="greaterThan">
      <formula>$C$52*0.1</formula>
    </cfRule>
  </conditionalFormatting>
  <conditionalFormatting sqref="C62">
    <cfRule type="cellIs" dxfId="8" priority="17" stopIfTrue="1" operator="greaterThan">
      <formula>$C$64*0.1</formula>
    </cfRule>
  </conditionalFormatting>
  <conditionalFormatting sqref="E65 C65 E32">
    <cfRule type="cellIs" dxfId="7" priority="18" stopIfTrue="1" operator="lessThan">
      <formula>0</formula>
    </cfRule>
  </conditionalFormatting>
  <conditionalFormatting sqref="C64">
    <cfRule type="cellIs" dxfId="6" priority="19" stopIfTrue="1" operator="greaterThan">
      <formula>$C$66</formula>
    </cfRule>
  </conditionalFormatting>
  <conditionalFormatting sqref="D64">
    <cfRule type="cellIs" dxfId="5" priority="20" stopIfTrue="1" operator="greaterThan">
      <formula>$D$66</formula>
    </cfRule>
  </conditionalFormatting>
  <conditionalFormatting sqref="C31">
    <cfRule type="cellIs" dxfId="4" priority="5" stopIfTrue="1" operator="greaterThan">
      <formula>$C$33</formula>
    </cfRule>
  </conditionalFormatting>
  <conditionalFormatting sqref="C32">
    <cfRule type="cellIs" dxfId="3" priority="4" stopIfTrue="1" operator="lessThan">
      <formula>0</formula>
    </cfRule>
  </conditionalFormatting>
  <conditionalFormatting sqref="D31">
    <cfRule type="cellIs" dxfId="2" priority="3" stopIfTrue="1" operator="greaterThan">
      <formula>$D$33</formula>
    </cfRule>
  </conditionalFormatting>
  <conditionalFormatting sqref="D32">
    <cfRule type="cellIs" dxfId="1" priority="2" stopIfTrue="1" operator="lessThan">
      <formula>0</formula>
    </cfRule>
  </conditionalFormatting>
  <conditionalFormatting sqref="D65">
    <cfRule type="cellIs" dxfId="0" priority="1" stopIfTrue="1" operator="lessThan">
      <formula>0</formula>
    </cfRule>
  </conditionalFormatting>
  <pageMargins left="1" right="1" top="0.5" bottom="0.5" header="0.5" footer="0.5"/>
  <pageSetup scale="62" orientation="portrait" blackAndWhite="1" horizontalDpi="120" verticalDpi="144" r:id="rId1"/>
  <headerFooter alignWithMargins="0">
    <oddHeader xml:space="preserve">&amp;RState of Kansas
Special District
</oddHeader>
  </headerFooter>
</worksheet>
</file>

<file path=xl/worksheets/sheet16.xml><?xml version="1.0" encoding="utf-8"?>
<worksheet xmlns="http://schemas.openxmlformats.org/spreadsheetml/2006/main" xmlns:r="http://schemas.openxmlformats.org/officeDocument/2006/relationships">
  <sheetPr>
    <pageSetUpPr fitToPage="1"/>
  </sheetPr>
  <dimension ref="A1:L41"/>
  <sheetViews>
    <sheetView workbookViewId="0">
      <selection activeCell="J22" sqref="J22"/>
    </sheetView>
  </sheetViews>
  <sheetFormatPr defaultRowHeight="15.75"/>
  <cols>
    <col min="1" max="1" width="11.5546875" style="92" customWidth="1"/>
    <col min="2" max="2" width="7.44140625" style="92" customWidth="1"/>
    <col min="3" max="3" width="11.5546875" style="92" customWidth="1"/>
    <col min="4" max="4" width="7.44140625" style="92" customWidth="1"/>
    <col min="5" max="5" width="11.5546875" style="92" customWidth="1"/>
    <col min="6" max="6" width="7.44140625" style="92" customWidth="1"/>
    <col min="7" max="7" width="11.5546875" style="92" customWidth="1"/>
    <col min="8" max="8" width="7.44140625" style="92" customWidth="1"/>
    <col min="9" max="9" width="11.5546875" style="92" customWidth="1"/>
    <col min="10" max="16384" width="8.88671875" style="92"/>
  </cols>
  <sheetData>
    <row r="1" spans="1:11">
      <c r="A1" s="168" t="str">
        <f>inputPrYr!$D$3</f>
        <v>Antioch Cemetery</v>
      </c>
      <c r="B1" s="270"/>
      <c r="C1" s="56"/>
      <c r="D1" s="56"/>
      <c r="E1" s="56"/>
      <c r="F1" s="271" t="s">
        <v>231</v>
      </c>
      <c r="G1" s="56"/>
      <c r="H1" s="56"/>
      <c r="I1" s="56"/>
      <c r="J1" s="56"/>
      <c r="K1" s="56">
        <f>inputPrYr!$D$6</f>
        <v>2013</v>
      </c>
    </row>
    <row r="2" spans="1:11">
      <c r="A2" s="56"/>
      <c r="B2" s="56"/>
      <c r="C2" s="56"/>
      <c r="D2" s="56"/>
      <c r="E2" s="56"/>
      <c r="F2" s="272" t="str">
        <f>CONCATENATE("(Only the actual budget year for ",K1-2," is to be shown)")</f>
        <v>(Only the actual budget year for 2011 is to be shown)</v>
      </c>
      <c r="G2" s="56"/>
      <c r="H2" s="56"/>
      <c r="I2" s="56"/>
      <c r="J2" s="56"/>
      <c r="K2" s="56"/>
    </row>
    <row r="3" spans="1:11">
      <c r="A3" s="56" t="s">
        <v>232</v>
      </c>
      <c r="B3" s="56"/>
      <c r="C3" s="56"/>
      <c r="D3" s="56"/>
      <c r="E3" s="56"/>
      <c r="F3" s="270"/>
      <c r="G3" s="56"/>
      <c r="H3" s="56"/>
      <c r="I3" s="56"/>
      <c r="J3" s="56"/>
      <c r="K3" s="56"/>
    </row>
    <row r="4" spans="1:11">
      <c r="A4" s="56" t="s">
        <v>233</v>
      </c>
      <c r="B4" s="56"/>
      <c r="C4" s="56" t="s">
        <v>234</v>
      </c>
      <c r="D4" s="56"/>
      <c r="E4" s="56" t="s">
        <v>235</v>
      </c>
      <c r="F4" s="270"/>
      <c r="G4" s="56" t="s">
        <v>236</v>
      </c>
      <c r="H4" s="56"/>
      <c r="I4" s="56" t="s">
        <v>237</v>
      </c>
      <c r="J4" s="56"/>
      <c r="K4" s="56"/>
    </row>
    <row r="5" spans="1:11">
      <c r="A5" s="627">
        <f>inputPrYr!B30</f>
        <v>0</v>
      </c>
      <c r="B5" s="628"/>
      <c r="C5" s="627">
        <f>inputPrYr!B31</f>
        <v>0</v>
      </c>
      <c r="D5" s="628"/>
      <c r="E5" s="627">
        <f>inputPrYr!B32</f>
        <v>0</v>
      </c>
      <c r="F5" s="628"/>
      <c r="G5" s="627">
        <f>inputPrYr!B33</f>
        <v>0</v>
      </c>
      <c r="H5" s="628"/>
      <c r="I5" s="627">
        <f>inputPrYr!B34</f>
        <v>0</v>
      </c>
      <c r="J5" s="628"/>
      <c r="K5" s="274"/>
    </row>
    <row r="6" spans="1:11">
      <c r="A6" s="275" t="s">
        <v>238</v>
      </c>
      <c r="B6" s="276"/>
      <c r="C6" s="277" t="s">
        <v>238</v>
      </c>
      <c r="D6" s="278"/>
      <c r="E6" s="277" t="s">
        <v>238</v>
      </c>
      <c r="F6" s="279"/>
      <c r="G6" s="277" t="s">
        <v>238</v>
      </c>
      <c r="H6" s="273"/>
      <c r="I6" s="277" t="s">
        <v>238</v>
      </c>
      <c r="J6" s="56"/>
      <c r="K6" s="280" t="s">
        <v>13</v>
      </c>
    </row>
    <row r="7" spans="1:11">
      <c r="A7" s="281" t="s">
        <v>239</v>
      </c>
      <c r="B7" s="282"/>
      <c r="C7" s="283" t="s">
        <v>239</v>
      </c>
      <c r="D7" s="282"/>
      <c r="E7" s="283" t="s">
        <v>239</v>
      </c>
      <c r="F7" s="282"/>
      <c r="G7" s="283" t="s">
        <v>239</v>
      </c>
      <c r="H7" s="282"/>
      <c r="I7" s="283" t="s">
        <v>239</v>
      </c>
      <c r="J7" s="282"/>
      <c r="K7" s="284">
        <f>SUM(B7+D7+F7+H7+J7)</f>
        <v>0</v>
      </c>
    </row>
    <row r="8" spans="1:11">
      <c r="A8" s="285" t="s">
        <v>126</v>
      </c>
      <c r="B8" s="286"/>
      <c r="C8" s="285" t="s">
        <v>126</v>
      </c>
      <c r="D8" s="287"/>
      <c r="E8" s="285" t="s">
        <v>126</v>
      </c>
      <c r="F8" s="270"/>
      <c r="G8" s="285" t="s">
        <v>126</v>
      </c>
      <c r="H8" s="56"/>
      <c r="I8" s="285" t="s">
        <v>126</v>
      </c>
      <c r="J8" s="56"/>
      <c r="K8" s="270"/>
    </row>
    <row r="9" spans="1:11">
      <c r="A9" s="288"/>
      <c r="B9" s="282"/>
      <c r="C9" s="288"/>
      <c r="D9" s="282"/>
      <c r="E9" s="288"/>
      <c r="F9" s="282"/>
      <c r="G9" s="288"/>
      <c r="H9" s="282"/>
      <c r="I9" s="288"/>
      <c r="J9" s="282"/>
      <c r="K9" s="270"/>
    </row>
    <row r="10" spans="1:11">
      <c r="A10" s="288"/>
      <c r="B10" s="282"/>
      <c r="C10" s="288"/>
      <c r="D10" s="282"/>
      <c r="E10" s="288"/>
      <c r="F10" s="282"/>
      <c r="G10" s="288"/>
      <c r="H10" s="282"/>
      <c r="I10" s="288"/>
      <c r="J10" s="282"/>
      <c r="K10" s="270"/>
    </row>
    <row r="11" spans="1:11">
      <c r="A11" s="288"/>
      <c r="B11" s="282"/>
      <c r="C11" s="289"/>
      <c r="D11" s="290"/>
      <c r="E11" s="289"/>
      <c r="F11" s="282"/>
      <c r="G11" s="289"/>
      <c r="H11" s="282"/>
      <c r="I11" s="291"/>
      <c r="J11" s="282"/>
      <c r="K11" s="270"/>
    </row>
    <row r="12" spans="1:11">
      <c r="A12" s="288"/>
      <c r="B12" s="292"/>
      <c r="C12" s="288"/>
      <c r="D12" s="293"/>
      <c r="E12" s="294"/>
      <c r="F12" s="282"/>
      <c r="G12" s="294"/>
      <c r="H12" s="282"/>
      <c r="I12" s="294"/>
      <c r="J12" s="282"/>
      <c r="K12" s="270"/>
    </row>
    <row r="13" spans="1:11">
      <c r="A13" s="295"/>
      <c r="B13" s="296"/>
      <c r="C13" s="297"/>
      <c r="D13" s="293"/>
      <c r="E13" s="297"/>
      <c r="F13" s="282"/>
      <c r="G13" s="297"/>
      <c r="H13" s="282"/>
      <c r="I13" s="291"/>
      <c r="J13" s="282"/>
      <c r="K13" s="270"/>
    </row>
    <row r="14" spans="1:11">
      <c r="A14" s="288"/>
      <c r="B14" s="282"/>
      <c r="C14" s="294"/>
      <c r="D14" s="293"/>
      <c r="E14" s="294"/>
      <c r="F14" s="282"/>
      <c r="G14" s="294"/>
      <c r="H14" s="282"/>
      <c r="I14" s="294"/>
      <c r="J14" s="282"/>
      <c r="K14" s="270"/>
    </row>
    <row r="15" spans="1:11">
      <c r="A15" s="288"/>
      <c r="B15" s="282"/>
      <c r="C15" s="294"/>
      <c r="D15" s="293"/>
      <c r="E15" s="294"/>
      <c r="F15" s="282"/>
      <c r="G15" s="294"/>
      <c r="H15" s="282"/>
      <c r="I15" s="294"/>
      <c r="J15" s="282"/>
      <c r="K15" s="270"/>
    </row>
    <row r="16" spans="1:11">
      <c r="A16" s="288"/>
      <c r="B16" s="296"/>
      <c r="C16" s="288"/>
      <c r="D16" s="293"/>
      <c r="E16" s="288"/>
      <c r="F16" s="282"/>
      <c r="G16" s="294"/>
      <c r="H16" s="282"/>
      <c r="I16" s="288"/>
      <c r="J16" s="282"/>
      <c r="K16" s="270"/>
    </row>
    <row r="17" spans="1:12">
      <c r="A17" s="285" t="s">
        <v>39</v>
      </c>
      <c r="B17" s="284">
        <f>SUM(B9:B16)</f>
        <v>0</v>
      </c>
      <c r="C17" s="285" t="s">
        <v>39</v>
      </c>
      <c r="D17" s="284">
        <f>SUM(D9:D16)</f>
        <v>0</v>
      </c>
      <c r="E17" s="285" t="s">
        <v>39</v>
      </c>
      <c r="F17" s="298">
        <f>SUM(F9:F16)</f>
        <v>0</v>
      </c>
      <c r="G17" s="285" t="s">
        <v>39</v>
      </c>
      <c r="H17" s="284">
        <f>SUM(H9:H16)</f>
        <v>0</v>
      </c>
      <c r="I17" s="285" t="s">
        <v>39</v>
      </c>
      <c r="J17" s="284">
        <f>SUM(J9:J16)</f>
        <v>0</v>
      </c>
      <c r="K17" s="284">
        <f>SUM(B17+D17+F17+H17+J17)</f>
        <v>0</v>
      </c>
    </row>
    <row r="18" spans="1:12">
      <c r="A18" s="285" t="s">
        <v>40</v>
      </c>
      <c r="B18" s="284">
        <f>SUM(B7+B17)</f>
        <v>0</v>
      </c>
      <c r="C18" s="285" t="s">
        <v>40</v>
      </c>
      <c r="D18" s="284">
        <f>SUM(D7+D17)</f>
        <v>0</v>
      </c>
      <c r="E18" s="285" t="s">
        <v>40</v>
      </c>
      <c r="F18" s="284">
        <f>SUM(F7+F17)</f>
        <v>0</v>
      </c>
      <c r="G18" s="285" t="s">
        <v>40</v>
      </c>
      <c r="H18" s="284">
        <f>SUM(H7+H17)</f>
        <v>0</v>
      </c>
      <c r="I18" s="285" t="s">
        <v>40</v>
      </c>
      <c r="J18" s="284">
        <f>SUM(J7+J17)</f>
        <v>0</v>
      </c>
      <c r="K18" s="284">
        <f>SUM(B18+D18+F18+H18+J18)</f>
        <v>0</v>
      </c>
    </row>
    <row r="19" spans="1:12">
      <c r="A19" s="285" t="s">
        <v>41</v>
      </c>
      <c r="B19" s="286"/>
      <c r="C19" s="285" t="s">
        <v>41</v>
      </c>
      <c r="D19" s="287"/>
      <c r="E19" s="285" t="s">
        <v>41</v>
      </c>
      <c r="F19" s="270"/>
      <c r="G19" s="285" t="s">
        <v>41</v>
      </c>
      <c r="H19" s="56"/>
      <c r="I19" s="285" t="s">
        <v>41</v>
      </c>
      <c r="J19" s="56"/>
      <c r="K19" s="270"/>
    </row>
    <row r="20" spans="1:12">
      <c r="A20" s="288"/>
      <c r="B20" s="282"/>
      <c r="C20" s="294"/>
      <c r="D20" s="282"/>
      <c r="E20" s="294"/>
      <c r="F20" s="282"/>
      <c r="G20" s="294"/>
      <c r="H20" s="282"/>
      <c r="I20" s="294"/>
      <c r="J20" s="282"/>
      <c r="K20" s="270"/>
    </row>
    <row r="21" spans="1:12">
      <c r="A21" s="288"/>
      <c r="B21" s="282"/>
      <c r="C21" s="294"/>
      <c r="D21" s="282"/>
      <c r="E21" s="294"/>
      <c r="F21" s="282"/>
      <c r="G21" s="294"/>
      <c r="H21" s="282"/>
      <c r="I21" s="294"/>
      <c r="J21" s="282"/>
      <c r="K21" s="270"/>
    </row>
    <row r="22" spans="1:12">
      <c r="A22" s="288"/>
      <c r="B22" s="282"/>
      <c r="C22" s="297"/>
      <c r="D22" s="282"/>
      <c r="E22" s="297"/>
      <c r="F22" s="282"/>
      <c r="G22" s="297"/>
      <c r="H22" s="282"/>
      <c r="I22" s="291"/>
      <c r="J22" s="282"/>
      <c r="K22" s="270"/>
    </row>
    <row r="23" spans="1:12">
      <c r="A23" s="288"/>
      <c r="B23" s="282"/>
      <c r="C23" s="294"/>
      <c r="D23" s="282"/>
      <c r="E23" s="294"/>
      <c r="F23" s="282"/>
      <c r="G23" s="294"/>
      <c r="H23" s="282"/>
      <c r="I23" s="294"/>
      <c r="J23" s="282"/>
      <c r="K23" s="270"/>
    </row>
    <row r="24" spans="1:12">
      <c r="A24" s="288"/>
      <c r="B24" s="282"/>
      <c r="C24" s="297"/>
      <c r="D24" s="282"/>
      <c r="E24" s="297"/>
      <c r="F24" s="282"/>
      <c r="G24" s="297"/>
      <c r="H24" s="282"/>
      <c r="I24" s="291"/>
      <c r="J24" s="282"/>
      <c r="K24" s="270"/>
    </row>
    <row r="25" spans="1:12">
      <c r="A25" s="288"/>
      <c r="B25" s="282"/>
      <c r="C25" s="294"/>
      <c r="D25" s="282"/>
      <c r="E25" s="294"/>
      <c r="F25" s="282"/>
      <c r="G25" s="294"/>
      <c r="H25" s="282"/>
      <c r="I25" s="294"/>
      <c r="J25" s="282"/>
      <c r="K25" s="270"/>
    </row>
    <row r="26" spans="1:12">
      <c r="A26" s="288"/>
      <c r="B26" s="282"/>
      <c r="C26" s="294"/>
      <c r="D26" s="282"/>
      <c r="E26" s="294"/>
      <c r="F26" s="282"/>
      <c r="G26" s="294"/>
      <c r="H26" s="282"/>
      <c r="I26" s="294"/>
      <c r="J26" s="282"/>
      <c r="K26" s="270"/>
    </row>
    <row r="27" spans="1:12">
      <c r="A27" s="288"/>
      <c r="B27" s="282"/>
      <c r="C27" s="288"/>
      <c r="D27" s="282"/>
      <c r="E27" s="288"/>
      <c r="F27" s="282"/>
      <c r="G27" s="294"/>
      <c r="H27" s="282"/>
      <c r="I27" s="294"/>
      <c r="J27" s="282"/>
      <c r="K27" s="270"/>
    </row>
    <row r="28" spans="1:12">
      <c r="A28" s="285" t="s">
        <v>42</v>
      </c>
      <c r="B28" s="284">
        <f>SUM(B20:B27)</f>
        <v>0</v>
      </c>
      <c r="C28" s="285" t="s">
        <v>42</v>
      </c>
      <c r="D28" s="284">
        <f>SUM(D20:D27)</f>
        <v>0</v>
      </c>
      <c r="E28" s="285" t="s">
        <v>42</v>
      </c>
      <c r="F28" s="298">
        <f>SUM(F20:F27)</f>
        <v>0</v>
      </c>
      <c r="G28" s="285" t="s">
        <v>42</v>
      </c>
      <c r="H28" s="298">
        <f>SUM(H20:H27)</f>
        <v>0</v>
      </c>
      <c r="I28" s="285" t="s">
        <v>42</v>
      </c>
      <c r="J28" s="284">
        <f>SUM(J20:J27)</f>
        <v>0</v>
      </c>
      <c r="K28" s="284">
        <f>SUM(B28+D28+F28+H28+J28)</f>
        <v>0</v>
      </c>
    </row>
    <row r="29" spans="1:12">
      <c r="A29" s="285" t="s">
        <v>240</v>
      </c>
      <c r="B29" s="284">
        <f>SUM(B18-B28)</f>
        <v>0</v>
      </c>
      <c r="C29" s="285" t="s">
        <v>240</v>
      </c>
      <c r="D29" s="284">
        <f>SUM(D18-D28)</f>
        <v>0</v>
      </c>
      <c r="E29" s="285" t="s">
        <v>240</v>
      </c>
      <c r="F29" s="284">
        <f>SUM(F18-F28)</f>
        <v>0</v>
      </c>
      <c r="G29" s="285" t="s">
        <v>240</v>
      </c>
      <c r="H29" s="284">
        <f>SUM(H18-H28)</f>
        <v>0</v>
      </c>
      <c r="I29" s="285" t="s">
        <v>240</v>
      </c>
      <c r="J29" s="284">
        <f>SUM(J18-J28)</f>
        <v>0</v>
      </c>
      <c r="K29" s="299">
        <f>SUM(B29+D29+F29+H29+J29)</f>
        <v>0</v>
      </c>
      <c r="L29" s="92" t="s">
        <v>241</v>
      </c>
    </row>
    <row r="30" spans="1:12">
      <c r="A30" s="285"/>
      <c r="B30" s="336" t="str">
        <f>IF(B29&lt;0,"See Tab B","")</f>
        <v/>
      </c>
      <c r="C30" s="285"/>
      <c r="D30" s="336" t="str">
        <f>IF(D29&lt;0,"See Tab B","")</f>
        <v/>
      </c>
      <c r="E30" s="285"/>
      <c r="F30" s="336" t="str">
        <f>IF(F29&lt;0,"See Tab B","")</f>
        <v/>
      </c>
      <c r="G30" s="56"/>
      <c r="H30" s="336" t="str">
        <f>IF(H29&lt;0,"See Tab B","")</f>
        <v/>
      </c>
      <c r="I30" s="56"/>
      <c r="J30" s="336" t="str">
        <f>IF(J29&lt;0,"See Tab B","")</f>
        <v/>
      </c>
      <c r="K30" s="299">
        <f>SUM(K7+K17-K28)</f>
        <v>0</v>
      </c>
      <c r="L30" s="92" t="s">
        <v>241</v>
      </c>
    </row>
    <row r="31" spans="1:12">
      <c r="A31" s="56"/>
      <c r="B31" s="300"/>
      <c r="C31" s="56"/>
      <c r="D31" s="270"/>
      <c r="E31" s="56"/>
      <c r="F31" s="56"/>
      <c r="G31" s="301" t="s">
        <v>242</v>
      </c>
      <c r="H31" s="301"/>
      <c r="I31" s="301"/>
      <c r="J31" s="301"/>
      <c r="K31" s="56"/>
    </row>
    <row r="32" spans="1:12">
      <c r="A32" s="56"/>
      <c r="B32" s="300"/>
      <c r="C32" s="56"/>
      <c r="D32" s="56"/>
      <c r="E32" s="56"/>
      <c r="F32" s="56"/>
      <c r="G32" s="56"/>
      <c r="H32" s="56"/>
      <c r="I32" s="56"/>
      <c r="J32" s="56"/>
      <c r="K32" s="56"/>
    </row>
    <row r="33" spans="1:11">
      <c r="A33" s="56"/>
      <c r="B33" s="300"/>
      <c r="C33" s="56"/>
      <c r="D33" s="56"/>
      <c r="E33" s="302" t="s">
        <v>44</v>
      </c>
      <c r="F33" s="267"/>
      <c r="G33" s="56"/>
      <c r="H33" s="56"/>
      <c r="I33" s="56"/>
      <c r="J33" s="56"/>
      <c r="K33" s="56"/>
    </row>
    <row r="34" spans="1:11">
      <c r="B34" s="303"/>
    </row>
    <row r="35" spans="1:11">
      <c r="B35" s="303"/>
    </row>
    <row r="36" spans="1:11">
      <c r="B36" s="303"/>
    </row>
    <row r="37" spans="1:11">
      <c r="B37" s="303"/>
    </row>
    <row r="38" spans="1:11">
      <c r="B38" s="303"/>
    </row>
    <row r="39" spans="1:11">
      <c r="B39" s="303"/>
    </row>
    <row r="40" spans="1:11">
      <c r="B40" s="303"/>
    </row>
    <row r="41" spans="1:11">
      <c r="B41" s="303"/>
    </row>
  </sheetData>
  <sheetProtection sheet="1"/>
  <mergeCells count="5">
    <mergeCell ref="I5:J5"/>
    <mergeCell ref="A5:B5"/>
    <mergeCell ref="C5:D5"/>
    <mergeCell ref="E5:F5"/>
    <mergeCell ref="G5:H5"/>
  </mergeCells>
  <phoneticPr fontId="15" type="noConversion"/>
  <pageMargins left="0.75" right="0.75" top="1" bottom="1" header="0.5" footer="0.5"/>
  <pageSetup scale="88" orientation="landscape" blackAndWhite="1" r:id="rId1"/>
  <headerFooter alignWithMargins="0">
    <oddHeader>&amp;RState of Kansas
Special District</oddHeader>
  </headerFooter>
</worksheet>
</file>

<file path=xl/worksheets/sheet17.xml><?xml version="1.0" encoding="utf-8"?>
<worksheet xmlns="http://schemas.openxmlformats.org/spreadsheetml/2006/main" xmlns:r="http://schemas.openxmlformats.org/officeDocument/2006/relationships">
  <dimension ref="A1:A44"/>
  <sheetViews>
    <sheetView workbookViewId="0"/>
  </sheetViews>
  <sheetFormatPr defaultRowHeight="15"/>
  <cols>
    <col min="1" max="1" width="62.44140625" style="57" customWidth="1"/>
    <col min="2" max="16384" width="8.88671875" style="57"/>
  </cols>
  <sheetData>
    <row r="1" spans="1:1" ht="18.75">
      <c r="A1" s="332" t="s">
        <v>287</v>
      </c>
    </row>
    <row r="2" spans="1:1" ht="15.75">
      <c r="A2" s="92"/>
    </row>
    <row r="3" spans="1:1" ht="15.75">
      <c r="A3" s="92"/>
    </row>
    <row r="4" spans="1:1" ht="56.25" customHeight="1">
      <c r="A4" s="333" t="s">
        <v>288</v>
      </c>
    </row>
    <row r="5" spans="1:1" ht="15.75">
      <c r="A5" s="334"/>
    </row>
    <row r="6" spans="1:1" ht="15.75">
      <c r="A6" s="92"/>
    </row>
    <row r="7" spans="1:1" ht="50.25" customHeight="1">
      <c r="A7" s="333" t="s">
        <v>289</v>
      </c>
    </row>
    <row r="8" spans="1:1" ht="15.75">
      <c r="A8" s="92"/>
    </row>
    <row r="9" spans="1:1" ht="15.75">
      <c r="A9" s="92"/>
    </row>
    <row r="10" spans="1:1" ht="52.5" customHeight="1">
      <c r="A10" s="333" t="s">
        <v>290</v>
      </c>
    </row>
    <row r="11" spans="1:1" ht="15.75">
      <c r="A11" s="92"/>
    </row>
    <row r="12" spans="1:1" ht="15.75">
      <c r="A12" s="92"/>
    </row>
    <row r="13" spans="1:1" ht="52.5" customHeight="1">
      <c r="A13" s="333" t="s">
        <v>291</v>
      </c>
    </row>
    <row r="14" spans="1:1" ht="15.75">
      <c r="A14" s="334"/>
    </row>
    <row r="15" spans="1:1" ht="15.75">
      <c r="A15" s="334"/>
    </row>
    <row r="16" spans="1:1" ht="51" customHeight="1">
      <c r="A16" s="512" t="s">
        <v>665</v>
      </c>
    </row>
    <row r="17" spans="1:1" ht="15.75">
      <c r="A17" s="334"/>
    </row>
    <row r="18" spans="1:1" ht="15.75">
      <c r="A18" s="334"/>
    </row>
    <row r="19" spans="1:1" ht="37.5" customHeight="1">
      <c r="A19" s="333" t="s">
        <v>292</v>
      </c>
    </row>
    <row r="20" spans="1:1" ht="15.75">
      <c r="A20" s="92"/>
    </row>
    <row r="21" spans="1:1" ht="15.75">
      <c r="A21" s="92"/>
    </row>
    <row r="22" spans="1:1" ht="47.25">
      <c r="A22" s="333" t="s">
        <v>293</v>
      </c>
    </row>
    <row r="23" spans="1:1" ht="15.75">
      <c r="A23" s="334"/>
    </row>
    <row r="24" spans="1:1" ht="15.75">
      <c r="A24" s="92"/>
    </row>
    <row r="25" spans="1:1" ht="67.5" customHeight="1">
      <c r="A25" s="333" t="s">
        <v>294</v>
      </c>
    </row>
    <row r="26" spans="1:1" ht="68.25" customHeight="1">
      <c r="A26" s="335" t="s">
        <v>295</v>
      </c>
    </row>
    <row r="27" spans="1:1" ht="15.75">
      <c r="A27" s="92"/>
    </row>
    <row r="28" spans="1:1" ht="15.75">
      <c r="A28" s="92"/>
    </row>
    <row r="29" spans="1:1" ht="51" customHeight="1">
      <c r="A29" s="513" t="s">
        <v>666</v>
      </c>
    </row>
    <row r="30" spans="1:1" ht="15.75">
      <c r="A30" s="92"/>
    </row>
    <row r="31" spans="1:1" ht="15.75">
      <c r="A31" s="334"/>
    </row>
    <row r="32" spans="1:1" ht="69" customHeight="1">
      <c r="A32" s="513" t="s">
        <v>667</v>
      </c>
    </row>
    <row r="33" spans="1:1" ht="15.75">
      <c r="A33" s="334"/>
    </row>
    <row r="34" spans="1:1" ht="15.75">
      <c r="A34" s="334"/>
    </row>
    <row r="35" spans="1:1" ht="52.5" customHeight="1">
      <c r="A35" s="513" t="s">
        <v>668</v>
      </c>
    </row>
    <row r="36" spans="1:1" ht="15.75">
      <c r="A36" s="334"/>
    </row>
    <row r="37" spans="1:1" ht="15.75">
      <c r="A37" s="334"/>
    </row>
    <row r="38" spans="1:1" ht="59.25" customHeight="1">
      <c r="A38" s="333" t="s">
        <v>296</v>
      </c>
    </row>
    <row r="39" spans="1:1" ht="15.75">
      <c r="A39" s="92"/>
    </row>
    <row r="40" spans="1:1" ht="15.75">
      <c r="A40" s="92"/>
    </row>
    <row r="41" spans="1:1" ht="53.25" customHeight="1">
      <c r="A41" s="333" t="s">
        <v>297</v>
      </c>
    </row>
    <row r="42" spans="1:1" ht="15.75">
      <c r="A42" s="334"/>
    </row>
    <row r="43" spans="1:1" ht="15.75">
      <c r="A43" s="334"/>
    </row>
    <row r="44" spans="1:1" ht="38.25" customHeight="1">
      <c r="A44" s="333" t="s">
        <v>298</v>
      </c>
    </row>
  </sheetData>
  <sheetProtection sheet="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A1:M37"/>
  <sheetViews>
    <sheetView topLeftCell="A7" workbookViewId="0">
      <selection activeCell="C24" sqref="C24"/>
    </sheetView>
  </sheetViews>
  <sheetFormatPr defaultRowHeight="15.75"/>
  <cols>
    <col min="1" max="1" width="15.77734375" style="92" customWidth="1"/>
    <col min="2" max="2" width="12.77734375" style="92" customWidth="1"/>
    <col min="3" max="3" width="8.77734375" style="92" customWidth="1"/>
    <col min="4" max="4" width="12.77734375" style="92" customWidth="1"/>
    <col min="5" max="5" width="9.21875" style="92" customWidth="1"/>
    <col min="6" max="6" width="12.77734375" style="92" customWidth="1"/>
    <col min="7" max="7" width="10.77734375" style="92" customWidth="1"/>
    <col min="8" max="8" width="8.77734375" style="92" customWidth="1"/>
    <col min="9" max="9" width="8.88671875" style="92"/>
    <col min="10" max="10" width="12.44140625" style="92" customWidth="1"/>
    <col min="11" max="11" width="12.33203125" style="92" customWidth="1"/>
    <col min="12" max="12" width="5.77734375" style="92" customWidth="1"/>
    <col min="13" max="13" width="12" style="92" customWidth="1"/>
    <col min="14" max="16384" width="8.88671875" style="92"/>
  </cols>
  <sheetData>
    <row r="1" spans="1:13">
      <c r="A1" s="579" t="s">
        <v>82</v>
      </c>
      <c r="B1" s="579"/>
      <c r="C1" s="579"/>
      <c r="D1" s="579"/>
      <c r="E1" s="579"/>
      <c r="F1" s="579"/>
      <c r="G1" s="579"/>
      <c r="H1" s="636"/>
    </row>
    <row r="2" spans="1:13">
      <c r="A2" s="18"/>
      <c r="B2" s="18"/>
      <c r="C2" s="18"/>
      <c r="D2" s="18"/>
      <c r="E2" s="18"/>
      <c r="F2" s="18"/>
      <c r="G2" s="18"/>
      <c r="H2" s="18"/>
    </row>
    <row r="3" spans="1:13">
      <c r="A3" s="608" t="s">
        <v>109</v>
      </c>
      <c r="B3" s="608"/>
      <c r="C3" s="608"/>
      <c r="D3" s="608"/>
      <c r="E3" s="608"/>
      <c r="F3" s="608"/>
      <c r="G3" s="608"/>
      <c r="H3" s="608"/>
      <c r="I3" s="54">
        <f>inputPrYr!D6</f>
        <v>2013</v>
      </c>
    </row>
    <row r="4" spans="1:13">
      <c r="A4" s="577" t="str">
        <f>inputPrYr!D3</f>
        <v>Antioch Cemetery</v>
      </c>
      <c r="B4" s="577"/>
      <c r="C4" s="577"/>
      <c r="D4" s="577"/>
      <c r="E4" s="577"/>
      <c r="F4" s="577"/>
      <c r="G4" s="577"/>
      <c r="H4" s="577"/>
    </row>
    <row r="5" spans="1:13">
      <c r="A5" s="639" t="str">
        <f>inputPrYr!D4</f>
        <v>Franklin County</v>
      </c>
      <c r="B5" s="639"/>
      <c r="C5" s="639"/>
      <c r="D5" s="639"/>
      <c r="E5" s="639"/>
      <c r="F5" s="639"/>
      <c r="G5" s="639"/>
      <c r="H5" s="639"/>
    </row>
    <row r="6" spans="1:13">
      <c r="A6" s="640" t="str">
        <f>CONCATENATE("will meet on ",inputBudSum!B5," at ",inputBudSum!B7," at ",inputBudSum!B9," for the purpose of hearing and")</f>
        <v>will meet on August 17, 2012 at 7:00 p.m. at Homewood Community Building for the purpose of hearing and</v>
      </c>
      <c r="B6" s="640"/>
      <c r="C6" s="640"/>
      <c r="D6" s="640"/>
      <c r="E6" s="640"/>
      <c r="F6" s="640"/>
      <c r="G6" s="640"/>
      <c r="H6" s="640"/>
    </row>
    <row r="7" spans="1:13">
      <c r="A7" s="94" t="s">
        <v>329</v>
      </c>
      <c r="B7" s="26"/>
      <c r="C7" s="26"/>
      <c r="D7" s="26"/>
      <c r="E7" s="26"/>
      <c r="F7" s="26"/>
      <c r="G7" s="26"/>
      <c r="H7" s="26"/>
    </row>
    <row r="8" spans="1:13">
      <c r="A8" s="368" t="str">
        <f>CONCATENATE("Detailed budget information is available at ",inputBudSum!B12," and will be available at this hearing.")</f>
        <v>Detailed budget information is available at Franklin County Clerk's Office and will be available at this hearing.</v>
      </c>
      <c r="B8" s="369"/>
      <c r="C8" s="369"/>
      <c r="D8" s="369"/>
      <c r="E8" s="369"/>
      <c r="F8" s="369"/>
      <c r="G8" s="26"/>
      <c r="H8" s="26"/>
    </row>
    <row r="9" spans="1:13">
      <c r="A9" s="25" t="s">
        <v>83</v>
      </c>
      <c r="B9" s="26"/>
      <c r="C9" s="26"/>
      <c r="D9" s="26"/>
      <c r="E9" s="26"/>
      <c r="F9" s="26"/>
      <c r="G9" s="26"/>
      <c r="H9" s="26"/>
    </row>
    <row r="10" spans="1:13">
      <c r="A10" s="94" t="str">
        <f>CONCATENATE("Proposed Budget ",I3," Expenditures and Amount of ",I3-1," Ad Valorem Tax establish the maximum limits")</f>
        <v>Proposed Budget 2013 Expenditures and Amount of 2012 Ad Valorem Tax establish the maximum limits</v>
      </c>
      <c r="B10" s="26"/>
      <c r="C10" s="26"/>
      <c r="D10" s="26"/>
      <c r="E10" s="26"/>
      <c r="F10" s="26"/>
      <c r="G10" s="26"/>
      <c r="H10" s="26"/>
    </row>
    <row r="11" spans="1:13">
      <c r="A11" s="94" t="str">
        <f>CONCATENATE("of the ",I3," budget.  Estimated Tax Rate is subject to change depending on the final assessed valuation.")</f>
        <v>of the 2013 budget.  Estimated Tax Rate is subject to change depending on the final assessed valuation.</v>
      </c>
      <c r="B11" s="26"/>
      <c r="C11" s="26"/>
      <c r="D11" s="26"/>
      <c r="E11" s="26"/>
      <c r="F11" s="26"/>
      <c r="G11" s="26"/>
      <c r="H11" s="26"/>
    </row>
    <row r="12" spans="1:13">
      <c r="A12" s="18"/>
      <c r="B12" s="95"/>
      <c r="C12" s="95"/>
      <c r="D12" s="95"/>
      <c r="E12" s="95"/>
      <c r="F12" s="95"/>
      <c r="G12" s="95"/>
      <c r="H12" s="95"/>
      <c r="J12" s="629" t="str">
        <f>CONCATENATE("Estimated Value Of One Mill For ",I3,"")</f>
        <v>Estimated Value Of One Mill For 2013</v>
      </c>
      <c r="K12" s="630"/>
      <c r="L12" s="630"/>
      <c r="M12" s="631"/>
    </row>
    <row r="13" spans="1:13">
      <c r="A13" s="220"/>
      <c r="B13" s="305" t="str">
        <f>CONCATENATE("Prior Year Actual ",I3-2,"")</f>
        <v>Prior Year Actual 2011</v>
      </c>
      <c r="C13" s="306"/>
      <c r="D13" s="307" t="str">
        <f>CONCATENATE("Current Year Estimate for ",I3-1,"")</f>
        <v>Current Year Estimate for 2012</v>
      </c>
      <c r="E13" s="306"/>
      <c r="F13" s="305" t="str">
        <f>CONCATENATE("Proposed Budget Year for ",I3,"")</f>
        <v>Proposed Budget Year for 2013</v>
      </c>
      <c r="G13" s="308"/>
      <c r="H13" s="306"/>
      <c r="J13" s="555"/>
      <c r="K13" s="556"/>
      <c r="L13" s="556"/>
      <c r="M13" s="557"/>
    </row>
    <row r="14" spans="1:13">
      <c r="A14" s="223"/>
      <c r="B14" s="101"/>
      <c r="C14" s="309" t="s">
        <v>51</v>
      </c>
      <c r="D14" s="101"/>
      <c r="E14" s="309" t="s">
        <v>51</v>
      </c>
      <c r="F14" s="223" t="s">
        <v>211</v>
      </c>
      <c r="G14" s="637" t="str">
        <f>CONCATENATE("Amount of ",I3-1," Ad Valorem Tax")</f>
        <v>Amount of 2012 Ad Valorem Tax</v>
      </c>
      <c r="H14" s="309" t="s">
        <v>574</v>
      </c>
      <c r="J14" s="558" t="s">
        <v>679</v>
      </c>
      <c r="K14" s="559"/>
      <c r="L14" s="559"/>
      <c r="M14" s="560">
        <f>ROUND(F21/1000,0)</f>
        <v>5377</v>
      </c>
    </row>
    <row r="15" spans="1:13">
      <c r="A15" s="172" t="s">
        <v>52</v>
      </c>
      <c r="B15" s="110" t="s">
        <v>53</v>
      </c>
      <c r="C15" s="310" t="s">
        <v>193</v>
      </c>
      <c r="D15" s="110" t="s">
        <v>53</v>
      </c>
      <c r="E15" s="310" t="s">
        <v>193</v>
      </c>
      <c r="F15" s="110" t="s">
        <v>569</v>
      </c>
      <c r="G15" s="638"/>
      <c r="H15" s="310" t="s">
        <v>193</v>
      </c>
      <c r="J15" s="16"/>
      <c r="K15" s="16"/>
      <c r="L15" s="16"/>
      <c r="M15" s="16"/>
    </row>
    <row r="16" spans="1:13">
      <c r="A16" s="38" t="str">
        <f>inputPrYr!B19</f>
        <v>General</v>
      </c>
      <c r="B16" s="121">
        <f>IF(gen!$C$50&lt;&gt;0,gen!$C$50,"  ")</f>
        <v>10226</v>
      </c>
      <c r="C16" s="118">
        <f>IF(inputPrYr!D38&gt;0,inputPrYr!D38,"  ")</f>
        <v>1.9370000000000001</v>
      </c>
      <c r="D16" s="121">
        <f>IF(gen!$D$50&lt;&gt;0,gen!$D$50,"  ")</f>
        <v>23450</v>
      </c>
      <c r="E16" s="118">
        <f>IF(inputOth!D16&gt;0,inputOth!D16,"  ")</f>
        <v>1.91</v>
      </c>
      <c r="F16" s="121">
        <f>IF(gen!$E$50&lt;&gt;0,gen!$E$50,"  ")</f>
        <v>28650</v>
      </c>
      <c r="G16" s="121">
        <f>IF(gen!$E$57&lt;&gt;0,gen!$E$57,"  ")</f>
        <v>4027</v>
      </c>
      <c r="H16" s="118">
        <f>IF(gen!E57&gt;0,ROUND(G16/$F$21*1000,3)," ")</f>
        <v>0.749</v>
      </c>
      <c r="J16" s="629" t="str">
        <f>CONCATENATE("Want The Mill Rate The Same As For ",I3-1,"?")</f>
        <v>Want The Mill Rate The Same As For 2012?</v>
      </c>
      <c r="K16" s="632"/>
      <c r="L16" s="632"/>
      <c r="M16" s="633"/>
    </row>
    <row r="17" spans="1:13">
      <c r="A17" s="35" t="s">
        <v>133</v>
      </c>
      <c r="B17" s="314">
        <f t="shared" ref="B17:H17" si="0">SUM(B16:B16)</f>
        <v>10226</v>
      </c>
      <c r="C17" s="537">
        <f t="shared" si="0"/>
        <v>1.9370000000000001</v>
      </c>
      <c r="D17" s="314">
        <f t="shared" si="0"/>
        <v>23450</v>
      </c>
      <c r="E17" s="537">
        <f t="shared" si="0"/>
        <v>1.91</v>
      </c>
      <c r="F17" s="314">
        <f t="shared" si="0"/>
        <v>28650</v>
      </c>
      <c r="G17" s="314">
        <f t="shared" si="0"/>
        <v>4027</v>
      </c>
      <c r="H17" s="537">
        <f t="shared" si="0"/>
        <v>0.749</v>
      </c>
      <c r="J17" s="629" t="str">
        <f>CONCATENATE("Impact On Keeping The Same Mill Rate As For ",I3-1,"")</f>
        <v>Impact On Keeping The Same Mill Rate As For 2012</v>
      </c>
      <c r="K17" s="634"/>
      <c r="L17" s="634"/>
      <c r="M17" s="635"/>
    </row>
    <row r="18" spans="1:13">
      <c r="A18" s="35" t="s">
        <v>163</v>
      </c>
      <c r="B18" s="207">
        <f>transfers!C26</f>
        <v>0</v>
      </c>
      <c r="C18" s="126"/>
      <c r="D18" s="207">
        <f>transfers!D26</f>
        <v>0</v>
      </c>
      <c r="E18" s="126"/>
      <c r="F18" s="311">
        <f>transfers!E26</f>
        <v>0</v>
      </c>
      <c r="G18" s="253"/>
      <c r="H18" s="312"/>
      <c r="J18" s="561"/>
      <c r="K18" s="556"/>
      <c r="L18" s="556"/>
      <c r="M18" s="562"/>
    </row>
    <row r="19" spans="1:13" ht="16.5" thickBot="1">
      <c r="A19" s="35" t="s">
        <v>164</v>
      </c>
      <c r="B19" s="129">
        <f>SUM(B17-B18)</f>
        <v>10226</v>
      </c>
      <c r="C19" s="313"/>
      <c r="D19" s="129">
        <f>SUM(D17-D18)</f>
        <v>23450</v>
      </c>
      <c r="E19" s="313"/>
      <c r="F19" s="536">
        <f>SUM(F17-F18)</f>
        <v>28650</v>
      </c>
      <c r="G19" s="253"/>
      <c r="H19" s="312"/>
      <c r="J19" s="561" t="str">
        <f>CONCATENATE("",I3," Ad Valorem Tax Revenue:")</f>
        <v>2013 Ad Valorem Tax Revenue:</v>
      </c>
      <c r="K19" s="556"/>
      <c r="L19" s="556"/>
      <c r="M19" s="557">
        <f>G17</f>
        <v>4027</v>
      </c>
    </row>
    <row r="20" spans="1:13" ht="16.5" thickTop="1">
      <c r="A20" s="35" t="s">
        <v>54</v>
      </c>
      <c r="B20" s="314">
        <f>inputPrYr!E44</f>
        <v>10201</v>
      </c>
      <c r="C20" s="223"/>
      <c r="D20" s="314">
        <f>inputPrYr!E24</f>
        <v>9934</v>
      </c>
      <c r="E20" s="223"/>
      <c r="F20" s="315" t="s">
        <v>169</v>
      </c>
      <c r="G20" s="18"/>
      <c r="H20" s="18"/>
      <c r="J20" s="561" t="str">
        <f>CONCATENATE("",I3-1," Ad Valorem Tax Revenue:")</f>
        <v>2012 Ad Valorem Tax Revenue:</v>
      </c>
      <c r="K20" s="556"/>
      <c r="L20" s="556"/>
      <c r="M20" s="563" t="e">
        <f>ROUND(F21*#REF!/1000,0)</f>
        <v>#REF!</v>
      </c>
    </row>
    <row r="21" spans="1:13">
      <c r="A21" s="35" t="s">
        <v>165</v>
      </c>
      <c r="B21" s="207">
        <f>inputPrYr!E45</f>
        <v>5268275</v>
      </c>
      <c r="C21" s="223"/>
      <c r="D21" s="207">
        <f>inputOth!E24</f>
        <v>5201069</v>
      </c>
      <c r="E21" s="223"/>
      <c r="F21" s="207">
        <f>inputOth!E7</f>
        <v>5377282</v>
      </c>
      <c r="G21" s="18"/>
      <c r="H21" s="18"/>
      <c r="J21" s="564" t="s">
        <v>680</v>
      </c>
      <c r="K21" s="565"/>
      <c r="L21" s="565"/>
      <c r="M21" s="560" t="e">
        <f>M19-M20</f>
        <v>#REF!</v>
      </c>
    </row>
    <row r="22" spans="1:13">
      <c r="A22" s="268" t="s">
        <v>55</v>
      </c>
      <c r="B22" s="18"/>
      <c r="C22" s="18"/>
      <c r="D22" s="18"/>
      <c r="E22" s="234"/>
      <c r="F22" s="234"/>
      <c r="G22" s="18"/>
      <c r="H22" s="54"/>
    </row>
    <row r="23" spans="1:13">
      <c r="A23" s="56"/>
      <c r="B23" s="18"/>
      <c r="C23" s="18"/>
      <c r="D23" s="18"/>
      <c r="E23" s="18"/>
      <c r="F23" s="18"/>
      <c r="G23" s="18"/>
      <c r="H23" s="56"/>
    </row>
    <row r="24" spans="1:13">
      <c r="A24" s="604" t="s">
        <v>744</v>
      </c>
      <c r="B24" s="605"/>
      <c r="C24" s="95"/>
      <c r="D24" s="18"/>
      <c r="E24" s="18"/>
      <c r="F24" s="18"/>
      <c r="G24" s="18"/>
      <c r="H24" s="54"/>
    </row>
    <row r="25" spans="1:13">
      <c r="A25" s="304" t="s">
        <v>56</v>
      </c>
      <c r="B25" s="26"/>
      <c r="C25" s="18"/>
      <c r="D25" s="138" t="s">
        <v>44</v>
      </c>
      <c r="E25" s="538">
        <v>7</v>
      </c>
      <c r="F25" s="18"/>
      <c r="G25" s="18"/>
      <c r="H25" s="54"/>
    </row>
    <row r="27" spans="1:13">
      <c r="A27" s="16"/>
      <c r="B27" s="16"/>
      <c r="C27" s="16"/>
      <c r="D27" s="16"/>
      <c r="E27" s="16"/>
      <c r="F27" s="16"/>
      <c r="G27" s="16"/>
      <c r="H27" s="16"/>
    </row>
    <row r="29" spans="1:13">
      <c r="A29" s="16"/>
      <c r="B29" s="16"/>
      <c r="C29" s="16"/>
      <c r="D29" s="16"/>
      <c r="E29" s="16"/>
      <c r="F29" s="16"/>
      <c r="G29" s="16"/>
      <c r="H29" s="16"/>
    </row>
    <row r="30" spans="1:13">
      <c r="A30" s="16"/>
      <c r="B30" s="16"/>
      <c r="C30" s="16"/>
      <c r="D30" s="16"/>
      <c r="E30" s="16"/>
      <c r="F30" s="16"/>
      <c r="G30" s="16"/>
      <c r="H30" s="16"/>
    </row>
    <row r="31" spans="1:13">
      <c r="A31" s="16"/>
      <c r="B31" s="16"/>
      <c r="C31" s="16"/>
      <c r="D31" s="16"/>
      <c r="E31" s="16"/>
      <c r="F31" s="16"/>
      <c r="G31" s="16"/>
      <c r="H31" s="16"/>
    </row>
    <row r="32" spans="1:13">
      <c r="A32" s="16"/>
      <c r="B32" s="16"/>
      <c r="C32" s="16"/>
      <c r="D32" s="16"/>
      <c r="E32" s="16"/>
      <c r="F32" s="16"/>
      <c r="G32" s="16"/>
      <c r="H32" s="16"/>
    </row>
    <row r="33" spans="1:8">
      <c r="A33" s="16"/>
      <c r="B33" s="16"/>
      <c r="C33" s="16"/>
      <c r="D33" s="16"/>
      <c r="E33" s="16"/>
      <c r="F33" s="16"/>
      <c r="G33" s="16"/>
      <c r="H33" s="16"/>
    </row>
    <row r="34" spans="1:8">
      <c r="A34" s="16"/>
      <c r="B34" s="16"/>
      <c r="C34" s="16"/>
      <c r="D34" s="16"/>
      <c r="E34" s="16"/>
      <c r="F34" s="16"/>
      <c r="G34" s="16"/>
      <c r="H34" s="16"/>
    </row>
    <row r="35" spans="1:8">
      <c r="A35" s="16"/>
      <c r="B35" s="16"/>
      <c r="C35" s="16"/>
      <c r="D35" s="16"/>
      <c r="E35" s="16"/>
      <c r="F35" s="16"/>
      <c r="G35" s="16"/>
      <c r="H35" s="16"/>
    </row>
    <row r="36" spans="1:8">
      <c r="A36" s="16"/>
      <c r="B36" s="16"/>
      <c r="C36" s="16"/>
      <c r="D36" s="16"/>
      <c r="E36" s="16"/>
      <c r="F36" s="16"/>
      <c r="G36" s="16"/>
      <c r="H36" s="16"/>
    </row>
    <row r="37" spans="1:8">
      <c r="A37" s="16"/>
      <c r="B37" s="16"/>
      <c r="C37" s="16"/>
      <c r="D37" s="16"/>
      <c r="E37" s="16"/>
      <c r="F37" s="16"/>
      <c r="G37" s="16"/>
      <c r="H37" s="16"/>
    </row>
  </sheetData>
  <sheetProtection sheet="1" objects="1" scenarios="1"/>
  <mergeCells count="10">
    <mergeCell ref="J12:M12"/>
    <mergeCell ref="J16:M16"/>
    <mergeCell ref="J17:M17"/>
    <mergeCell ref="A24:B24"/>
    <mergeCell ref="A1:H1"/>
    <mergeCell ref="G14:G15"/>
    <mergeCell ref="A3:H3"/>
    <mergeCell ref="A4:H4"/>
    <mergeCell ref="A5:H5"/>
    <mergeCell ref="A6:H6"/>
  </mergeCells>
  <phoneticPr fontId="0" type="noConversion"/>
  <pageMargins left="1" right="1" top="0.5" bottom="0.5" header="0.5" footer="0.5"/>
  <pageSetup scale="45" orientation="portrait" blackAndWhite="1" horizontalDpi="120" verticalDpi="144" r:id="rId1"/>
  <headerFooter alignWithMargins="0">
    <oddHeader xml:space="preserve">&amp;RState of Kansas
Special District
</oddHeader>
  </headerFooter>
</worksheet>
</file>

<file path=xl/worksheets/sheet19.xml><?xml version="1.0" encoding="utf-8"?>
<worksheet xmlns="http://schemas.openxmlformats.org/spreadsheetml/2006/main" xmlns:r="http://schemas.openxmlformats.org/officeDocument/2006/relationships">
  <sheetPr>
    <pageSetUpPr fitToPage="1"/>
  </sheetPr>
  <dimension ref="A1:F35"/>
  <sheetViews>
    <sheetView workbookViewId="0">
      <selection activeCell="C35" sqref="C35"/>
    </sheetView>
  </sheetViews>
  <sheetFormatPr defaultRowHeight="15"/>
  <cols>
    <col min="1" max="1" width="12.6640625" style="57" customWidth="1"/>
    <col min="2" max="2" width="18.109375" style="57" customWidth="1"/>
    <col min="3" max="5" width="11.77734375" style="57" customWidth="1"/>
    <col min="6" max="16384" width="8.88671875" style="57"/>
  </cols>
  <sheetData>
    <row r="1" spans="1:6" ht="15.75">
      <c r="A1" s="316" t="str">
        <f>inputPrYr!D3</f>
        <v>Antioch Cemetery</v>
      </c>
      <c r="B1" s="54"/>
      <c r="C1" s="54"/>
      <c r="D1" s="54"/>
      <c r="E1" s="54"/>
      <c r="F1" s="54">
        <f>inputPrYr!D6</f>
        <v>2013</v>
      </c>
    </row>
    <row r="2" spans="1:6" ht="15.75">
      <c r="A2" s="316"/>
      <c r="B2" s="54"/>
      <c r="C2" s="54"/>
      <c r="D2" s="54"/>
      <c r="E2" s="54"/>
      <c r="F2" s="54"/>
    </row>
    <row r="3" spans="1:6" ht="15.75">
      <c r="A3" s="54"/>
      <c r="B3" s="54"/>
      <c r="C3" s="54"/>
      <c r="D3" s="54"/>
      <c r="E3" s="54"/>
      <c r="F3" s="54"/>
    </row>
    <row r="4" spans="1:6" ht="15.75">
      <c r="A4" s="18"/>
      <c r="B4" s="596" t="str">
        <f>CONCATENATE("",F1," Neighborhood Revitalization Rebate")</f>
        <v>2013 Neighborhood Revitalization Rebate</v>
      </c>
      <c r="C4" s="643"/>
      <c r="D4" s="643"/>
      <c r="E4" s="636"/>
      <c r="F4" s="54"/>
    </row>
    <row r="5" spans="1:6" ht="15.75">
      <c r="A5" s="18"/>
      <c r="B5" s="18"/>
      <c r="C5" s="18"/>
      <c r="D5" s="18"/>
      <c r="E5" s="18"/>
      <c r="F5" s="54"/>
    </row>
    <row r="6" spans="1:6" ht="51.75" customHeight="1">
      <c r="A6" s="18"/>
      <c r="B6" s="161" t="str">
        <f>CONCATENATE("Budgeted Funds                                 for ",F1,"")</f>
        <v>Budgeted Funds                                 for 2013</v>
      </c>
      <c r="C6" s="161" t="str">
        <f>CONCATENATE("",F1-1," Ad Valorem before Rebate**")</f>
        <v>2012 Ad Valorem before Rebate**</v>
      </c>
      <c r="D6" s="317" t="str">
        <f>CONCATENATE("",F1-1," Mil Rate before Rebate")</f>
        <v>2012 Mil Rate before Rebate</v>
      </c>
      <c r="E6" s="318" t="str">
        <f>CONCATENATE("Estimate ",F1," NR Rebate")</f>
        <v>Estimate 2013 NR Rebate</v>
      </c>
      <c r="F6" s="54"/>
    </row>
    <row r="7" spans="1:6" ht="15.75">
      <c r="A7" s="18"/>
      <c r="B7" s="319" t="str">
        <f>inputPrYr!B19</f>
        <v>General</v>
      </c>
      <c r="C7" s="320"/>
      <c r="D7" s="321" t="str">
        <f t="shared" ref="D7:D12" si="0">IF(C7&gt;0,C7/$D$18,"")</f>
        <v/>
      </c>
      <c r="E7" s="116" t="str">
        <f t="shared" ref="E7:E12" si="1">IF(C7&gt;0,ROUND(D7*$D$22,0),"")</f>
        <v/>
      </c>
      <c r="F7" s="54"/>
    </row>
    <row r="8" spans="1:6" ht="15.75">
      <c r="A8" s="18"/>
      <c r="B8" s="319">
        <f>inputPrYr!B20</f>
        <v>0</v>
      </c>
      <c r="C8" s="320"/>
      <c r="D8" s="321" t="str">
        <f t="shared" si="0"/>
        <v/>
      </c>
      <c r="E8" s="116" t="str">
        <f t="shared" si="1"/>
        <v/>
      </c>
      <c r="F8" s="54"/>
    </row>
    <row r="9" spans="1:6" ht="15.75">
      <c r="A9" s="18"/>
      <c r="B9" s="121" t="str">
        <f>IF(inputPrYr!$B22&gt;"  ",(inputPrYr!$B22),"  ")</f>
        <v xml:space="preserve">  </v>
      </c>
      <c r="C9" s="320"/>
      <c r="D9" s="321" t="str">
        <f t="shared" si="0"/>
        <v/>
      </c>
      <c r="E9" s="116" t="str">
        <f t="shared" si="1"/>
        <v/>
      </c>
      <c r="F9" s="54"/>
    </row>
    <row r="10" spans="1:6" ht="15.75">
      <c r="A10" s="18"/>
      <c r="B10" s="121" t="str">
        <f>IF(inputPrYr!$B23&gt;"  ",(inputPrYr!$B23),"  ")</f>
        <v xml:space="preserve">  </v>
      </c>
      <c r="C10" s="320"/>
      <c r="D10" s="321" t="str">
        <f t="shared" si="0"/>
        <v/>
      </c>
      <c r="E10" s="116" t="str">
        <f t="shared" si="1"/>
        <v/>
      </c>
      <c r="F10" s="54"/>
    </row>
    <row r="11" spans="1:6" ht="15.75">
      <c r="A11" s="18"/>
      <c r="B11" s="121"/>
      <c r="C11" s="320"/>
      <c r="D11" s="321" t="str">
        <f t="shared" si="0"/>
        <v/>
      </c>
      <c r="E11" s="116" t="str">
        <f t="shared" si="1"/>
        <v/>
      </c>
      <c r="F11" s="54"/>
    </row>
    <row r="12" spans="1:6" ht="15.75">
      <c r="A12" s="18"/>
      <c r="B12" s="121"/>
      <c r="C12" s="320"/>
      <c r="D12" s="321" t="str">
        <f t="shared" si="0"/>
        <v/>
      </c>
      <c r="E12" s="116" t="str">
        <f t="shared" si="1"/>
        <v/>
      </c>
      <c r="F12" s="54"/>
    </row>
    <row r="13" spans="1:6" ht="16.5" thickBot="1">
      <c r="A13" s="18"/>
      <c r="B13" s="38" t="s">
        <v>206</v>
      </c>
      <c r="C13" s="322">
        <f>SUM(C7:C12)</f>
        <v>0</v>
      </c>
      <c r="D13" s="323">
        <f>SUM(D7:D12)</f>
        <v>0</v>
      </c>
      <c r="E13" s="322">
        <f>SUM(E7:E12)</f>
        <v>0</v>
      </c>
      <c r="F13" s="54"/>
    </row>
    <row r="14" spans="1:6" ht="16.5" thickTop="1">
      <c r="A14" s="18"/>
      <c r="B14" s="18"/>
      <c r="C14" s="18"/>
      <c r="D14" s="18"/>
      <c r="E14" s="18"/>
      <c r="F14" s="54"/>
    </row>
    <row r="15" spans="1:6" ht="15.75">
      <c r="A15" s="18"/>
      <c r="B15" s="18"/>
      <c r="C15" s="18"/>
      <c r="D15" s="18"/>
      <c r="E15" s="18"/>
      <c r="F15" s="54"/>
    </row>
    <row r="16" spans="1:6" ht="15.75">
      <c r="A16" s="644" t="str">
        <f>CONCATENATE("",F1-1," July 1 Valuation:")</f>
        <v>2012 July 1 Valuation:</v>
      </c>
      <c r="B16" s="642"/>
      <c r="C16" s="644"/>
      <c r="D16" s="324">
        <f>inputOth!E7</f>
        <v>5377282</v>
      </c>
      <c r="E16" s="18"/>
      <c r="F16" s="54"/>
    </row>
    <row r="17" spans="1:6" ht="15.75">
      <c r="A17" s="18"/>
      <c r="B17" s="18"/>
      <c r="C17" s="18"/>
      <c r="D17" s="18"/>
      <c r="E17" s="18"/>
      <c r="F17" s="54"/>
    </row>
    <row r="18" spans="1:6" ht="15.75">
      <c r="A18" s="18"/>
      <c r="B18" s="644" t="s">
        <v>318</v>
      </c>
      <c r="C18" s="644"/>
      <c r="D18" s="325">
        <f>IF(D16&gt;0,(D16*0.001),"")</f>
        <v>5377.2820000000002</v>
      </c>
      <c r="E18" s="18"/>
      <c r="F18" s="54"/>
    </row>
    <row r="19" spans="1:6" ht="15.75">
      <c r="A19" s="18"/>
      <c r="B19" s="138"/>
      <c r="C19" s="138"/>
      <c r="D19" s="326"/>
      <c r="E19" s="18"/>
      <c r="F19" s="54"/>
    </row>
    <row r="20" spans="1:6" ht="15.75">
      <c r="A20" s="641" t="s">
        <v>316</v>
      </c>
      <c r="B20" s="636"/>
      <c r="C20" s="636"/>
      <c r="D20" s="327">
        <f>inputOth!E12</f>
        <v>0</v>
      </c>
      <c r="E20" s="58"/>
      <c r="F20" s="58"/>
    </row>
    <row r="21" spans="1:6">
      <c r="A21" s="58"/>
      <c r="B21" s="58"/>
      <c r="C21" s="58"/>
      <c r="D21" s="328"/>
      <c r="E21" s="58"/>
      <c r="F21" s="58"/>
    </row>
    <row r="22" spans="1:6" ht="15.75">
      <c r="A22" s="58"/>
      <c r="B22" s="641" t="s">
        <v>317</v>
      </c>
      <c r="C22" s="642"/>
      <c r="D22" s="329" t="str">
        <f>IF(D20&gt;0,(D20*0.001),"")</f>
        <v/>
      </c>
      <c r="E22" s="58"/>
      <c r="F22" s="58"/>
    </row>
    <row r="23" spans="1:6">
      <c r="A23" s="58"/>
      <c r="B23" s="58"/>
      <c r="C23" s="58"/>
      <c r="D23" s="58"/>
      <c r="E23" s="58"/>
      <c r="F23" s="58"/>
    </row>
    <row r="24" spans="1:6">
      <c r="A24" s="58"/>
      <c r="B24" s="58"/>
      <c r="C24" s="58"/>
      <c r="D24" s="58"/>
      <c r="E24" s="58"/>
      <c r="F24" s="58"/>
    </row>
    <row r="25" spans="1:6">
      <c r="A25" s="58"/>
      <c r="B25" s="58"/>
      <c r="C25" s="58"/>
      <c r="D25" s="58"/>
      <c r="E25" s="58"/>
      <c r="F25" s="58"/>
    </row>
    <row r="26" spans="1:6" ht="15.75">
      <c r="A26" s="383" t="str">
        <f>CONCATENATE("**This information comes from the ",F1," Budget Summary page.  See instructions tab #12 for completing")</f>
        <v>**This information comes from the 2013 Budget Summary page.  See instructions tab #12 for completing</v>
      </c>
      <c r="B26" s="58"/>
      <c r="C26" s="58"/>
      <c r="D26" s="58"/>
      <c r="E26" s="58"/>
      <c r="F26" s="58"/>
    </row>
    <row r="27" spans="1:6" ht="15.75">
      <c r="A27" s="383" t="s">
        <v>556</v>
      </c>
      <c r="B27" s="58"/>
      <c r="C27" s="58"/>
      <c r="D27" s="58"/>
      <c r="E27" s="58"/>
      <c r="F27" s="58"/>
    </row>
    <row r="28" spans="1:6" ht="15.75">
      <c r="A28" s="383"/>
      <c r="B28" s="58"/>
      <c r="C28" s="58"/>
      <c r="D28" s="58"/>
      <c r="E28" s="58"/>
      <c r="F28" s="58"/>
    </row>
    <row r="29" spans="1:6" ht="15.75">
      <c r="A29" s="383"/>
      <c r="B29" s="58"/>
      <c r="C29" s="58"/>
      <c r="D29" s="58"/>
      <c r="E29" s="58"/>
      <c r="F29" s="58"/>
    </row>
    <row r="30" spans="1:6" ht="15.75">
      <c r="A30" s="383"/>
      <c r="B30" s="58"/>
      <c r="C30" s="58"/>
      <c r="D30" s="58"/>
      <c r="E30" s="58"/>
      <c r="F30" s="58"/>
    </row>
    <row r="31" spans="1:6" ht="15.75">
      <c r="A31" s="383"/>
      <c r="B31" s="58"/>
      <c r="C31" s="58"/>
      <c r="D31" s="58"/>
      <c r="E31" s="58"/>
      <c r="F31" s="58"/>
    </row>
    <row r="32" spans="1:6" ht="15.75">
      <c r="A32" s="383"/>
      <c r="B32" s="58"/>
      <c r="C32" s="58"/>
      <c r="D32" s="58"/>
      <c r="E32" s="58"/>
      <c r="F32" s="58"/>
    </row>
    <row r="33" spans="1:6" ht="15.75">
      <c r="A33" s="383"/>
      <c r="B33" s="58"/>
      <c r="C33" s="58"/>
      <c r="D33" s="58"/>
      <c r="E33" s="58"/>
      <c r="F33" s="58"/>
    </row>
    <row r="34" spans="1:6">
      <c r="A34" s="58"/>
      <c r="B34" s="58"/>
      <c r="C34" s="58"/>
      <c r="D34" s="58"/>
      <c r="E34" s="58"/>
      <c r="F34" s="58"/>
    </row>
    <row r="35" spans="1:6" ht="15.75">
      <c r="A35" s="58"/>
      <c r="B35" s="302" t="s">
        <v>44</v>
      </c>
      <c r="C35" s="267"/>
      <c r="D35" s="58"/>
      <c r="E35" s="58"/>
      <c r="F35" s="58"/>
    </row>
  </sheetData>
  <sheetProtection sheet="1"/>
  <mergeCells count="5">
    <mergeCell ref="B22:C22"/>
    <mergeCell ref="B4:E4"/>
    <mergeCell ref="A16:C16"/>
    <mergeCell ref="B18:C18"/>
    <mergeCell ref="A20:C20"/>
  </mergeCells>
  <phoneticPr fontId="15" type="noConversion"/>
  <pageMargins left="0.75" right="0.75" top="1" bottom="1" header="0.5" footer="0.5"/>
  <pageSetup scale="89" orientation="portrait" blackAndWhite="1" r:id="rId1"/>
  <headerFooter alignWithMargins="0">
    <oddHeader>&amp;RState of Kansas
Special District</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E46"/>
  <sheetViews>
    <sheetView workbookViewId="0">
      <selection activeCell="D3" sqref="D3"/>
    </sheetView>
  </sheetViews>
  <sheetFormatPr defaultRowHeight="15.75"/>
  <cols>
    <col min="1" max="1" width="15.77734375" style="16" customWidth="1"/>
    <col min="2" max="2" width="20.77734375" style="16" customWidth="1"/>
    <col min="3" max="3" width="9.77734375" style="16" customWidth="1"/>
    <col min="4" max="4" width="15.6640625" style="16" customWidth="1"/>
    <col min="5" max="5" width="14.21875" style="16" customWidth="1"/>
    <col min="6" max="16384" width="8.88671875" style="16"/>
  </cols>
  <sheetData>
    <row r="1" spans="1:5">
      <c r="A1" s="577" t="s">
        <v>7</v>
      </c>
      <c r="B1" s="578"/>
      <c r="C1" s="578"/>
      <c r="D1" s="578"/>
      <c r="E1" s="578"/>
    </row>
    <row r="2" spans="1:5">
      <c r="A2" s="17"/>
      <c r="B2" s="18"/>
      <c r="C2" s="18"/>
      <c r="D2" s="18"/>
      <c r="E2" s="18"/>
    </row>
    <row r="3" spans="1:5">
      <c r="A3" s="19" t="s">
        <v>130</v>
      </c>
      <c r="B3" s="18"/>
      <c r="C3" s="18"/>
      <c r="D3" s="20" t="s">
        <v>734</v>
      </c>
      <c r="E3" s="21"/>
    </row>
    <row r="4" spans="1:5">
      <c r="A4" s="19" t="s">
        <v>225</v>
      </c>
      <c r="B4" s="18"/>
      <c r="C4" s="18"/>
      <c r="D4" s="22" t="s">
        <v>730</v>
      </c>
      <c r="E4" s="21"/>
    </row>
    <row r="5" spans="1:5">
      <c r="A5" s="17"/>
      <c r="B5" s="18"/>
      <c r="C5" s="18"/>
      <c r="D5" s="23"/>
      <c r="E5" s="21"/>
    </row>
    <row r="6" spans="1:5">
      <c r="A6" s="19" t="s">
        <v>149</v>
      </c>
      <c r="B6" s="18"/>
      <c r="C6" s="18"/>
      <c r="D6" s="24">
        <v>2013</v>
      </c>
      <c r="E6" s="21"/>
    </row>
    <row r="7" spans="1:5">
      <c r="A7" s="18"/>
      <c r="B7" s="18"/>
      <c r="C7" s="18"/>
      <c r="D7" s="18"/>
      <c r="E7" s="18"/>
    </row>
    <row r="8" spans="1:5">
      <c r="A8" s="579" t="s">
        <v>204</v>
      </c>
      <c r="B8" s="580"/>
      <c r="C8" s="580"/>
      <c r="D8" s="580"/>
      <c r="E8" s="580"/>
    </row>
    <row r="9" spans="1:5">
      <c r="A9" s="25" t="s">
        <v>77</v>
      </c>
      <c r="B9" s="26"/>
      <c r="C9" s="26"/>
      <c r="D9" s="26"/>
      <c r="E9" s="26"/>
    </row>
    <row r="10" spans="1:5">
      <c r="A10" s="581" t="s">
        <v>203</v>
      </c>
      <c r="B10" s="582"/>
      <c r="C10" s="582"/>
      <c r="D10" s="582"/>
      <c r="E10" s="582"/>
    </row>
    <row r="11" spans="1:5">
      <c r="A11" s="27"/>
      <c r="B11" s="18"/>
      <c r="C11" s="18"/>
      <c r="D11" s="18"/>
      <c r="E11" s="18"/>
    </row>
    <row r="12" spans="1:5">
      <c r="A12" s="575" t="s">
        <v>191</v>
      </c>
      <c r="B12" s="576"/>
      <c r="C12" s="576"/>
      <c r="D12" s="576"/>
      <c r="E12" s="576"/>
    </row>
    <row r="13" spans="1:5">
      <c r="A13" s="27"/>
      <c r="B13" s="18"/>
      <c r="C13" s="18"/>
      <c r="D13" s="18"/>
      <c r="E13" s="18"/>
    </row>
    <row r="14" spans="1:5">
      <c r="A14" s="28" t="s">
        <v>150</v>
      </c>
      <c r="B14" s="29"/>
      <c r="C14" s="18"/>
      <c r="D14" s="18"/>
      <c r="E14" s="18"/>
    </row>
    <row r="15" spans="1:5">
      <c r="A15" s="30" t="str">
        <f>CONCATENATE("the ",D6-1," Budget, Certificate Page:")</f>
        <v>the 2012 Budget, Certificate Page:</v>
      </c>
      <c r="B15" s="31"/>
      <c r="C15" s="18"/>
      <c r="D15" s="18"/>
      <c r="E15" s="18"/>
    </row>
    <row r="16" spans="1:5">
      <c r="A16" s="30" t="s">
        <v>275</v>
      </c>
      <c r="B16" s="31"/>
      <c r="C16" s="18"/>
      <c r="D16" s="18"/>
      <c r="E16" s="18"/>
    </row>
    <row r="17" spans="1:5">
      <c r="A17" s="18"/>
      <c r="B17" s="18"/>
      <c r="C17" s="32"/>
      <c r="D17" s="33">
        <f>D6-1</f>
        <v>2012</v>
      </c>
      <c r="E17" s="583" t="str">
        <f>CONCATENATE("Amount of ",D6-2,"     Ad Valorem Tax")</f>
        <v>Amount of 2011     Ad Valorem Tax</v>
      </c>
    </row>
    <row r="18" spans="1:5">
      <c r="A18" s="17" t="s">
        <v>8</v>
      </c>
      <c r="B18" s="18"/>
      <c r="C18" s="32" t="s">
        <v>9</v>
      </c>
      <c r="D18" s="34" t="s">
        <v>276</v>
      </c>
      <c r="E18" s="584"/>
    </row>
    <row r="19" spans="1:5">
      <c r="A19" s="18"/>
      <c r="B19" s="35" t="s">
        <v>10</v>
      </c>
      <c r="C19" s="426" t="s">
        <v>735</v>
      </c>
      <c r="D19" s="37">
        <v>32460</v>
      </c>
      <c r="E19" s="37">
        <v>9934</v>
      </c>
    </row>
    <row r="20" spans="1:5">
      <c r="A20" s="18"/>
      <c r="B20" s="35"/>
      <c r="C20" s="107"/>
      <c r="D20" s="37"/>
      <c r="E20" s="37"/>
    </row>
    <row r="21" spans="1:5">
      <c r="A21" s="17" t="s">
        <v>11</v>
      </c>
      <c r="B21" s="18"/>
      <c r="C21" s="18"/>
      <c r="D21" s="39"/>
      <c r="E21" s="40"/>
    </row>
    <row r="22" spans="1:5">
      <c r="A22" s="18"/>
      <c r="B22" s="36"/>
      <c r="C22" s="426"/>
      <c r="D22" s="37"/>
      <c r="E22" s="37"/>
    </row>
    <row r="23" spans="1:5">
      <c r="A23" s="18"/>
      <c r="B23" s="36"/>
      <c r="C23" s="426"/>
      <c r="D23" s="37"/>
      <c r="E23" s="37"/>
    </row>
    <row r="24" spans="1:5">
      <c r="A24" s="41" t="str">
        <f>CONCATENATE("Total Ad Valorem Tax for ",D6-1," Budgeted Year")</f>
        <v>Total Ad Valorem Tax for 2012 Budgeted Year</v>
      </c>
      <c r="B24" s="42"/>
      <c r="C24" s="42"/>
      <c r="D24" s="43"/>
      <c r="E24" s="44">
        <f>SUM(E19:E20,E22:E23)</f>
        <v>9934</v>
      </c>
    </row>
    <row r="25" spans="1:5">
      <c r="A25" s="45" t="s">
        <v>12</v>
      </c>
      <c r="B25" s="18"/>
      <c r="C25" s="18"/>
      <c r="D25" s="18"/>
      <c r="E25" s="18"/>
    </row>
    <row r="26" spans="1:5">
      <c r="A26" s="18"/>
      <c r="B26" s="36"/>
      <c r="C26" s="18"/>
      <c r="D26" s="37"/>
      <c r="E26" s="18"/>
    </row>
    <row r="27" spans="1:5">
      <c r="A27" s="18"/>
      <c r="B27" s="36"/>
      <c r="C27" s="18"/>
      <c r="D27" s="37"/>
      <c r="E27" s="18"/>
    </row>
    <row r="28" spans="1:5">
      <c r="A28" s="42" t="str">
        <f>CONCATENATE("Total Expenditures for ",D6-1," Budgeted Year")</f>
        <v>Total Expenditures for 2012 Budgeted Year</v>
      </c>
      <c r="B28" s="42"/>
      <c r="C28" s="46"/>
      <c r="D28" s="47">
        <f>SUM(D19:D20,D22:D23,D26:D27)</f>
        <v>32460</v>
      </c>
      <c r="E28" s="39"/>
    </row>
    <row r="29" spans="1:5">
      <c r="A29" s="18" t="s">
        <v>243</v>
      </c>
      <c r="B29" s="18"/>
      <c r="C29" s="18"/>
      <c r="D29" s="18"/>
      <c r="E29" s="39"/>
    </row>
    <row r="30" spans="1:5">
      <c r="A30" s="18">
        <v>1</v>
      </c>
      <c r="B30" s="48"/>
      <c r="C30" s="18"/>
      <c r="D30" s="18"/>
      <c r="E30" s="39"/>
    </row>
    <row r="31" spans="1:5">
      <c r="A31" s="18">
        <v>2</v>
      </c>
      <c r="B31" s="48"/>
      <c r="C31" s="18"/>
      <c r="D31" s="18"/>
      <c r="E31" s="39"/>
    </row>
    <row r="32" spans="1:5">
      <c r="A32" s="18">
        <v>3</v>
      </c>
      <c r="B32" s="48"/>
      <c r="C32" s="18"/>
      <c r="D32" s="18"/>
      <c r="E32" s="39"/>
    </row>
    <row r="33" spans="1:5">
      <c r="A33" s="18">
        <v>4</v>
      </c>
      <c r="B33" s="48"/>
      <c r="C33" s="18"/>
      <c r="D33" s="18"/>
      <c r="E33" s="39"/>
    </row>
    <row r="34" spans="1:5">
      <c r="A34" s="18">
        <v>5</v>
      </c>
      <c r="B34" s="48"/>
      <c r="C34" s="18"/>
      <c r="D34" s="18"/>
      <c r="E34" s="39"/>
    </row>
    <row r="35" spans="1:5">
      <c r="A35" s="18"/>
      <c r="B35" s="18"/>
      <c r="C35" s="18"/>
      <c r="D35" s="18"/>
      <c r="E35" s="39"/>
    </row>
    <row r="36" spans="1:5">
      <c r="A36" s="28" t="s">
        <v>150</v>
      </c>
      <c r="B36" s="29"/>
      <c r="C36" s="18"/>
      <c r="D36" s="573" t="str">
        <f>CONCATENATE("",D6-3," Tax Rate          (",D6-2," Column)")</f>
        <v>2010 Tax Rate          (2011 Column)</v>
      </c>
      <c r="E36" s="39"/>
    </row>
    <row r="37" spans="1:5">
      <c r="A37" s="30" t="str">
        <f>CONCATENATE("the ",D6-1," Budget, Budget Summary Page:")</f>
        <v>the 2012 Budget, Budget Summary Page:</v>
      </c>
      <c r="B37" s="31"/>
      <c r="C37" s="18"/>
      <c r="D37" s="574"/>
      <c r="E37" s="39"/>
    </row>
    <row r="38" spans="1:5">
      <c r="A38" s="18"/>
      <c r="B38" s="38" t="str">
        <f>B19</f>
        <v>General</v>
      </c>
      <c r="C38" s="18"/>
      <c r="D38" s="49">
        <v>1.9370000000000001</v>
      </c>
      <c r="E38" s="39"/>
    </row>
    <row r="39" spans="1:5">
      <c r="A39" s="18"/>
      <c r="B39" s="38">
        <f>B20</f>
        <v>0</v>
      </c>
      <c r="C39" s="18"/>
      <c r="D39" s="49"/>
      <c r="E39" s="39"/>
    </row>
    <row r="40" spans="1:5">
      <c r="A40" s="18"/>
      <c r="B40" s="38">
        <f>B22</f>
        <v>0</v>
      </c>
      <c r="C40" s="18"/>
      <c r="D40" s="49"/>
      <c r="E40" s="39"/>
    </row>
    <row r="41" spans="1:5">
      <c r="A41" s="18"/>
      <c r="B41" s="38">
        <f>B23</f>
        <v>0</v>
      </c>
      <c r="C41" s="18"/>
      <c r="D41" s="49"/>
      <c r="E41" s="39"/>
    </row>
    <row r="42" spans="1:5" ht="16.5" thickBot="1">
      <c r="A42" s="17" t="s">
        <v>13</v>
      </c>
      <c r="B42" s="18"/>
      <c r="C42" s="18"/>
      <c r="D42" s="50">
        <f>SUM(D38:D41)</f>
        <v>1.9370000000000001</v>
      </c>
      <c r="E42" s="39"/>
    </row>
    <row r="43" spans="1:5" ht="16.5" thickTop="1">
      <c r="A43" s="18"/>
      <c r="B43" s="18"/>
      <c r="C43" s="18"/>
      <c r="D43" s="18"/>
      <c r="E43" s="39"/>
    </row>
    <row r="44" spans="1:5">
      <c r="A44" s="51" t="str">
        <f>CONCATENATE("Total Tax Levied (",D6-2," budget column)")</f>
        <v>Total Tax Levied (2011 budget column)</v>
      </c>
      <c r="B44" s="29"/>
      <c r="C44" s="18"/>
      <c r="D44" s="18"/>
      <c r="E44" s="52">
        <v>10201</v>
      </c>
    </row>
    <row r="45" spans="1:5">
      <c r="A45" s="51" t="str">
        <f>CONCATENATE("Assessed Valuation (",D6-2," budget column)")</f>
        <v>Assessed Valuation (2011 budget column)</v>
      </c>
      <c r="B45" s="29"/>
      <c r="C45" s="18"/>
      <c r="D45" s="18"/>
      <c r="E45" s="53">
        <v>5268275</v>
      </c>
    </row>
    <row r="46" spans="1:5">
      <c r="A46" s="18"/>
      <c r="B46" s="18"/>
      <c r="C46" s="18"/>
      <c r="D46" s="18"/>
      <c r="E46" s="39"/>
    </row>
  </sheetData>
  <sheetProtection sheet="1" objects="1" scenarios="1"/>
  <mergeCells count="6">
    <mergeCell ref="D36:D37"/>
    <mergeCell ref="A12:E12"/>
    <mergeCell ref="A1:E1"/>
    <mergeCell ref="A8:E8"/>
    <mergeCell ref="A10:E10"/>
    <mergeCell ref="E17:E18"/>
  </mergeCells>
  <phoneticPr fontId="0" type="noConversion"/>
  <pageMargins left="0.5" right="0.5" top="0.5" bottom="0.5" header="0.5" footer="0.5"/>
  <pageSetup orientation="portrait" blackAndWhite="1" horizontalDpi="120" verticalDpi="144"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B1:J53"/>
  <sheetViews>
    <sheetView workbookViewId="0">
      <selection activeCell="E45" sqref="E45"/>
    </sheetView>
  </sheetViews>
  <sheetFormatPr defaultColWidth="9.77734375" defaultRowHeight="15.75"/>
  <cols>
    <col min="1" max="1" width="8.88671875" style="2" customWidth="1"/>
    <col min="2" max="16384" width="9.77734375" style="2"/>
  </cols>
  <sheetData>
    <row r="1" spans="2:10">
      <c r="B1" s="645" t="s">
        <v>138</v>
      </c>
      <c r="C1" s="645"/>
      <c r="D1" s="645"/>
      <c r="E1" s="645"/>
      <c r="F1" s="645"/>
      <c r="G1" s="645"/>
      <c r="H1" s="645"/>
    </row>
    <row r="2" spans="2:10">
      <c r="B2" s="6"/>
      <c r="C2"/>
      <c r="D2"/>
      <c r="E2"/>
      <c r="F2"/>
      <c r="G2"/>
      <c r="H2"/>
    </row>
    <row r="3" spans="2:10">
      <c r="B3" s="646" t="s">
        <v>135</v>
      </c>
      <c r="C3" s="646"/>
      <c r="D3" s="646"/>
      <c r="E3" s="646"/>
      <c r="F3" s="646"/>
      <c r="G3" s="646"/>
      <c r="H3" s="646"/>
    </row>
    <row r="4" spans="2:10">
      <c r="B4" s="7"/>
      <c r="C4"/>
      <c r="D4"/>
      <c r="E4"/>
      <c r="F4"/>
      <c r="G4"/>
      <c r="H4"/>
    </row>
    <row r="5" spans="2:10">
      <c r="B5" s="651" t="str">
        <f>CONCATENATE("A resolution expressing the property taxation policy of the Board of ",(inputPrYr!D3)," District with respect to financing the ",inputPrYr!D6," annual budget for ", (inputPrYr!D3)," , ",(inputPrYr!D4)," , Kansas.")</f>
        <v>A resolution expressing the property taxation policy of the Board of Antioch Cemetery District with respect to financing the 2013 annual budget for Antioch Cemetery , Franklin County , Kansas.</v>
      </c>
      <c r="C5" s="652"/>
      <c r="D5" s="652"/>
      <c r="E5" s="652"/>
      <c r="F5" s="652"/>
      <c r="G5" s="652"/>
      <c r="H5" s="652"/>
    </row>
    <row r="6" spans="2:10">
      <c r="B6" s="652"/>
      <c r="C6" s="652"/>
      <c r="D6" s="652"/>
      <c r="E6" s="652"/>
      <c r="F6" s="652"/>
      <c r="G6" s="652"/>
      <c r="H6" s="652"/>
      <c r="J6" s="2" t="str">
        <f>CONCATENATE(J7)</f>
        <v/>
      </c>
    </row>
    <row r="7" spans="2:10">
      <c r="B7" s="11"/>
      <c r="C7"/>
      <c r="D7"/>
      <c r="E7"/>
      <c r="F7"/>
      <c r="G7"/>
      <c r="H7"/>
    </row>
    <row r="8" spans="2:10">
      <c r="B8" s="12" t="s">
        <v>170</v>
      </c>
      <c r="C8"/>
      <c r="D8"/>
      <c r="E8"/>
      <c r="F8"/>
      <c r="G8"/>
      <c r="H8"/>
    </row>
    <row r="9" spans="2:10">
      <c r="B9" s="12" t="str">
        <f>CONCATENATE("",inputPrYr!D6," ",(inputPrYr!D3), " district budget exceed the amount levied to finance the")</f>
        <v>2013 Antioch Cemetery district budget exceed the amount levied to finance the</v>
      </c>
      <c r="C9"/>
      <c r="D9"/>
      <c r="E9"/>
      <c r="F9"/>
      <c r="G9"/>
      <c r="H9"/>
    </row>
    <row r="10" spans="2:10">
      <c r="B10" s="12" t="str">
        <f>CONCATENATE("",inputPrYr!D6-1," ",inputPrYr!D3," except with regard to revenue produced and attributable to the")</f>
        <v>2012 Antioch Cemetery except with regard to revenue produced and attributable to the</v>
      </c>
      <c r="C10"/>
      <c r="D10"/>
      <c r="E10"/>
      <c r="F10"/>
      <c r="G10"/>
      <c r="H10"/>
    </row>
    <row r="11" spans="2:10">
      <c r="B11" s="647" t="s">
        <v>171</v>
      </c>
      <c r="C11" s="648"/>
      <c r="D11" s="648"/>
      <c r="E11" s="648"/>
      <c r="F11" s="648"/>
      <c r="G11" s="648"/>
      <c r="H11" s="648"/>
    </row>
    <row r="12" spans="2:10">
      <c r="B12" s="648"/>
      <c r="C12" s="648"/>
      <c r="D12" s="648"/>
      <c r="E12" s="648"/>
      <c r="F12" s="648"/>
      <c r="G12" s="648"/>
      <c r="H12" s="648"/>
    </row>
    <row r="13" spans="2:10">
      <c r="B13" s="648"/>
      <c r="C13" s="648"/>
      <c r="D13" s="648"/>
      <c r="E13" s="648"/>
      <c r="F13" s="648"/>
      <c r="G13" s="648"/>
      <c r="H13" s="648"/>
    </row>
    <row r="14" spans="2:10">
      <c r="B14" s="648"/>
      <c r="C14" s="648"/>
      <c r="D14" s="648"/>
      <c r="E14" s="648"/>
      <c r="F14" s="648"/>
      <c r="G14" s="648"/>
      <c r="H14" s="648"/>
    </row>
    <row r="15" spans="2:10">
      <c r="B15" s="1"/>
      <c r="C15" s="1"/>
      <c r="D15" s="1"/>
      <c r="E15" s="1"/>
      <c r="F15" s="1"/>
      <c r="G15" s="1"/>
      <c r="H15" s="1"/>
    </row>
    <row r="16" spans="2:10">
      <c r="B16" s="653" t="s">
        <v>147</v>
      </c>
      <c r="C16" s="654"/>
      <c r="D16" s="654"/>
      <c r="E16" s="654"/>
      <c r="F16" s="654"/>
      <c r="G16" s="654"/>
      <c r="H16" s="654"/>
    </row>
    <row r="17" spans="2:8">
      <c r="B17" s="654"/>
      <c r="C17" s="654"/>
      <c r="D17" s="654"/>
      <c r="E17" s="654"/>
      <c r="F17" s="654"/>
      <c r="G17" s="654"/>
      <c r="H17" s="654"/>
    </row>
    <row r="18" spans="2:8">
      <c r="B18" s="12"/>
      <c r="C18"/>
      <c r="D18"/>
      <c r="E18"/>
      <c r="F18"/>
      <c r="G18"/>
      <c r="H18"/>
    </row>
    <row r="19" spans="2:8">
      <c r="B19" s="12" t="str">
        <f>CONCATENATE("Whereas, ",(inputPrYr!D3)," provides essential services to district residents; and")</f>
        <v>Whereas, Antioch Cemetery provides essential services to district residents; and</v>
      </c>
      <c r="C19"/>
      <c r="D19"/>
      <c r="E19"/>
      <c r="F19"/>
      <c r="G19"/>
      <c r="H19"/>
    </row>
    <row r="20" spans="2:8">
      <c r="B20" s="12"/>
      <c r="C20"/>
      <c r="D20"/>
      <c r="E20"/>
      <c r="F20"/>
      <c r="G20"/>
      <c r="H20"/>
    </row>
    <row r="21" spans="2:8">
      <c r="B21" s="12" t="s">
        <v>148</v>
      </c>
      <c r="C21"/>
      <c r="D21"/>
      <c r="E21"/>
      <c r="F21"/>
      <c r="G21"/>
      <c r="H21"/>
    </row>
    <row r="22" spans="2:8">
      <c r="B22" s="12"/>
      <c r="C22"/>
      <c r="D22"/>
      <c r="E22"/>
      <c r="F22"/>
      <c r="G22"/>
      <c r="H22"/>
    </row>
    <row r="23" spans="2:8">
      <c r="B23" s="647" t="str">
        <f>CONCATENATE("NOW, THEREFORE, BE IT RESOLVED by the Board of the ",(inputPrYr!D3)," that is our desire to notify the public of the possibility of increased property taxes to finance the ",inputPrYr!D6," ",(inputPrYr!D3), "  budget as defined above.")</f>
        <v>NOW, THEREFORE, BE IT RESOLVED by the Board of the Antioch Cemetery that is our desire to notify the public of the possibility of increased property taxes to finance the 2013 Antioch Cemetery  budget as defined above.</v>
      </c>
      <c r="C23" s="655"/>
      <c r="D23" s="655"/>
      <c r="E23" s="655"/>
      <c r="F23" s="655"/>
      <c r="G23" s="655"/>
      <c r="H23" s="655"/>
    </row>
    <row r="24" spans="2:8">
      <c r="B24" s="655"/>
      <c r="C24" s="655"/>
      <c r="D24" s="655"/>
      <c r="E24" s="655"/>
      <c r="F24" s="655"/>
      <c r="G24" s="655"/>
      <c r="H24" s="655"/>
    </row>
    <row r="25" spans="2:8">
      <c r="B25" s="655"/>
      <c r="C25" s="655"/>
      <c r="D25" s="655"/>
      <c r="E25" s="655"/>
      <c r="F25" s="655"/>
      <c r="G25" s="655"/>
      <c r="H25" s="655"/>
    </row>
    <row r="26" spans="2:8">
      <c r="B26" s="12"/>
      <c r="C26"/>
      <c r="D26"/>
      <c r="E26"/>
      <c r="F26"/>
      <c r="G26"/>
      <c r="H26"/>
    </row>
    <row r="27" spans="2:8">
      <c r="B27" s="653" t="str">
        <f>CONCATENATE("Adopted this _________ day of ___________, ",inputPrYr!D6-1," by the ",(inputPrYr!D3)," District Board, ",(inputPrYr!D4),", Kansas.")</f>
        <v>Adopted this _________ day of ___________, 2012 by the Antioch Cemetery District Board, Franklin County, Kansas.</v>
      </c>
      <c r="C27" s="652"/>
      <c r="D27" s="652"/>
      <c r="E27" s="652"/>
      <c r="F27" s="652"/>
      <c r="G27" s="652"/>
      <c r="H27" s="652"/>
    </row>
    <row r="28" spans="2:8">
      <c r="B28" s="652"/>
      <c r="C28" s="652"/>
      <c r="D28" s="652"/>
      <c r="E28" s="652"/>
      <c r="F28" s="652"/>
      <c r="G28" s="652"/>
      <c r="H28" s="652"/>
    </row>
    <row r="29" spans="2:8">
      <c r="B29" s="8"/>
      <c r="C29"/>
      <c r="D29"/>
      <c r="E29"/>
      <c r="F29"/>
      <c r="G29"/>
      <c r="H29"/>
    </row>
    <row r="30" spans="2:8">
      <c r="B30" s="8"/>
      <c r="C30"/>
      <c r="D30"/>
      <c r="E30"/>
      <c r="F30"/>
      <c r="G30"/>
      <c r="H30"/>
    </row>
    <row r="31" spans="2:8">
      <c r="B31" s="9" t="str">
        <f>CONCATENATE(" ",(inputPrYr!D3)," District Board")</f>
        <v xml:space="preserve"> Antioch Cemetery District Board</v>
      </c>
      <c r="C31"/>
      <c r="D31"/>
      <c r="E31"/>
      <c r="F31"/>
      <c r="G31"/>
      <c r="H31"/>
    </row>
    <row r="32" spans="2:8">
      <c r="B32" s="8"/>
      <c r="C32"/>
      <c r="D32"/>
      <c r="E32"/>
      <c r="F32"/>
      <c r="G32"/>
      <c r="H32"/>
    </row>
    <row r="33" spans="2:8">
      <c r="B33"/>
      <c r="C33"/>
      <c r="D33"/>
      <c r="E33" s="649" t="s">
        <v>136</v>
      </c>
      <c r="F33" s="649"/>
      <c r="G33" s="649"/>
      <c r="H33" s="649"/>
    </row>
    <row r="34" spans="2:8">
      <c r="B34"/>
      <c r="C34"/>
      <c r="D34"/>
      <c r="E34" s="649" t="s">
        <v>139</v>
      </c>
      <c r="F34" s="649"/>
      <c r="G34" s="649"/>
      <c r="H34" s="649"/>
    </row>
    <row r="35" spans="2:8">
      <c r="B35" s="8"/>
      <c r="C35"/>
      <c r="D35"/>
      <c r="E35" s="649"/>
      <c r="F35" s="649"/>
      <c r="G35" s="649"/>
      <c r="H35" s="649"/>
    </row>
    <row r="36" spans="2:8">
      <c r="B36"/>
      <c r="C36"/>
      <c r="D36"/>
      <c r="E36" s="649" t="s">
        <v>136</v>
      </c>
      <c r="F36" s="649"/>
      <c r="G36" s="649"/>
      <c r="H36" s="649"/>
    </row>
    <row r="37" spans="2:8">
      <c r="B37"/>
      <c r="C37"/>
      <c r="D37"/>
      <c r="E37" s="649" t="s">
        <v>140</v>
      </c>
      <c r="F37" s="649"/>
      <c r="G37" s="649"/>
      <c r="H37" s="649"/>
    </row>
    <row r="38" spans="2:8">
      <c r="B38" s="8"/>
      <c r="C38"/>
      <c r="D38"/>
      <c r="E38" s="649"/>
      <c r="F38" s="649"/>
      <c r="G38" s="649"/>
      <c r="H38" s="649"/>
    </row>
    <row r="39" spans="2:8">
      <c r="B39"/>
      <c r="C39"/>
      <c r="D39"/>
      <c r="E39" s="649" t="s">
        <v>136</v>
      </c>
      <c r="F39" s="649"/>
      <c r="G39" s="649"/>
      <c r="H39" s="649"/>
    </row>
    <row r="40" spans="2:8">
      <c r="B40"/>
      <c r="C40"/>
      <c r="D40"/>
      <c r="E40" s="649" t="s">
        <v>141</v>
      </c>
      <c r="F40" s="649"/>
      <c r="G40" s="649"/>
      <c r="H40" s="649"/>
    </row>
    <row r="41" spans="2:8">
      <c r="B41" s="8"/>
      <c r="C41"/>
      <c r="D41"/>
      <c r="E41"/>
      <c r="F41"/>
      <c r="G41"/>
      <c r="H41"/>
    </row>
    <row r="42" spans="2:8">
      <c r="B42" s="10"/>
      <c r="C42"/>
      <c r="D42"/>
      <c r="E42"/>
      <c r="F42"/>
      <c r="G42"/>
      <c r="H42"/>
    </row>
    <row r="43" spans="2:8">
      <c r="C43"/>
      <c r="D43"/>
      <c r="E43"/>
      <c r="F43"/>
      <c r="G43"/>
      <c r="H43"/>
    </row>
    <row r="44" spans="2:8">
      <c r="B44" s="4"/>
      <c r="E44" s="13"/>
      <c r="F44" s="13"/>
      <c r="G44" s="13"/>
      <c r="H44" s="13"/>
    </row>
    <row r="45" spans="2:8">
      <c r="D45" s="14" t="s">
        <v>44</v>
      </c>
      <c r="E45" s="15"/>
      <c r="F45" s="13"/>
      <c r="G45" s="13"/>
      <c r="H45" s="13"/>
    </row>
    <row r="46" spans="2:8">
      <c r="B46" s="10" t="s">
        <v>137</v>
      </c>
      <c r="E46" s="650"/>
      <c r="F46" s="650"/>
      <c r="G46" s="650"/>
      <c r="H46" s="650"/>
    </row>
    <row r="47" spans="2:8">
      <c r="B47" s="3"/>
      <c r="E47" s="650"/>
      <c r="F47" s="650"/>
      <c r="G47" s="650"/>
      <c r="H47" s="650"/>
    </row>
    <row r="48" spans="2:8">
      <c r="E48" s="650"/>
      <c r="F48" s="650"/>
      <c r="G48" s="650"/>
      <c r="H48" s="650"/>
    </row>
    <row r="49" spans="2:8">
      <c r="E49" s="650"/>
      <c r="F49" s="650"/>
      <c r="G49" s="650"/>
      <c r="H49" s="650"/>
    </row>
    <row r="50" spans="2:8">
      <c r="B50" s="3"/>
      <c r="E50" s="650"/>
      <c r="F50" s="650"/>
      <c r="G50" s="650"/>
      <c r="H50" s="650"/>
    </row>
    <row r="51" spans="2:8">
      <c r="B51" s="5"/>
    </row>
    <row r="52" spans="2:8">
      <c r="B52" s="5"/>
    </row>
    <row r="53" spans="2:8">
      <c r="B53" s="5"/>
    </row>
  </sheetData>
  <mergeCells count="20">
    <mergeCell ref="E47:H47"/>
    <mergeCell ref="B5:H6"/>
    <mergeCell ref="E50:H50"/>
    <mergeCell ref="E46:H46"/>
    <mergeCell ref="E48:H48"/>
    <mergeCell ref="E49:H49"/>
    <mergeCell ref="B16:H17"/>
    <mergeCell ref="B23:H25"/>
    <mergeCell ref="B27:H28"/>
    <mergeCell ref="E40:H40"/>
    <mergeCell ref="B1:H1"/>
    <mergeCell ref="B3:H3"/>
    <mergeCell ref="B11:H14"/>
    <mergeCell ref="E39:H39"/>
    <mergeCell ref="E33:H33"/>
    <mergeCell ref="E34:H34"/>
    <mergeCell ref="E35:H35"/>
    <mergeCell ref="E36:H36"/>
    <mergeCell ref="E37:H37"/>
    <mergeCell ref="E38:H38"/>
  </mergeCells>
  <phoneticPr fontId="11" type="noConversion"/>
  <pageMargins left="0.75" right="0.75" top="1" bottom="1" header="0.5" footer="0.5"/>
  <pageSetup scale="77" orientation="portrait" blackAndWhite="1" r:id="rId1"/>
  <headerFooter alignWithMargins="0"/>
</worksheet>
</file>

<file path=xl/worksheets/sheet21.xml><?xml version="1.0" encoding="utf-8"?>
<worksheet xmlns="http://schemas.openxmlformats.org/spreadsheetml/2006/main" xmlns:r="http://schemas.openxmlformats.org/officeDocument/2006/relationships">
  <sheetPr>
    <tabColor rgb="FFFF0000"/>
  </sheetPr>
  <dimension ref="A3:L72"/>
  <sheetViews>
    <sheetView workbookViewId="0"/>
  </sheetViews>
  <sheetFormatPr defaultRowHeight="15"/>
  <cols>
    <col min="1" max="1" width="71.33203125" customWidth="1"/>
  </cols>
  <sheetData>
    <row r="3" spans="1:12">
      <c r="A3" s="373" t="s">
        <v>335</v>
      </c>
      <c r="B3" s="373"/>
      <c r="C3" s="373"/>
      <c r="D3" s="373"/>
      <c r="E3" s="373"/>
      <c r="F3" s="373"/>
      <c r="G3" s="373"/>
      <c r="H3" s="373"/>
      <c r="I3" s="373"/>
      <c r="J3" s="373"/>
      <c r="K3" s="373"/>
      <c r="L3" s="373"/>
    </row>
    <row r="5" spans="1:12">
      <c r="A5" s="374" t="s">
        <v>336</v>
      </c>
    </row>
    <row r="6" spans="1:12">
      <c r="A6" s="374" t="str">
        <f>CONCATENATE(inputPrYr!D6-2," 'total expenditures' exceed your ",inputPrYr!D6-2," 'budget authority.'")</f>
        <v>2011 'total expenditures' exceed your 2011 'budget authority.'</v>
      </c>
    </row>
    <row r="7" spans="1:12">
      <c r="A7" s="374"/>
    </row>
    <row r="8" spans="1:12">
      <c r="A8" s="374" t="s">
        <v>337</v>
      </c>
    </row>
    <row r="9" spans="1:12">
      <c r="A9" s="374" t="s">
        <v>338</v>
      </c>
    </row>
    <row r="10" spans="1:12">
      <c r="A10" s="374" t="s">
        <v>339</v>
      </c>
    </row>
    <row r="11" spans="1:12">
      <c r="A11" s="374"/>
    </row>
    <row r="12" spans="1:12">
      <c r="A12" s="374"/>
    </row>
    <row r="13" spans="1:12">
      <c r="A13" s="375" t="s">
        <v>340</v>
      </c>
    </row>
    <row r="15" spans="1:12">
      <c r="A15" s="374" t="s">
        <v>341</v>
      </c>
    </row>
    <row r="16" spans="1:12">
      <c r="A16" s="374" t="str">
        <f>CONCATENATE("(i.e. an audit has not been completed, or the ",inputPrYr!D6," adopted")</f>
        <v>(i.e. an audit has not been completed, or the 2013 adopted</v>
      </c>
    </row>
    <row r="17" spans="1:1">
      <c r="A17" s="374" t="s">
        <v>342</v>
      </c>
    </row>
    <row r="18" spans="1:1">
      <c r="A18" s="374" t="s">
        <v>343</v>
      </c>
    </row>
    <row r="19" spans="1:1">
      <c r="A19" s="374" t="s">
        <v>344</v>
      </c>
    </row>
    <row r="21" spans="1:1">
      <c r="A21" s="375" t="s">
        <v>345</v>
      </c>
    </row>
    <row r="22" spans="1:1">
      <c r="A22" s="375"/>
    </row>
    <row r="23" spans="1:1">
      <c r="A23" s="374" t="s">
        <v>346</v>
      </c>
    </row>
    <row r="24" spans="1:1">
      <c r="A24" s="374" t="s">
        <v>347</v>
      </c>
    </row>
    <row r="25" spans="1:1">
      <c r="A25" s="374" t="str">
        <f>CONCATENATE("particular fund.  If your ",inputPrYr!D6-2," budget was amended, did you")</f>
        <v>particular fund.  If your 2011 budget was amended, did you</v>
      </c>
    </row>
    <row r="26" spans="1:1">
      <c r="A26" s="374" t="s">
        <v>348</v>
      </c>
    </row>
    <row r="27" spans="1:1">
      <c r="A27" s="374"/>
    </row>
    <row r="28" spans="1:1">
      <c r="A28" s="374" t="str">
        <f>CONCATENATE("Next, look to see if any of your ",inputPrYr!D6-2," expenditures can be")</f>
        <v>Next, look to see if any of your 2011 expenditures can be</v>
      </c>
    </row>
    <row r="29" spans="1:1">
      <c r="A29" s="374" t="s">
        <v>349</v>
      </c>
    </row>
    <row r="30" spans="1:1">
      <c r="A30" s="374" t="s">
        <v>350</v>
      </c>
    </row>
    <row r="31" spans="1:1">
      <c r="A31" s="374" t="s">
        <v>351</v>
      </c>
    </row>
    <row r="32" spans="1:1">
      <c r="A32" s="374"/>
    </row>
    <row r="33" spans="1:1">
      <c r="A33" s="374" t="str">
        <f>CONCATENATE("Additionally, do your ",inputPrYr!D6-2," receipts contain a reimbursement")</f>
        <v>Additionally, do your 2011 receipts contain a reimbursement</v>
      </c>
    </row>
    <row r="34" spans="1:1">
      <c r="A34" s="374" t="s">
        <v>352</v>
      </c>
    </row>
    <row r="35" spans="1:1">
      <c r="A35" s="374" t="s">
        <v>353</v>
      </c>
    </row>
    <row r="36" spans="1:1">
      <c r="A36" s="374"/>
    </row>
    <row r="37" spans="1:1">
      <c r="A37" s="374" t="s">
        <v>357</v>
      </c>
    </row>
    <row r="38" spans="1:1">
      <c r="A38" s="374" t="s">
        <v>358</v>
      </c>
    </row>
    <row r="39" spans="1:1">
      <c r="A39" s="374" t="s">
        <v>359</v>
      </c>
    </row>
    <row r="40" spans="1:1">
      <c r="A40" s="374"/>
    </row>
    <row r="41" spans="1:1">
      <c r="A41" s="375" t="s">
        <v>360</v>
      </c>
    </row>
    <row r="42" spans="1:1">
      <c r="A42" s="374"/>
    </row>
    <row r="43" spans="1:1">
      <c r="A43" s="374" t="s">
        <v>361</v>
      </c>
    </row>
    <row r="44" spans="1:1">
      <c r="A44" s="374" t="s">
        <v>362</v>
      </c>
    </row>
    <row r="45" spans="1:1">
      <c r="A45" s="374" t="s">
        <v>363</v>
      </c>
    </row>
    <row r="46" spans="1:1">
      <c r="A46" s="374" t="s">
        <v>364</v>
      </c>
    </row>
    <row r="47" spans="1:1">
      <c r="A47" s="374" t="s">
        <v>365</v>
      </c>
    </row>
    <row r="48" spans="1:1">
      <c r="A48" s="374" t="s">
        <v>366</v>
      </c>
    </row>
    <row r="49" spans="1:1">
      <c r="A49" s="374" t="s">
        <v>367</v>
      </c>
    </row>
    <row r="50" spans="1:1">
      <c r="A50" s="374" t="s">
        <v>368</v>
      </c>
    </row>
    <row r="51" spans="1:1">
      <c r="A51" s="374" t="s">
        <v>369</v>
      </c>
    </row>
    <row r="52" spans="1:1">
      <c r="A52" s="374" t="s">
        <v>370</v>
      </c>
    </row>
    <row r="53" spans="1:1">
      <c r="A53" s="374" t="s">
        <v>371</v>
      </c>
    </row>
    <row r="54" spans="1:1">
      <c r="A54" s="374" t="s">
        <v>372</v>
      </c>
    </row>
    <row r="55" spans="1:1">
      <c r="A55" s="374" t="s">
        <v>373</v>
      </c>
    </row>
    <row r="56" spans="1:1">
      <c r="A56" s="374"/>
    </row>
    <row r="57" spans="1:1">
      <c r="A57" s="374" t="s">
        <v>374</v>
      </c>
    </row>
    <row r="58" spans="1:1">
      <c r="A58" s="374" t="s">
        <v>375</v>
      </c>
    </row>
    <row r="59" spans="1:1">
      <c r="A59" s="374" t="s">
        <v>376</v>
      </c>
    </row>
    <row r="60" spans="1:1">
      <c r="A60" s="374"/>
    </row>
    <row r="61" spans="1:1">
      <c r="A61" s="375" t="str">
        <f>CONCATENATE("What if the ",inputPrYr!D6-2," financial records have been closed?")</f>
        <v>What if the 2011 financial records have been closed?</v>
      </c>
    </row>
    <row r="63" spans="1:1">
      <c r="A63" s="374" t="s">
        <v>377</v>
      </c>
    </row>
    <row r="64" spans="1:1">
      <c r="A64" s="374" t="str">
        <f>CONCATENATE("(i.e. an audit for ",inputPrYr!D6-2," has been completed, or the ",inputPrYr!D6)</f>
        <v>(i.e. an audit for 2011 has been completed, or the 2013</v>
      </c>
    </row>
    <row r="65" spans="1:1">
      <c r="A65" s="374" t="s">
        <v>378</v>
      </c>
    </row>
    <row r="66" spans="1:1">
      <c r="A66" s="374" t="s">
        <v>379</v>
      </c>
    </row>
    <row r="67" spans="1:1">
      <c r="A67" s="374"/>
    </row>
    <row r="68" spans="1:1">
      <c r="A68" s="374" t="s">
        <v>380</v>
      </c>
    </row>
    <row r="69" spans="1:1">
      <c r="A69" s="374" t="s">
        <v>381</v>
      </c>
    </row>
    <row r="70" spans="1:1">
      <c r="A70" s="374" t="s">
        <v>382</v>
      </c>
    </row>
    <row r="71" spans="1:1">
      <c r="A71" s="374"/>
    </row>
    <row r="72" spans="1:1">
      <c r="A72" s="374" t="s">
        <v>383</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sheetPr>
    <tabColor rgb="FFFF0000"/>
  </sheetPr>
  <dimension ref="A3:J109"/>
  <sheetViews>
    <sheetView workbookViewId="0"/>
  </sheetViews>
  <sheetFormatPr defaultRowHeight="15"/>
  <cols>
    <col min="1" max="1" width="71.33203125" customWidth="1"/>
  </cols>
  <sheetData>
    <row r="3" spans="1:10">
      <c r="A3" s="373" t="s">
        <v>384</v>
      </c>
      <c r="B3" s="373"/>
      <c r="C3" s="373"/>
      <c r="D3" s="373"/>
      <c r="E3" s="373"/>
      <c r="F3" s="373"/>
      <c r="G3" s="373"/>
      <c r="H3" s="376"/>
      <c r="I3" s="376"/>
      <c r="J3" s="376"/>
    </row>
    <row r="5" spans="1:10">
      <c r="A5" s="374" t="s">
        <v>385</v>
      </c>
    </row>
    <row r="6" spans="1:10">
      <c r="A6" t="str">
        <f>CONCATENATE(inputPrYr!D6-2," expenditures show that you finished the year with a ")</f>
        <v xml:space="preserve">2011 expenditures show that you finished the year with a </v>
      </c>
    </row>
    <row r="7" spans="1:10">
      <c r="A7" t="s">
        <v>386</v>
      </c>
    </row>
    <row r="9" spans="1:10">
      <c r="A9" t="s">
        <v>387</v>
      </c>
    </row>
    <row r="10" spans="1:10">
      <c r="A10" t="s">
        <v>388</v>
      </c>
    </row>
    <row r="11" spans="1:10">
      <c r="A11" t="s">
        <v>389</v>
      </c>
    </row>
    <row r="13" spans="1:10">
      <c r="A13" s="375" t="s">
        <v>390</v>
      </c>
    </row>
    <row r="14" spans="1:10">
      <c r="A14" s="375"/>
    </row>
    <row r="15" spans="1:10">
      <c r="A15" s="374" t="s">
        <v>391</v>
      </c>
    </row>
    <row r="16" spans="1:10">
      <c r="A16" s="374" t="s">
        <v>392</v>
      </c>
    </row>
    <row r="17" spans="1:1">
      <c r="A17" s="374" t="s">
        <v>393</v>
      </c>
    </row>
    <row r="18" spans="1:1">
      <c r="A18" s="374"/>
    </row>
    <row r="19" spans="1:1">
      <c r="A19" s="375" t="s">
        <v>394</v>
      </c>
    </row>
    <row r="20" spans="1:1">
      <c r="A20" s="375"/>
    </row>
    <row r="21" spans="1:1">
      <c r="A21" s="374" t="s">
        <v>395</v>
      </c>
    </row>
    <row r="22" spans="1:1">
      <c r="A22" s="374" t="s">
        <v>396</v>
      </c>
    </row>
    <row r="23" spans="1:1">
      <c r="A23" s="374" t="s">
        <v>397</v>
      </c>
    </row>
    <row r="24" spans="1:1">
      <c r="A24" s="374"/>
    </row>
    <row r="25" spans="1:1">
      <c r="A25" s="375" t="s">
        <v>398</v>
      </c>
    </row>
    <row r="26" spans="1:1">
      <c r="A26" s="375"/>
    </row>
    <row r="27" spans="1:1">
      <c r="A27" s="374" t="s">
        <v>399</v>
      </c>
    </row>
    <row r="28" spans="1:1">
      <c r="A28" s="374" t="s">
        <v>400</v>
      </c>
    </row>
    <row r="29" spans="1:1">
      <c r="A29" s="374" t="s">
        <v>401</v>
      </c>
    </row>
    <row r="30" spans="1:1">
      <c r="A30" s="374"/>
    </row>
    <row r="31" spans="1:1">
      <c r="A31" s="375" t="s">
        <v>402</v>
      </c>
    </row>
    <row r="32" spans="1:1">
      <c r="A32" s="375"/>
    </row>
    <row r="33" spans="1:8">
      <c r="A33" s="374" t="str">
        <f>CONCATENATE("If your financial records for ",inputPrYr!D6-2," are not closed")</f>
        <v>If your financial records for 2011 are not closed</v>
      </c>
      <c r="B33" s="374"/>
      <c r="C33" s="374"/>
      <c r="D33" s="374"/>
      <c r="E33" s="374"/>
      <c r="F33" s="374"/>
      <c r="G33" s="374"/>
      <c r="H33" s="374"/>
    </row>
    <row r="34" spans="1:8">
      <c r="A34" s="374" t="str">
        <f>CONCATENATE("(i.e. an audit has not been completed, or the ",inputPrYr!D6," adopted ")</f>
        <v xml:space="preserve">(i.e. an audit has not been completed, or the 2013 adopted </v>
      </c>
      <c r="B34" s="374"/>
      <c r="C34" s="374"/>
      <c r="D34" s="374"/>
      <c r="E34" s="374"/>
      <c r="F34" s="374"/>
      <c r="G34" s="374"/>
      <c r="H34" s="374"/>
    </row>
    <row r="35" spans="1:8">
      <c r="A35" s="374" t="s">
        <v>403</v>
      </c>
      <c r="B35" s="374"/>
      <c r="C35" s="374"/>
      <c r="D35" s="374"/>
      <c r="E35" s="374"/>
      <c r="F35" s="374"/>
      <c r="G35" s="374"/>
      <c r="H35" s="374"/>
    </row>
    <row r="36" spans="1:8">
      <c r="A36" s="374" t="s">
        <v>404</v>
      </c>
      <c r="B36" s="374"/>
      <c r="C36" s="374"/>
      <c r="D36" s="374"/>
      <c r="E36" s="374"/>
      <c r="F36" s="374"/>
      <c r="G36" s="374"/>
      <c r="H36" s="374"/>
    </row>
    <row r="37" spans="1:8">
      <c r="A37" s="374" t="s">
        <v>405</v>
      </c>
      <c r="B37" s="374"/>
      <c r="C37" s="374"/>
      <c r="D37" s="374"/>
      <c r="E37" s="374"/>
      <c r="F37" s="374"/>
      <c r="G37" s="374"/>
      <c r="H37" s="374"/>
    </row>
    <row r="38" spans="1:8">
      <c r="A38" s="374" t="s">
        <v>406</v>
      </c>
      <c r="B38" s="374"/>
      <c r="C38" s="374"/>
      <c r="D38" s="374"/>
      <c r="E38" s="374"/>
      <c r="F38" s="374"/>
      <c r="G38" s="374"/>
      <c r="H38" s="374"/>
    </row>
    <row r="39" spans="1:8">
      <c r="A39" s="374" t="s">
        <v>407</v>
      </c>
      <c r="B39" s="374"/>
      <c r="C39" s="374"/>
      <c r="D39" s="374"/>
      <c r="E39" s="374"/>
      <c r="F39" s="374"/>
      <c r="G39" s="374"/>
      <c r="H39" s="374"/>
    </row>
    <row r="40" spans="1:8">
      <c r="A40" s="374"/>
      <c r="B40" s="374"/>
      <c r="C40" s="374"/>
      <c r="D40" s="374"/>
      <c r="E40" s="374"/>
      <c r="F40" s="374"/>
      <c r="G40" s="374"/>
      <c r="H40" s="374"/>
    </row>
    <row r="41" spans="1:8">
      <c r="A41" s="374" t="s">
        <v>408</v>
      </c>
      <c r="B41" s="374"/>
      <c r="C41" s="374"/>
      <c r="D41" s="374"/>
      <c r="E41" s="374"/>
      <c r="F41" s="374"/>
      <c r="G41" s="374"/>
      <c r="H41" s="374"/>
    </row>
    <row r="42" spans="1:8">
      <c r="A42" s="374" t="s">
        <v>409</v>
      </c>
      <c r="B42" s="374"/>
      <c r="C42" s="374"/>
      <c r="D42" s="374"/>
      <c r="E42" s="374"/>
      <c r="F42" s="374"/>
      <c r="G42" s="374"/>
      <c r="H42" s="374"/>
    </row>
    <row r="43" spans="1:8">
      <c r="A43" s="374" t="s">
        <v>410</v>
      </c>
      <c r="B43" s="374"/>
      <c r="C43" s="374"/>
      <c r="D43" s="374"/>
      <c r="E43" s="374"/>
      <c r="F43" s="374"/>
      <c r="G43" s="374"/>
      <c r="H43" s="374"/>
    </row>
    <row r="44" spans="1:8">
      <c r="A44" s="374" t="s">
        <v>411</v>
      </c>
      <c r="B44" s="374"/>
      <c r="C44" s="374"/>
      <c r="D44" s="374"/>
      <c r="E44" s="374"/>
      <c r="F44" s="374"/>
      <c r="G44" s="374"/>
      <c r="H44" s="374"/>
    </row>
    <row r="45" spans="1:8">
      <c r="A45" s="374"/>
      <c r="B45" s="374"/>
      <c r="C45" s="374"/>
      <c r="D45" s="374"/>
      <c r="E45" s="374"/>
      <c r="F45" s="374"/>
      <c r="G45" s="374"/>
      <c r="H45" s="374"/>
    </row>
    <row r="46" spans="1:8">
      <c r="A46" s="374" t="s">
        <v>412</v>
      </c>
      <c r="B46" s="374"/>
      <c r="C46" s="374"/>
      <c r="D46" s="374"/>
      <c r="E46" s="374"/>
      <c r="F46" s="374"/>
      <c r="G46" s="374"/>
      <c r="H46" s="374"/>
    </row>
    <row r="47" spans="1:8">
      <c r="A47" s="374" t="s">
        <v>413</v>
      </c>
      <c r="B47" s="374"/>
      <c r="C47" s="374"/>
      <c r="D47" s="374"/>
      <c r="E47" s="374"/>
      <c r="F47" s="374"/>
      <c r="G47" s="374"/>
      <c r="H47" s="374"/>
    </row>
    <row r="48" spans="1:8">
      <c r="A48" s="374" t="s">
        <v>414</v>
      </c>
      <c r="B48" s="374"/>
      <c r="C48" s="374"/>
      <c r="D48" s="374"/>
      <c r="E48" s="374"/>
      <c r="F48" s="374"/>
      <c r="G48" s="374"/>
      <c r="H48" s="374"/>
    </row>
    <row r="49" spans="1:8">
      <c r="A49" s="374" t="s">
        <v>415</v>
      </c>
      <c r="B49" s="374"/>
      <c r="C49" s="374"/>
      <c r="D49" s="374"/>
      <c r="E49" s="374"/>
      <c r="F49" s="374"/>
      <c r="G49" s="374"/>
      <c r="H49" s="374"/>
    </row>
    <row r="50" spans="1:8">
      <c r="A50" s="374" t="s">
        <v>416</v>
      </c>
      <c r="B50" s="374"/>
      <c r="C50" s="374"/>
      <c r="D50" s="374"/>
      <c r="E50" s="374"/>
      <c r="F50" s="374"/>
      <c r="G50" s="374"/>
      <c r="H50" s="374"/>
    </row>
    <row r="51" spans="1:8">
      <c r="A51" s="374"/>
      <c r="B51" s="374"/>
      <c r="C51" s="374"/>
      <c r="D51" s="374"/>
      <c r="E51" s="374"/>
      <c r="F51" s="374"/>
      <c r="G51" s="374"/>
      <c r="H51" s="374"/>
    </row>
    <row r="52" spans="1:8">
      <c r="A52" s="375" t="s">
        <v>417</v>
      </c>
      <c r="B52" s="375"/>
      <c r="C52" s="375"/>
      <c r="D52" s="375"/>
      <c r="E52" s="375"/>
      <c r="F52" s="375"/>
      <c r="G52" s="375"/>
      <c r="H52" s="374"/>
    </row>
    <row r="53" spans="1:8">
      <c r="A53" s="375" t="s">
        <v>418</v>
      </c>
      <c r="B53" s="375"/>
      <c r="C53" s="375"/>
      <c r="D53" s="375"/>
      <c r="E53" s="375"/>
      <c r="F53" s="375"/>
      <c r="G53" s="375"/>
      <c r="H53" s="374"/>
    </row>
    <row r="54" spans="1:8">
      <c r="A54" s="374"/>
      <c r="B54" s="374"/>
      <c r="C54" s="374"/>
      <c r="D54" s="374"/>
      <c r="E54" s="374"/>
      <c r="F54" s="374"/>
      <c r="G54" s="374"/>
      <c r="H54" s="374"/>
    </row>
    <row r="55" spans="1:8">
      <c r="A55" s="374" t="s">
        <v>419</v>
      </c>
      <c r="B55" s="374"/>
      <c r="C55" s="374"/>
      <c r="D55" s="374"/>
      <c r="E55" s="374"/>
      <c r="F55" s="374"/>
      <c r="G55" s="374"/>
      <c r="H55" s="374"/>
    </row>
    <row r="56" spans="1:8">
      <c r="A56" s="374" t="s">
        <v>420</v>
      </c>
      <c r="B56" s="374"/>
      <c r="C56" s="374"/>
      <c r="D56" s="374"/>
      <c r="E56" s="374"/>
      <c r="F56" s="374"/>
      <c r="G56" s="374"/>
      <c r="H56" s="374"/>
    </row>
    <row r="57" spans="1:8">
      <c r="A57" s="374" t="s">
        <v>421</v>
      </c>
      <c r="B57" s="374"/>
      <c r="C57" s="374"/>
      <c r="D57" s="374"/>
      <c r="E57" s="374"/>
      <c r="F57" s="374"/>
      <c r="G57" s="374"/>
      <c r="H57" s="374"/>
    </row>
    <row r="58" spans="1:8">
      <c r="A58" s="374" t="s">
        <v>422</v>
      </c>
      <c r="B58" s="374"/>
      <c r="C58" s="374"/>
      <c r="D58" s="374"/>
      <c r="E58" s="374"/>
      <c r="F58" s="374"/>
      <c r="G58" s="374"/>
      <c r="H58" s="374"/>
    </row>
    <row r="59" spans="1:8">
      <c r="A59" s="374"/>
      <c r="B59" s="374"/>
      <c r="C59" s="374"/>
      <c r="D59" s="374"/>
      <c r="E59" s="374"/>
      <c r="F59" s="374"/>
      <c r="G59" s="374"/>
      <c r="H59" s="374"/>
    </row>
    <row r="60" spans="1:8">
      <c r="A60" s="374" t="s">
        <v>423</v>
      </c>
      <c r="B60" s="374"/>
      <c r="C60" s="374"/>
      <c r="D60" s="374"/>
      <c r="E60" s="374"/>
      <c r="F60" s="374"/>
      <c r="G60" s="374"/>
      <c r="H60" s="374"/>
    </row>
    <row r="61" spans="1:8">
      <c r="A61" s="374" t="s">
        <v>424</v>
      </c>
      <c r="B61" s="374"/>
      <c r="C61" s="374"/>
      <c r="D61" s="374"/>
      <c r="E61" s="374"/>
      <c r="F61" s="374"/>
      <c r="G61" s="374"/>
      <c r="H61" s="374"/>
    </row>
    <row r="62" spans="1:8">
      <c r="A62" s="374" t="s">
        <v>425</v>
      </c>
      <c r="B62" s="374"/>
      <c r="C62" s="374"/>
      <c r="D62" s="374"/>
      <c r="E62" s="374"/>
      <c r="F62" s="374"/>
      <c r="G62" s="374"/>
      <c r="H62" s="374"/>
    </row>
    <row r="63" spans="1:8">
      <c r="A63" s="374" t="s">
        <v>426</v>
      </c>
      <c r="B63" s="374"/>
      <c r="C63" s="374"/>
      <c r="D63" s="374"/>
      <c r="E63" s="374"/>
      <c r="F63" s="374"/>
      <c r="G63" s="374"/>
      <c r="H63" s="374"/>
    </row>
    <row r="64" spans="1:8">
      <c r="A64" s="374" t="s">
        <v>427</v>
      </c>
      <c r="B64" s="374"/>
      <c r="C64" s="374"/>
      <c r="D64" s="374"/>
      <c r="E64" s="374"/>
      <c r="F64" s="374"/>
      <c r="G64" s="374"/>
      <c r="H64" s="374"/>
    </row>
    <row r="65" spans="1:8">
      <c r="A65" s="374" t="s">
        <v>428</v>
      </c>
      <c r="B65" s="374"/>
      <c r="C65" s="374"/>
      <c r="D65" s="374"/>
      <c r="E65" s="374"/>
      <c r="F65" s="374"/>
      <c r="G65" s="374"/>
      <c r="H65" s="374"/>
    </row>
    <row r="66" spans="1:8">
      <c r="A66" s="374"/>
      <c r="B66" s="374"/>
      <c r="C66" s="374"/>
      <c r="D66" s="374"/>
      <c r="E66" s="374"/>
      <c r="F66" s="374"/>
      <c r="G66" s="374"/>
      <c r="H66" s="374"/>
    </row>
    <row r="67" spans="1:8">
      <c r="A67" s="374" t="s">
        <v>429</v>
      </c>
      <c r="B67" s="374"/>
      <c r="C67" s="374"/>
      <c r="D67" s="374"/>
      <c r="E67" s="374"/>
      <c r="F67" s="374"/>
      <c r="G67" s="374"/>
      <c r="H67" s="374"/>
    </row>
    <row r="68" spans="1:8">
      <c r="A68" s="374" t="s">
        <v>430</v>
      </c>
      <c r="B68" s="374"/>
      <c r="C68" s="374"/>
      <c r="D68" s="374"/>
      <c r="E68" s="374"/>
      <c r="F68" s="374"/>
      <c r="G68" s="374"/>
      <c r="H68" s="374"/>
    </row>
    <row r="69" spans="1:8">
      <c r="A69" s="374" t="s">
        <v>431</v>
      </c>
      <c r="B69" s="374"/>
      <c r="C69" s="374"/>
      <c r="D69" s="374"/>
      <c r="E69" s="374"/>
      <c r="F69" s="374"/>
      <c r="G69" s="374"/>
      <c r="H69" s="374"/>
    </row>
    <row r="70" spans="1:8">
      <c r="A70" s="374" t="s">
        <v>432</v>
      </c>
      <c r="B70" s="374"/>
      <c r="C70" s="374"/>
      <c r="D70" s="374"/>
      <c r="E70" s="374"/>
      <c r="F70" s="374"/>
      <c r="G70" s="374"/>
      <c r="H70" s="374"/>
    </row>
    <row r="71" spans="1:8">
      <c r="A71" s="374" t="s">
        <v>433</v>
      </c>
      <c r="B71" s="374"/>
      <c r="C71" s="374"/>
      <c r="D71" s="374"/>
      <c r="E71" s="374"/>
      <c r="F71" s="374"/>
      <c r="G71" s="374"/>
      <c r="H71" s="374"/>
    </row>
    <row r="72" spans="1:8">
      <c r="A72" s="374" t="s">
        <v>434</v>
      </c>
      <c r="B72" s="374"/>
      <c r="C72" s="374"/>
      <c r="D72" s="374"/>
      <c r="E72" s="374"/>
      <c r="F72" s="374"/>
      <c r="G72" s="374"/>
      <c r="H72" s="374"/>
    </row>
    <row r="73" spans="1:8">
      <c r="A73" s="374" t="s">
        <v>435</v>
      </c>
      <c r="B73" s="374"/>
      <c r="C73" s="374"/>
      <c r="D73" s="374"/>
      <c r="E73" s="374"/>
      <c r="F73" s="374"/>
      <c r="G73" s="374"/>
      <c r="H73" s="374"/>
    </row>
    <row r="74" spans="1:8">
      <c r="A74" s="374"/>
      <c r="B74" s="374"/>
      <c r="C74" s="374"/>
      <c r="D74" s="374"/>
      <c r="E74" s="374"/>
      <c r="F74" s="374"/>
      <c r="G74" s="374"/>
      <c r="H74" s="374"/>
    </row>
    <row r="75" spans="1:8">
      <c r="A75" s="374" t="s">
        <v>436</v>
      </c>
      <c r="B75" s="374"/>
      <c r="C75" s="374"/>
      <c r="D75" s="374"/>
      <c r="E75" s="374"/>
      <c r="F75" s="374"/>
      <c r="G75" s="374"/>
      <c r="H75" s="374"/>
    </row>
    <row r="76" spans="1:8">
      <c r="A76" s="374" t="s">
        <v>437</v>
      </c>
      <c r="B76" s="374"/>
      <c r="C76" s="374"/>
      <c r="D76" s="374"/>
      <c r="E76" s="374"/>
      <c r="F76" s="374"/>
      <c r="G76" s="374"/>
      <c r="H76" s="374"/>
    </row>
    <row r="77" spans="1:8">
      <c r="A77" s="374" t="s">
        <v>438</v>
      </c>
      <c r="B77" s="374"/>
      <c r="C77" s="374"/>
      <c r="D77" s="374"/>
      <c r="E77" s="374"/>
      <c r="F77" s="374"/>
      <c r="G77" s="374"/>
      <c r="H77" s="374"/>
    </row>
    <row r="78" spans="1:8">
      <c r="A78" s="374"/>
      <c r="B78" s="374"/>
      <c r="C78" s="374"/>
      <c r="D78" s="374"/>
      <c r="E78" s="374"/>
      <c r="F78" s="374"/>
      <c r="G78" s="374"/>
      <c r="H78" s="374"/>
    </row>
    <row r="79" spans="1:8">
      <c r="A79" s="374" t="s">
        <v>383</v>
      </c>
    </row>
    <row r="80" spans="1:8">
      <c r="A80" s="375"/>
    </row>
    <row r="81" spans="1:1">
      <c r="A81" s="374"/>
    </row>
    <row r="82" spans="1:1">
      <c r="A82" s="374"/>
    </row>
    <row r="83" spans="1:1">
      <c r="A83" s="374"/>
    </row>
    <row r="84" spans="1:1">
      <c r="A84" s="374"/>
    </row>
    <row r="85" spans="1:1">
      <c r="A85" s="374"/>
    </row>
    <row r="86" spans="1:1">
      <c r="A86" s="374"/>
    </row>
    <row r="87" spans="1:1">
      <c r="A87" s="374"/>
    </row>
    <row r="88" spans="1:1">
      <c r="A88" s="374"/>
    </row>
    <row r="89" spans="1:1">
      <c r="A89" s="374"/>
    </row>
    <row r="90" spans="1:1">
      <c r="A90" s="374"/>
    </row>
    <row r="91" spans="1:1">
      <c r="A91" s="374"/>
    </row>
    <row r="92" spans="1:1">
      <c r="A92" s="374"/>
    </row>
    <row r="93" spans="1:1">
      <c r="A93" s="374"/>
    </row>
    <row r="94" spans="1:1">
      <c r="A94" s="374"/>
    </row>
    <row r="95" spans="1:1">
      <c r="A95" s="374"/>
    </row>
    <row r="96" spans="1:1">
      <c r="A96" s="374"/>
    </row>
    <row r="97" spans="1:1">
      <c r="A97" s="374"/>
    </row>
    <row r="98" spans="1:1">
      <c r="A98" s="374"/>
    </row>
    <row r="99" spans="1:1">
      <c r="A99" s="374"/>
    </row>
    <row r="100" spans="1:1">
      <c r="A100" s="374"/>
    </row>
    <row r="101" spans="1:1">
      <c r="A101" s="374"/>
    </row>
    <row r="103" spans="1:1">
      <c r="A103" s="374"/>
    </row>
    <row r="104" spans="1:1">
      <c r="A104" s="374"/>
    </row>
    <row r="105" spans="1:1">
      <c r="A105" s="374"/>
    </row>
    <row r="107" spans="1:1">
      <c r="A107" s="375"/>
    </row>
    <row r="108" spans="1:1">
      <c r="A108" s="375"/>
    </row>
    <row r="109" spans="1:1">
      <c r="A109" s="375"/>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sheetPr>
    <tabColor rgb="FFFF0000"/>
  </sheetPr>
  <dimension ref="A3:L62"/>
  <sheetViews>
    <sheetView workbookViewId="0"/>
  </sheetViews>
  <sheetFormatPr defaultRowHeight="15"/>
  <cols>
    <col min="1" max="1" width="71.33203125" customWidth="1"/>
  </cols>
  <sheetData>
    <row r="3" spans="1:12">
      <c r="A3" s="373" t="s">
        <v>439</v>
      </c>
      <c r="B3" s="373"/>
      <c r="C3" s="373"/>
      <c r="D3" s="373"/>
      <c r="E3" s="373"/>
      <c r="F3" s="373"/>
      <c r="G3" s="373"/>
      <c r="H3" s="373"/>
      <c r="I3" s="373"/>
      <c r="J3" s="373"/>
      <c r="K3" s="373"/>
      <c r="L3" s="373"/>
    </row>
    <row r="4" spans="1:12">
      <c r="A4" s="373"/>
      <c r="B4" s="373"/>
      <c r="C4" s="373"/>
      <c r="D4" s="373"/>
      <c r="E4" s="373"/>
      <c r="F4" s="373"/>
      <c r="G4" s="373"/>
      <c r="H4" s="373"/>
      <c r="I4" s="373"/>
      <c r="J4" s="373"/>
      <c r="K4" s="373"/>
      <c r="L4" s="373"/>
    </row>
    <row r="5" spans="1:12">
      <c r="A5" s="374" t="s">
        <v>336</v>
      </c>
      <c r="I5" s="373"/>
      <c r="J5" s="373"/>
      <c r="K5" s="373"/>
      <c r="L5" s="373"/>
    </row>
    <row r="6" spans="1:12">
      <c r="A6" s="374" t="str">
        <f>CONCATENATE("estimated ",inputPrYr!D6-1," 'total expenditures' exceed your ",inputPrYr!D6-1,"")</f>
        <v>estimated 2012 'total expenditures' exceed your 2012</v>
      </c>
      <c r="I6" s="373"/>
      <c r="J6" s="373"/>
      <c r="K6" s="373"/>
      <c r="L6" s="373"/>
    </row>
    <row r="7" spans="1:12">
      <c r="A7" s="377" t="s">
        <v>440</v>
      </c>
      <c r="I7" s="373"/>
      <c r="J7" s="373"/>
      <c r="K7" s="373"/>
      <c r="L7" s="373"/>
    </row>
    <row r="8" spans="1:12">
      <c r="A8" s="374"/>
      <c r="I8" s="373"/>
      <c r="J8" s="373"/>
      <c r="K8" s="373"/>
      <c r="L8" s="373"/>
    </row>
    <row r="9" spans="1:12">
      <c r="A9" s="374" t="s">
        <v>441</v>
      </c>
      <c r="I9" s="373"/>
      <c r="J9" s="373"/>
      <c r="K9" s="373"/>
      <c r="L9" s="373"/>
    </row>
    <row r="10" spans="1:12">
      <c r="A10" s="374" t="s">
        <v>442</v>
      </c>
      <c r="I10" s="373"/>
      <c r="J10" s="373"/>
      <c r="K10" s="373"/>
      <c r="L10" s="373"/>
    </row>
    <row r="11" spans="1:12">
      <c r="A11" s="374" t="s">
        <v>443</v>
      </c>
      <c r="I11" s="373"/>
      <c r="J11" s="373"/>
      <c r="K11" s="373"/>
      <c r="L11" s="373"/>
    </row>
    <row r="12" spans="1:12">
      <c r="A12" s="374" t="s">
        <v>444</v>
      </c>
      <c r="I12" s="373"/>
      <c r="J12" s="373"/>
      <c r="K12" s="373"/>
      <c r="L12" s="373"/>
    </row>
    <row r="13" spans="1:12">
      <c r="A13" s="374" t="s">
        <v>445</v>
      </c>
      <c r="I13" s="373"/>
      <c r="J13" s="373"/>
      <c r="K13" s="373"/>
      <c r="L13" s="373"/>
    </row>
    <row r="14" spans="1:12">
      <c r="A14" s="373"/>
      <c r="B14" s="373"/>
      <c r="C14" s="373"/>
      <c r="D14" s="373"/>
      <c r="E14" s="373"/>
      <c r="F14" s="373"/>
      <c r="G14" s="373"/>
      <c r="H14" s="373"/>
      <c r="I14" s="373"/>
      <c r="J14" s="373"/>
      <c r="K14" s="373"/>
      <c r="L14" s="373"/>
    </row>
    <row r="15" spans="1:12">
      <c r="A15" s="375" t="s">
        <v>446</v>
      </c>
    </row>
    <row r="16" spans="1:12">
      <c r="A16" s="375" t="s">
        <v>447</v>
      </c>
    </row>
    <row r="17" spans="1:7">
      <c r="A17" s="375"/>
    </row>
    <row r="18" spans="1:7">
      <c r="A18" s="374" t="s">
        <v>448</v>
      </c>
      <c r="B18" s="374"/>
      <c r="C18" s="374"/>
      <c r="D18" s="374"/>
      <c r="E18" s="374"/>
      <c r="F18" s="374"/>
      <c r="G18" s="374"/>
    </row>
    <row r="19" spans="1:7">
      <c r="A19" s="374" t="str">
        <f>CONCATENATE("your ",inputPrYr!D6-1," numbers to see what steps might be necessary to")</f>
        <v>your 2012 numbers to see what steps might be necessary to</v>
      </c>
      <c r="B19" s="374"/>
      <c r="C19" s="374"/>
      <c r="D19" s="374"/>
      <c r="E19" s="374"/>
      <c r="F19" s="374"/>
      <c r="G19" s="374"/>
    </row>
    <row r="20" spans="1:7">
      <c r="A20" s="374" t="s">
        <v>449</v>
      </c>
      <c r="B20" s="374"/>
      <c r="C20" s="374"/>
      <c r="D20" s="374"/>
      <c r="E20" s="374"/>
      <c r="F20" s="374"/>
      <c r="G20" s="374"/>
    </row>
    <row r="21" spans="1:7">
      <c r="A21" s="374" t="s">
        <v>450</v>
      </c>
      <c r="B21" s="374"/>
      <c r="C21" s="374"/>
      <c r="D21" s="374"/>
      <c r="E21" s="374"/>
      <c r="F21" s="374"/>
      <c r="G21" s="374"/>
    </row>
    <row r="22" spans="1:7">
      <c r="A22" s="374"/>
    </row>
    <row r="23" spans="1:7">
      <c r="A23" s="375" t="s">
        <v>451</v>
      </c>
    </row>
    <row r="24" spans="1:7">
      <c r="A24" s="375"/>
    </row>
    <row r="25" spans="1:7">
      <c r="A25" s="374" t="s">
        <v>452</v>
      </c>
    </row>
    <row r="26" spans="1:7">
      <c r="A26" s="374" t="s">
        <v>453</v>
      </c>
      <c r="B26" s="374"/>
      <c r="C26" s="374"/>
      <c r="D26" s="374"/>
      <c r="E26" s="374"/>
      <c r="F26" s="374"/>
    </row>
    <row r="27" spans="1:7">
      <c r="A27" s="374" t="s">
        <v>454</v>
      </c>
      <c r="B27" s="374"/>
      <c r="C27" s="374"/>
      <c r="D27" s="374"/>
      <c r="E27" s="374"/>
      <c r="F27" s="374"/>
    </row>
    <row r="28" spans="1:7">
      <c r="A28" s="374" t="s">
        <v>455</v>
      </c>
      <c r="B28" s="374"/>
      <c r="C28" s="374"/>
      <c r="D28" s="374"/>
      <c r="E28" s="374"/>
      <c r="F28" s="374"/>
    </row>
    <row r="29" spans="1:7">
      <c r="A29" s="374"/>
      <c r="B29" s="374"/>
      <c r="C29" s="374"/>
      <c r="D29" s="374"/>
      <c r="E29" s="374"/>
      <c r="F29" s="374"/>
    </row>
    <row r="30" spans="1:7">
      <c r="A30" s="375" t="s">
        <v>456</v>
      </c>
      <c r="B30" s="375"/>
      <c r="C30" s="375"/>
      <c r="D30" s="375"/>
      <c r="E30" s="375"/>
      <c r="F30" s="375"/>
      <c r="G30" s="375"/>
    </row>
    <row r="31" spans="1:7">
      <c r="A31" s="375" t="s">
        <v>457</v>
      </c>
      <c r="B31" s="375"/>
      <c r="C31" s="375"/>
      <c r="D31" s="375"/>
      <c r="E31" s="375"/>
      <c r="F31" s="375"/>
      <c r="G31" s="375"/>
    </row>
    <row r="32" spans="1:7">
      <c r="A32" s="374"/>
      <c r="B32" s="374"/>
      <c r="C32" s="374"/>
      <c r="D32" s="374"/>
      <c r="E32" s="374"/>
      <c r="F32" s="374"/>
    </row>
    <row r="33" spans="1:6">
      <c r="A33" s="366" t="str">
        <f>CONCATENATE("Well, let's look to see if any of your ",inputPrYr!D6-1," expenditures can")</f>
        <v>Well, let's look to see if any of your 2012 expenditures can</v>
      </c>
      <c r="B33" s="374"/>
      <c r="C33" s="374"/>
      <c r="D33" s="374"/>
      <c r="E33" s="374"/>
      <c r="F33" s="374"/>
    </row>
    <row r="34" spans="1:6">
      <c r="A34" s="366" t="s">
        <v>458</v>
      </c>
      <c r="B34" s="374"/>
      <c r="C34" s="374"/>
      <c r="D34" s="374"/>
      <c r="E34" s="374"/>
      <c r="F34" s="374"/>
    </row>
    <row r="35" spans="1:6">
      <c r="A35" s="366" t="s">
        <v>350</v>
      </c>
      <c r="B35" s="374"/>
      <c r="C35" s="374"/>
      <c r="D35" s="374"/>
      <c r="E35" s="374"/>
      <c r="F35" s="374"/>
    </row>
    <row r="36" spans="1:6">
      <c r="A36" s="366" t="s">
        <v>351</v>
      </c>
      <c r="B36" s="374"/>
      <c r="C36" s="374"/>
      <c r="D36" s="374"/>
      <c r="E36" s="374"/>
      <c r="F36" s="374"/>
    </row>
    <row r="37" spans="1:6">
      <c r="A37" s="366"/>
      <c r="B37" s="374"/>
      <c r="C37" s="374"/>
      <c r="D37" s="374"/>
      <c r="E37" s="374"/>
      <c r="F37" s="374"/>
    </row>
    <row r="38" spans="1:6">
      <c r="A38" s="366" t="str">
        <f>CONCATENATE("Additionally, do your ",inputPrYr!D6-1," receipts contain a reimbursement")</f>
        <v>Additionally, do your 2012 receipts contain a reimbursement</v>
      </c>
      <c r="B38" s="374"/>
      <c r="C38" s="374"/>
      <c r="D38" s="374"/>
      <c r="E38" s="374"/>
      <c r="F38" s="374"/>
    </row>
    <row r="39" spans="1:6">
      <c r="A39" s="366" t="s">
        <v>352</v>
      </c>
      <c r="B39" s="374"/>
      <c r="C39" s="374"/>
      <c r="D39" s="374"/>
      <c r="E39" s="374"/>
      <c r="F39" s="374"/>
    </row>
    <row r="40" spans="1:6">
      <c r="A40" s="366" t="s">
        <v>353</v>
      </c>
      <c r="B40" s="374"/>
      <c r="C40" s="374"/>
      <c r="D40" s="374"/>
      <c r="E40" s="374"/>
      <c r="F40" s="374"/>
    </row>
    <row r="41" spans="1:6">
      <c r="A41" s="366"/>
      <c r="B41" s="374"/>
      <c r="C41" s="374"/>
      <c r="D41" s="374"/>
      <c r="E41" s="374"/>
      <c r="F41" s="374"/>
    </row>
    <row r="42" spans="1:6">
      <c r="A42" s="366" t="s">
        <v>459</v>
      </c>
      <c r="B42" s="374"/>
      <c r="C42" s="374"/>
      <c r="D42" s="374"/>
      <c r="E42" s="374"/>
      <c r="F42" s="374"/>
    </row>
    <row r="43" spans="1:6">
      <c r="A43" s="366" t="s">
        <v>460</v>
      </c>
      <c r="B43" s="374"/>
      <c r="C43" s="374"/>
      <c r="D43" s="374"/>
      <c r="E43" s="374"/>
      <c r="F43" s="374"/>
    </row>
    <row r="44" spans="1:6">
      <c r="A44" s="366" t="s">
        <v>461</v>
      </c>
      <c r="B44" s="374"/>
      <c r="C44" s="374"/>
      <c r="D44" s="374"/>
      <c r="E44" s="374"/>
      <c r="F44" s="374"/>
    </row>
    <row r="45" spans="1:6">
      <c r="A45" s="366" t="s">
        <v>462</v>
      </c>
      <c r="B45" s="374"/>
      <c r="C45" s="374"/>
      <c r="D45" s="374"/>
      <c r="E45" s="374"/>
      <c r="F45" s="374"/>
    </row>
    <row r="46" spans="1:6">
      <c r="A46" s="366" t="s">
        <v>463</v>
      </c>
      <c r="B46" s="374"/>
      <c r="C46" s="374"/>
      <c r="D46" s="374"/>
      <c r="E46" s="374"/>
      <c r="F46" s="374"/>
    </row>
    <row r="47" spans="1:6">
      <c r="A47" s="366"/>
      <c r="B47" s="374"/>
      <c r="C47" s="374"/>
      <c r="D47" s="374"/>
      <c r="E47" s="374"/>
      <c r="F47" s="374"/>
    </row>
    <row r="48" spans="1:6">
      <c r="A48" s="367" t="s">
        <v>464</v>
      </c>
      <c r="B48" s="374"/>
      <c r="C48" s="374"/>
      <c r="D48" s="374"/>
      <c r="E48" s="374"/>
      <c r="F48" s="374"/>
    </row>
    <row r="49" spans="1:6">
      <c r="A49" s="367" t="s">
        <v>465</v>
      </c>
      <c r="B49" s="374"/>
      <c r="C49" s="374"/>
      <c r="D49" s="374"/>
      <c r="E49" s="374"/>
      <c r="F49" s="374"/>
    </row>
    <row r="50" spans="1:6">
      <c r="A50" s="367" t="s">
        <v>466</v>
      </c>
      <c r="B50" s="374"/>
      <c r="C50" s="374"/>
      <c r="D50" s="374"/>
      <c r="E50" s="374"/>
      <c r="F50" s="374"/>
    </row>
    <row r="51" spans="1:6">
      <c r="A51" s="367" t="s">
        <v>467</v>
      </c>
    </row>
    <row r="52" spans="1:6">
      <c r="A52" s="367" t="s">
        <v>468</v>
      </c>
    </row>
    <row r="53" spans="1:6">
      <c r="A53" s="367" t="s">
        <v>469</v>
      </c>
    </row>
    <row r="55" spans="1:6">
      <c r="A55" s="374" t="s">
        <v>470</v>
      </c>
    </row>
    <row r="56" spans="1:6">
      <c r="A56" s="374" t="s">
        <v>471</v>
      </c>
    </row>
    <row r="57" spans="1:6">
      <c r="A57" s="374" t="s">
        <v>472</v>
      </c>
    </row>
    <row r="58" spans="1:6">
      <c r="A58" s="374" t="s">
        <v>473</v>
      </c>
    </row>
    <row r="59" spans="1:6">
      <c r="A59" s="374" t="s">
        <v>474</v>
      </c>
    </row>
    <row r="60" spans="1:6">
      <c r="A60" s="374" t="s">
        <v>475</v>
      </c>
    </row>
    <row r="62" spans="1:6">
      <c r="A62" s="374" t="s">
        <v>383</v>
      </c>
    </row>
  </sheetData>
  <pageMargins left="0.7" right="0.7" top="0.75" bottom="0.75" header="0.3" footer="0.3"/>
  <pageSetup orientation="portrait" blackAndWhite="1" r:id="rId1"/>
</worksheet>
</file>

<file path=xl/worksheets/sheet24.xml><?xml version="1.0" encoding="utf-8"?>
<worksheet xmlns="http://schemas.openxmlformats.org/spreadsheetml/2006/main" xmlns:r="http://schemas.openxmlformats.org/officeDocument/2006/relationships">
  <sheetPr>
    <tabColor rgb="FFFF0000"/>
  </sheetPr>
  <dimension ref="A3:G106"/>
  <sheetViews>
    <sheetView workbookViewId="0"/>
  </sheetViews>
  <sheetFormatPr defaultRowHeight="15"/>
  <cols>
    <col min="1" max="1" width="71.33203125" customWidth="1"/>
  </cols>
  <sheetData>
    <row r="3" spans="1:7">
      <c r="A3" s="373" t="s">
        <v>476</v>
      </c>
      <c r="B3" s="373"/>
      <c r="C3" s="373"/>
      <c r="D3" s="373"/>
      <c r="E3" s="373"/>
      <c r="F3" s="373"/>
      <c r="G3" s="373"/>
    </row>
    <row r="4" spans="1:7">
      <c r="A4" s="373"/>
      <c r="B4" s="373"/>
      <c r="C4" s="373"/>
      <c r="D4" s="373"/>
      <c r="E4" s="373"/>
      <c r="F4" s="373"/>
      <c r="G4" s="373"/>
    </row>
    <row r="5" spans="1:7">
      <c r="A5" s="374" t="s">
        <v>385</v>
      </c>
    </row>
    <row r="6" spans="1:7">
      <c r="A6" s="374" t="str">
        <f>CONCATENATE(inputPrYr!D6-1," estimated expenditures show that at the end of this year")</f>
        <v>2012 estimated expenditures show that at the end of this year</v>
      </c>
    </row>
    <row r="7" spans="1:7">
      <c r="A7" s="374" t="s">
        <v>477</v>
      </c>
    </row>
    <row r="8" spans="1:7">
      <c r="A8" s="374" t="s">
        <v>478</v>
      </c>
    </row>
    <row r="10" spans="1:7">
      <c r="A10" t="s">
        <v>387</v>
      </c>
    </row>
    <row r="11" spans="1:7">
      <c r="A11" t="s">
        <v>388</v>
      </c>
    </row>
    <row r="12" spans="1:7">
      <c r="A12" t="s">
        <v>389</v>
      </c>
    </row>
    <row r="13" spans="1:7">
      <c r="A13" s="373"/>
      <c r="B13" s="373"/>
      <c r="C13" s="373"/>
      <c r="D13" s="373"/>
      <c r="E13" s="373"/>
      <c r="F13" s="373"/>
      <c r="G13" s="373"/>
    </row>
    <row r="14" spans="1:7">
      <c r="A14" s="375" t="s">
        <v>479</v>
      </c>
    </row>
    <row r="15" spans="1:7">
      <c r="A15" s="374"/>
    </row>
    <row r="16" spans="1:7">
      <c r="A16" s="374" t="s">
        <v>480</v>
      </c>
    </row>
    <row r="17" spans="1:7">
      <c r="A17" s="374" t="s">
        <v>481</v>
      </c>
    </row>
    <row r="18" spans="1:7">
      <c r="A18" s="374" t="s">
        <v>482</v>
      </c>
    </row>
    <row r="19" spans="1:7">
      <c r="A19" s="374"/>
    </row>
    <row r="20" spans="1:7">
      <c r="A20" s="374" t="s">
        <v>483</v>
      </c>
    </row>
    <row r="21" spans="1:7">
      <c r="A21" s="374" t="s">
        <v>484</v>
      </c>
    </row>
    <row r="22" spans="1:7">
      <c r="A22" s="374" t="s">
        <v>485</v>
      </c>
    </row>
    <row r="23" spans="1:7">
      <c r="A23" s="374" t="s">
        <v>486</v>
      </c>
    </row>
    <row r="24" spans="1:7">
      <c r="A24" s="374"/>
    </row>
    <row r="25" spans="1:7">
      <c r="A25" s="375" t="s">
        <v>451</v>
      </c>
    </row>
    <row r="26" spans="1:7">
      <c r="A26" s="375"/>
    </row>
    <row r="27" spans="1:7">
      <c r="A27" s="374" t="s">
        <v>452</v>
      </c>
    </row>
    <row r="28" spans="1:7">
      <c r="A28" s="374" t="s">
        <v>453</v>
      </c>
      <c r="B28" s="374"/>
      <c r="C28" s="374"/>
      <c r="D28" s="374"/>
      <c r="E28" s="374"/>
      <c r="F28" s="374"/>
    </row>
    <row r="29" spans="1:7">
      <c r="A29" s="374" t="s">
        <v>454</v>
      </c>
      <c r="B29" s="374"/>
      <c r="C29" s="374"/>
      <c r="D29" s="374"/>
      <c r="E29" s="374"/>
      <c r="F29" s="374"/>
    </row>
    <row r="30" spans="1:7">
      <c r="A30" s="374" t="s">
        <v>455</v>
      </c>
      <c r="B30" s="374"/>
      <c r="C30" s="374"/>
      <c r="D30" s="374"/>
      <c r="E30" s="374"/>
      <c r="F30" s="374"/>
    </row>
    <row r="31" spans="1:7">
      <c r="A31" s="374"/>
    </row>
    <row r="32" spans="1:7">
      <c r="A32" s="375" t="s">
        <v>456</v>
      </c>
      <c r="B32" s="375"/>
      <c r="C32" s="375"/>
      <c r="D32" s="375"/>
      <c r="E32" s="375"/>
      <c r="F32" s="375"/>
      <c r="G32" s="375"/>
    </row>
    <row r="33" spans="1:7">
      <c r="A33" s="375" t="s">
        <v>457</v>
      </c>
      <c r="B33" s="375"/>
      <c r="C33" s="375"/>
      <c r="D33" s="375"/>
      <c r="E33" s="375"/>
      <c r="F33" s="375"/>
      <c r="G33" s="375"/>
    </row>
    <row r="34" spans="1:7">
      <c r="A34" s="375"/>
      <c r="B34" s="375"/>
      <c r="C34" s="375"/>
      <c r="D34" s="375"/>
      <c r="E34" s="375"/>
      <c r="F34" s="375"/>
      <c r="G34" s="375"/>
    </row>
    <row r="35" spans="1:7">
      <c r="A35" s="374" t="s">
        <v>487</v>
      </c>
      <c r="B35" s="374"/>
      <c r="C35" s="374"/>
      <c r="D35" s="374"/>
      <c r="E35" s="374"/>
      <c r="F35" s="374"/>
      <c r="G35" s="374"/>
    </row>
    <row r="36" spans="1:7">
      <c r="A36" s="374" t="s">
        <v>488</v>
      </c>
      <c r="B36" s="374"/>
      <c r="C36" s="374"/>
      <c r="D36" s="374"/>
      <c r="E36" s="374"/>
      <c r="F36" s="374"/>
      <c r="G36" s="374"/>
    </row>
    <row r="37" spans="1:7">
      <c r="A37" s="374" t="s">
        <v>489</v>
      </c>
      <c r="B37" s="374"/>
      <c r="C37" s="374"/>
      <c r="D37" s="374"/>
      <c r="E37" s="374"/>
      <c r="F37" s="374"/>
      <c r="G37" s="374"/>
    </row>
    <row r="38" spans="1:7">
      <c r="A38" s="374" t="s">
        <v>490</v>
      </c>
      <c r="B38" s="374"/>
      <c r="C38" s="374"/>
      <c r="D38" s="374"/>
      <c r="E38" s="374"/>
      <c r="F38" s="374"/>
      <c r="G38" s="374"/>
    </row>
    <row r="39" spans="1:7">
      <c r="A39" s="374" t="s">
        <v>491</v>
      </c>
      <c r="B39" s="374"/>
      <c r="C39" s="374"/>
      <c r="D39" s="374"/>
      <c r="E39" s="374"/>
      <c r="F39" s="374"/>
      <c r="G39" s="374"/>
    </row>
    <row r="40" spans="1:7">
      <c r="A40" s="375"/>
      <c r="B40" s="375"/>
      <c r="C40" s="375"/>
      <c r="D40" s="375"/>
      <c r="E40" s="375"/>
      <c r="F40" s="375"/>
      <c r="G40" s="375"/>
    </row>
    <row r="41" spans="1:7">
      <c r="A41" s="366" t="str">
        <f>CONCATENATE("So, let's look to see if any of your ",inputPrYr!D6-1," expenditures can")</f>
        <v>So, let's look to see if any of your 2012 expenditures can</v>
      </c>
      <c r="B41" s="374"/>
      <c r="C41" s="374"/>
      <c r="D41" s="374"/>
      <c r="E41" s="374"/>
      <c r="F41" s="374"/>
    </row>
    <row r="42" spans="1:7">
      <c r="A42" s="366" t="s">
        <v>458</v>
      </c>
      <c r="B42" s="374"/>
      <c r="C42" s="374"/>
      <c r="D42" s="374"/>
      <c r="E42" s="374"/>
      <c r="F42" s="374"/>
    </row>
    <row r="43" spans="1:7">
      <c r="A43" s="366" t="s">
        <v>350</v>
      </c>
      <c r="B43" s="374"/>
      <c r="C43" s="374"/>
      <c r="D43" s="374"/>
      <c r="E43" s="374"/>
      <c r="F43" s="374"/>
    </row>
    <row r="44" spans="1:7">
      <c r="A44" s="366" t="s">
        <v>351</v>
      </c>
      <c r="B44" s="374"/>
      <c r="C44" s="374"/>
      <c r="D44" s="374"/>
      <c r="E44" s="374"/>
      <c r="F44" s="374"/>
    </row>
    <row r="45" spans="1:7">
      <c r="A45" s="374"/>
    </row>
    <row r="46" spans="1:7">
      <c r="A46" s="366" t="str">
        <f>CONCATENATE("Additionally, do your ",inputPrYr!D6-1," receipts contain a reimbursement")</f>
        <v>Additionally, do your 2012 receipts contain a reimbursement</v>
      </c>
      <c r="B46" s="374"/>
      <c r="C46" s="374"/>
      <c r="D46" s="374"/>
      <c r="E46" s="374"/>
      <c r="F46" s="374"/>
    </row>
    <row r="47" spans="1:7">
      <c r="A47" s="366" t="s">
        <v>352</v>
      </c>
      <c r="B47" s="374"/>
      <c r="C47" s="374"/>
      <c r="D47" s="374"/>
      <c r="E47" s="374"/>
      <c r="F47" s="374"/>
    </row>
    <row r="48" spans="1:7">
      <c r="A48" s="366" t="s">
        <v>353</v>
      </c>
      <c r="B48" s="374"/>
      <c r="C48" s="374"/>
      <c r="D48" s="374"/>
      <c r="E48" s="374"/>
      <c r="F48" s="374"/>
    </row>
    <row r="49" spans="1:7">
      <c r="A49" s="374"/>
      <c r="B49" s="374"/>
      <c r="C49" s="374"/>
      <c r="D49" s="374"/>
      <c r="E49" s="374"/>
      <c r="F49" s="374"/>
      <c r="G49" s="374"/>
    </row>
    <row r="50" spans="1:7">
      <c r="A50" s="374" t="s">
        <v>412</v>
      </c>
      <c r="B50" s="374"/>
      <c r="C50" s="374"/>
      <c r="D50" s="374"/>
      <c r="E50" s="374"/>
      <c r="F50" s="374"/>
      <c r="G50" s="374"/>
    </row>
    <row r="51" spans="1:7">
      <c r="A51" s="374" t="s">
        <v>413</v>
      </c>
      <c r="B51" s="374"/>
      <c r="C51" s="374"/>
      <c r="D51" s="374"/>
      <c r="E51" s="374"/>
      <c r="F51" s="374"/>
      <c r="G51" s="374"/>
    </row>
    <row r="52" spans="1:7">
      <c r="A52" s="374" t="s">
        <v>414</v>
      </c>
      <c r="B52" s="374"/>
      <c r="C52" s="374"/>
      <c r="D52" s="374"/>
      <c r="E52" s="374"/>
      <c r="F52" s="374"/>
      <c r="G52" s="374"/>
    </row>
    <row r="53" spans="1:7">
      <c r="A53" s="374" t="s">
        <v>415</v>
      </c>
      <c r="B53" s="374"/>
      <c r="C53" s="374"/>
      <c r="D53" s="374"/>
      <c r="E53" s="374"/>
      <c r="F53" s="374"/>
      <c r="G53" s="374"/>
    </row>
    <row r="54" spans="1:7">
      <c r="A54" s="374" t="s">
        <v>416</v>
      </c>
      <c r="B54" s="374"/>
      <c r="C54" s="374"/>
      <c r="D54" s="374"/>
      <c r="E54" s="374"/>
      <c r="F54" s="374"/>
      <c r="G54" s="374"/>
    </row>
    <row r="55" spans="1:7">
      <c r="A55" s="374"/>
      <c r="B55" s="374"/>
      <c r="C55" s="374"/>
      <c r="D55" s="374"/>
      <c r="E55" s="374"/>
      <c r="F55" s="374"/>
      <c r="G55" s="374"/>
    </row>
    <row r="56" spans="1:7">
      <c r="A56" s="366" t="s">
        <v>354</v>
      </c>
      <c r="B56" s="374"/>
      <c r="C56" s="374"/>
      <c r="D56" s="374"/>
      <c r="E56" s="374"/>
      <c r="F56" s="374"/>
    </row>
    <row r="57" spans="1:7">
      <c r="A57" s="366" t="s">
        <v>355</v>
      </c>
      <c r="B57" s="374"/>
      <c r="C57" s="374"/>
      <c r="D57" s="374"/>
      <c r="E57" s="374"/>
      <c r="F57" s="374"/>
    </row>
    <row r="58" spans="1:7">
      <c r="A58" s="366" t="s">
        <v>356</v>
      </c>
      <c r="B58" s="374"/>
      <c r="C58" s="374"/>
      <c r="D58" s="374"/>
      <c r="E58" s="374"/>
      <c r="F58" s="374"/>
    </row>
    <row r="59" spans="1:7">
      <c r="A59" s="366"/>
      <c r="B59" s="374"/>
      <c r="C59" s="374"/>
      <c r="D59" s="374"/>
      <c r="E59" s="374"/>
      <c r="F59" s="374"/>
    </row>
    <row r="60" spans="1:7">
      <c r="A60" s="374" t="s">
        <v>492</v>
      </c>
      <c r="B60" s="374"/>
      <c r="C60" s="374"/>
      <c r="D60" s="374"/>
      <c r="E60" s="374"/>
      <c r="F60" s="374"/>
      <c r="G60" s="374"/>
    </row>
    <row r="61" spans="1:7">
      <c r="A61" s="374" t="s">
        <v>493</v>
      </c>
      <c r="B61" s="374"/>
      <c r="C61" s="374"/>
      <c r="D61" s="374"/>
      <c r="E61" s="374"/>
      <c r="F61" s="374"/>
      <c r="G61" s="374"/>
    </row>
    <row r="62" spans="1:7">
      <c r="A62" s="374" t="s">
        <v>494</v>
      </c>
      <c r="B62" s="374"/>
      <c r="C62" s="374"/>
      <c r="D62" s="374"/>
      <c r="E62" s="374"/>
      <c r="F62" s="374"/>
      <c r="G62" s="374"/>
    </row>
    <row r="63" spans="1:7">
      <c r="A63" s="374" t="s">
        <v>495</v>
      </c>
      <c r="B63" s="374"/>
      <c r="C63" s="374"/>
      <c r="D63" s="374"/>
      <c r="E63" s="374"/>
      <c r="F63" s="374"/>
      <c r="G63" s="374"/>
    </row>
    <row r="64" spans="1:7">
      <c r="A64" s="374" t="s">
        <v>496</v>
      </c>
      <c r="B64" s="374"/>
      <c r="C64" s="374"/>
      <c r="D64" s="374"/>
      <c r="E64" s="374"/>
      <c r="F64" s="374"/>
      <c r="G64" s="374"/>
    </row>
    <row r="66" spans="1:6">
      <c r="A66" s="366" t="s">
        <v>459</v>
      </c>
      <c r="B66" s="374"/>
      <c r="C66" s="374"/>
      <c r="D66" s="374"/>
      <c r="E66" s="374"/>
      <c r="F66" s="374"/>
    </row>
    <row r="67" spans="1:6">
      <c r="A67" s="366" t="s">
        <v>460</v>
      </c>
      <c r="B67" s="374"/>
      <c r="C67" s="374"/>
      <c r="D67" s="374"/>
      <c r="E67" s="374"/>
      <c r="F67" s="374"/>
    </row>
    <row r="68" spans="1:6">
      <c r="A68" s="366" t="s">
        <v>461</v>
      </c>
      <c r="B68" s="374"/>
      <c r="C68" s="374"/>
      <c r="D68" s="374"/>
      <c r="E68" s="374"/>
      <c r="F68" s="374"/>
    </row>
    <row r="69" spans="1:6">
      <c r="A69" s="366" t="s">
        <v>462</v>
      </c>
      <c r="B69" s="374"/>
      <c r="C69" s="374"/>
      <c r="D69" s="374"/>
      <c r="E69" s="374"/>
      <c r="F69" s="374"/>
    </row>
    <row r="70" spans="1:6">
      <c r="A70" s="366" t="s">
        <v>463</v>
      </c>
      <c r="B70" s="374"/>
      <c r="C70" s="374"/>
      <c r="D70" s="374"/>
      <c r="E70" s="374"/>
      <c r="F70" s="374"/>
    </row>
    <row r="71" spans="1:6">
      <c r="A71" s="374"/>
    </row>
    <row r="72" spans="1:6">
      <c r="A72" s="374" t="s">
        <v>383</v>
      </c>
    </row>
    <row r="73" spans="1:6">
      <c r="A73" s="374"/>
    </row>
    <row r="74" spans="1:6">
      <c r="A74" s="374"/>
    </row>
    <row r="75" spans="1:6">
      <c r="A75" s="374"/>
    </row>
    <row r="78" spans="1:6">
      <c r="A78" s="375"/>
    </row>
    <row r="80" spans="1:6">
      <c r="A80" s="374"/>
    </row>
    <row r="81" spans="1:1">
      <c r="A81" s="374"/>
    </row>
    <row r="82" spans="1:1">
      <c r="A82" s="374"/>
    </row>
    <row r="83" spans="1:1">
      <c r="A83" s="374"/>
    </row>
    <row r="84" spans="1:1">
      <c r="A84" s="374"/>
    </row>
    <row r="85" spans="1:1">
      <c r="A85" s="374"/>
    </row>
    <row r="86" spans="1:1">
      <c r="A86" s="374"/>
    </row>
    <row r="87" spans="1:1">
      <c r="A87" s="374"/>
    </row>
    <row r="88" spans="1:1">
      <c r="A88" s="374"/>
    </row>
    <row r="89" spans="1:1">
      <c r="A89" s="374"/>
    </row>
    <row r="90" spans="1:1">
      <c r="A90" s="374"/>
    </row>
    <row r="92" spans="1:1">
      <c r="A92" s="374"/>
    </row>
    <row r="93" spans="1:1">
      <c r="A93" s="374"/>
    </row>
    <row r="94" spans="1:1">
      <c r="A94" s="374"/>
    </row>
    <row r="95" spans="1:1">
      <c r="A95" s="374"/>
    </row>
    <row r="96" spans="1:1">
      <c r="A96" s="374"/>
    </row>
    <row r="97" spans="1:1">
      <c r="A97" s="374"/>
    </row>
    <row r="98" spans="1:1">
      <c r="A98" s="374"/>
    </row>
    <row r="99" spans="1:1">
      <c r="A99" s="374"/>
    </row>
    <row r="100" spans="1:1">
      <c r="A100" s="374"/>
    </row>
    <row r="101" spans="1:1">
      <c r="A101" s="374"/>
    </row>
    <row r="102" spans="1:1">
      <c r="A102" s="374"/>
    </row>
    <row r="103" spans="1:1">
      <c r="A103" s="374"/>
    </row>
    <row r="104" spans="1:1">
      <c r="A104" s="374"/>
    </row>
    <row r="105" spans="1:1">
      <c r="A105" s="374"/>
    </row>
    <row r="106" spans="1:1">
      <c r="A106" s="374"/>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sheetPr>
    <tabColor rgb="FFFF0000"/>
  </sheetPr>
  <dimension ref="A3:H52"/>
  <sheetViews>
    <sheetView workbookViewId="0"/>
  </sheetViews>
  <sheetFormatPr defaultRowHeight="15"/>
  <cols>
    <col min="1" max="1" width="71.33203125" customWidth="1"/>
  </cols>
  <sheetData>
    <row r="3" spans="1:7">
      <c r="A3" s="373" t="s">
        <v>497</v>
      </c>
      <c r="B3" s="373"/>
      <c r="C3" s="373"/>
      <c r="D3" s="373"/>
      <c r="E3" s="373"/>
      <c r="F3" s="373"/>
      <c r="G3" s="373"/>
    </row>
    <row r="4" spans="1:7">
      <c r="A4" s="373" t="s">
        <v>498</v>
      </c>
      <c r="B4" s="373"/>
      <c r="C4" s="373"/>
      <c r="D4" s="373"/>
      <c r="E4" s="373"/>
      <c r="F4" s="373"/>
      <c r="G4" s="373"/>
    </row>
    <row r="5" spans="1:7">
      <c r="A5" s="373"/>
      <c r="B5" s="373"/>
      <c r="C5" s="373"/>
      <c r="D5" s="373"/>
      <c r="E5" s="373"/>
      <c r="F5" s="373"/>
      <c r="G5" s="373"/>
    </row>
    <row r="6" spans="1:7">
      <c r="A6" s="373"/>
      <c r="B6" s="373"/>
      <c r="C6" s="373"/>
      <c r="D6" s="373"/>
      <c r="E6" s="373"/>
      <c r="F6" s="373"/>
      <c r="G6" s="373"/>
    </row>
    <row r="7" spans="1:7">
      <c r="A7" s="374" t="s">
        <v>336</v>
      </c>
    </row>
    <row r="8" spans="1:7">
      <c r="A8" s="374" t="str">
        <f>CONCATENATE("estimated ",inputPrYr!D6," 'total expenditures' exceed your ",inputPrYr!D6,"")</f>
        <v>estimated 2013 'total expenditures' exceed your 2013</v>
      </c>
    </row>
    <row r="9" spans="1:7">
      <c r="A9" s="377" t="s">
        <v>499</v>
      </c>
    </row>
    <row r="10" spans="1:7">
      <c r="A10" s="374"/>
    </row>
    <row r="11" spans="1:7">
      <c r="A11" s="374" t="s">
        <v>500</v>
      </c>
    </row>
    <row r="12" spans="1:7">
      <c r="A12" s="374" t="s">
        <v>501</v>
      </c>
    </row>
    <row r="13" spans="1:7">
      <c r="A13" s="374" t="s">
        <v>502</v>
      </c>
    </row>
    <row r="14" spans="1:7">
      <c r="A14" s="374"/>
    </row>
    <row r="15" spans="1:7">
      <c r="A15" s="375" t="s">
        <v>503</v>
      </c>
    </row>
    <row r="16" spans="1:7">
      <c r="A16" s="373"/>
      <c r="B16" s="373"/>
      <c r="C16" s="373"/>
      <c r="D16" s="373"/>
      <c r="E16" s="373"/>
      <c r="F16" s="373"/>
      <c r="G16" s="373"/>
    </row>
    <row r="17" spans="1:8">
      <c r="A17" s="378" t="s">
        <v>504</v>
      </c>
      <c r="B17" s="370"/>
      <c r="C17" s="370"/>
      <c r="D17" s="370"/>
      <c r="E17" s="370"/>
      <c r="F17" s="370"/>
      <c r="G17" s="370"/>
      <c r="H17" s="370"/>
    </row>
    <row r="18" spans="1:8">
      <c r="A18" s="374" t="s">
        <v>505</v>
      </c>
      <c r="B18" s="379"/>
      <c r="C18" s="379"/>
      <c r="D18" s="379"/>
      <c r="E18" s="379"/>
      <c r="F18" s="379"/>
      <c r="G18" s="379"/>
    </row>
    <row r="19" spans="1:8">
      <c r="A19" s="374" t="s">
        <v>506</v>
      </c>
    </row>
    <row r="20" spans="1:8">
      <c r="A20" s="374" t="s">
        <v>507</v>
      </c>
    </row>
    <row r="22" spans="1:8">
      <c r="A22" s="375" t="s">
        <v>508</v>
      </c>
    </row>
    <row r="24" spans="1:8">
      <c r="A24" s="374" t="s">
        <v>509</v>
      </c>
    </row>
    <row r="25" spans="1:8">
      <c r="A25" s="374" t="s">
        <v>510</v>
      </c>
    </row>
    <row r="26" spans="1:8">
      <c r="A26" s="374" t="s">
        <v>511</v>
      </c>
    </row>
    <row r="28" spans="1:8">
      <c r="A28" s="375" t="s">
        <v>512</v>
      </c>
    </row>
    <row r="30" spans="1:8">
      <c r="A30" t="s">
        <v>513</v>
      </c>
    </row>
    <row r="31" spans="1:8">
      <c r="A31" t="s">
        <v>514</v>
      </c>
    </row>
    <row r="32" spans="1:8">
      <c r="A32" t="s">
        <v>515</v>
      </c>
    </row>
    <row r="33" spans="1:1">
      <c r="A33" s="374" t="s">
        <v>516</v>
      </c>
    </row>
    <row r="35" spans="1:1">
      <c r="A35" t="s">
        <v>517</v>
      </c>
    </row>
    <row r="36" spans="1:1">
      <c r="A36" t="s">
        <v>518</v>
      </c>
    </row>
    <row r="37" spans="1:1">
      <c r="A37" t="s">
        <v>519</v>
      </c>
    </row>
    <row r="38" spans="1:1">
      <c r="A38" t="s">
        <v>520</v>
      </c>
    </row>
    <row r="40" spans="1:1">
      <c r="A40" t="s">
        <v>521</v>
      </c>
    </row>
    <row r="41" spans="1:1">
      <c r="A41" t="s">
        <v>522</v>
      </c>
    </row>
    <row r="42" spans="1:1">
      <c r="A42" t="s">
        <v>523</v>
      </c>
    </row>
    <row r="43" spans="1:1">
      <c r="A43" t="s">
        <v>524</v>
      </c>
    </row>
    <row r="44" spans="1:1">
      <c r="A44" t="s">
        <v>525</v>
      </c>
    </row>
    <row r="45" spans="1:1">
      <c r="A45" t="s">
        <v>526</v>
      </c>
    </row>
    <row r="47" spans="1:1">
      <c r="A47" t="s">
        <v>527</v>
      </c>
    </row>
    <row r="48" spans="1:1">
      <c r="A48" t="s">
        <v>528</v>
      </c>
    </row>
    <row r="49" spans="1:1">
      <c r="A49" s="374" t="s">
        <v>529</v>
      </c>
    </row>
    <row r="50" spans="1:1">
      <c r="A50" s="374" t="s">
        <v>530</v>
      </c>
    </row>
    <row r="52" spans="1:1">
      <c r="A52" t="s">
        <v>383</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dimension ref="A1:X354"/>
  <sheetViews>
    <sheetView workbookViewId="0">
      <selection sqref="A1:IV65536"/>
    </sheetView>
  </sheetViews>
  <sheetFormatPr defaultRowHeight="14.25"/>
  <cols>
    <col min="1" max="1" width="7.5546875" style="428" customWidth="1"/>
    <col min="2" max="2" width="11.21875" style="429" customWidth="1"/>
    <col min="3" max="3" width="7.44140625" style="429" customWidth="1"/>
    <col min="4" max="4" width="8.88671875" style="429"/>
    <col min="5" max="5" width="1.5546875" style="429" customWidth="1"/>
    <col min="6" max="6" width="14.33203125" style="429" customWidth="1"/>
    <col min="7" max="7" width="2.5546875" style="429" customWidth="1"/>
    <col min="8" max="8" width="9.77734375" style="429" customWidth="1"/>
    <col min="9" max="9" width="2" style="429" customWidth="1"/>
    <col min="10" max="10" width="8.5546875" style="429" customWidth="1"/>
    <col min="11" max="11" width="11.6640625" style="429" customWidth="1"/>
    <col min="12" max="12" width="7.5546875" style="428" customWidth="1"/>
    <col min="13" max="14" width="8.88671875" style="428"/>
    <col min="15" max="15" width="9.88671875" style="428" bestFit="1" customWidth="1"/>
    <col min="16" max="16384" width="8.88671875" style="428"/>
  </cols>
  <sheetData>
    <row r="1" spans="1:12">
      <c r="A1" s="427"/>
      <c r="B1" s="427"/>
      <c r="C1" s="427"/>
      <c r="D1" s="427"/>
      <c r="E1" s="427"/>
      <c r="F1" s="427"/>
      <c r="G1" s="427"/>
      <c r="H1" s="427"/>
      <c r="I1" s="427"/>
      <c r="J1" s="427"/>
      <c r="K1" s="427"/>
      <c r="L1" s="427"/>
    </row>
    <row r="2" spans="1:12">
      <c r="A2" s="427"/>
      <c r="B2" s="427"/>
      <c r="C2" s="427"/>
      <c r="D2" s="427"/>
      <c r="E2" s="427"/>
      <c r="F2" s="427"/>
      <c r="G2" s="427"/>
      <c r="H2" s="427"/>
      <c r="I2" s="427"/>
      <c r="J2" s="427"/>
      <c r="K2" s="427"/>
      <c r="L2" s="427"/>
    </row>
    <row r="3" spans="1:12">
      <c r="A3" s="427"/>
      <c r="B3" s="427"/>
      <c r="C3" s="427"/>
      <c r="D3" s="427"/>
      <c r="E3" s="427"/>
      <c r="F3" s="427"/>
      <c r="G3" s="427"/>
      <c r="H3" s="427"/>
      <c r="I3" s="427"/>
      <c r="J3" s="427"/>
      <c r="K3" s="427"/>
      <c r="L3" s="427"/>
    </row>
    <row r="4" spans="1:12">
      <c r="A4" s="427"/>
      <c r="L4" s="427"/>
    </row>
    <row r="5" spans="1:12" ht="15" customHeight="1">
      <c r="A5" s="427"/>
      <c r="L5" s="427"/>
    </row>
    <row r="6" spans="1:12" ht="33" customHeight="1">
      <c r="A6" s="427"/>
      <c r="B6" s="659" t="s">
        <v>575</v>
      </c>
      <c r="C6" s="673"/>
      <c r="D6" s="673"/>
      <c r="E6" s="673"/>
      <c r="F6" s="673"/>
      <c r="G6" s="673"/>
      <c r="H6" s="673"/>
      <c r="I6" s="673"/>
      <c r="J6" s="673"/>
      <c r="K6" s="673"/>
      <c r="L6" s="430"/>
    </row>
    <row r="7" spans="1:12" ht="40.5" customHeight="1">
      <c r="A7" s="427"/>
      <c r="B7" s="684" t="s">
        <v>576</v>
      </c>
      <c r="C7" s="685"/>
      <c r="D7" s="685"/>
      <c r="E7" s="685"/>
      <c r="F7" s="685"/>
      <c r="G7" s="685"/>
      <c r="H7" s="685"/>
      <c r="I7" s="685"/>
      <c r="J7" s="685"/>
      <c r="K7" s="685"/>
      <c r="L7" s="427"/>
    </row>
    <row r="8" spans="1:12">
      <c r="A8" s="427"/>
      <c r="B8" s="678" t="s">
        <v>577</v>
      </c>
      <c r="C8" s="678"/>
      <c r="D8" s="678"/>
      <c r="E8" s="678"/>
      <c r="F8" s="678"/>
      <c r="G8" s="678"/>
      <c r="H8" s="678"/>
      <c r="I8" s="678"/>
      <c r="J8" s="678"/>
      <c r="K8" s="678"/>
      <c r="L8" s="427"/>
    </row>
    <row r="9" spans="1:12">
      <c r="A9" s="427"/>
      <c r="L9" s="427"/>
    </row>
    <row r="10" spans="1:12">
      <c r="A10" s="427"/>
      <c r="B10" s="678" t="s">
        <v>578</v>
      </c>
      <c r="C10" s="678"/>
      <c r="D10" s="678"/>
      <c r="E10" s="678"/>
      <c r="F10" s="678"/>
      <c r="G10" s="678"/>
      <c r="H10" s="678"/>
      <c r="I10" s="678"/>
      <c r="J10" s="678"/>
      <c r="K10" s="678"/>
      <c r="L10" s="427"/>
    </row>
    <row r="11" spans="1:12">
      <c r="A11" s="427"/>
      <c r="B11" s="431"/>
      <c r="C11" s="431"/>
      <c r="D11" s="431"/>
      <c r="E11" s="431"/>
      <c r="F11" s="431"/>
      <c r="G11" s="431"/>
      <c r="H11" s="431"/>
      <c r="I11" s="431"/>
      <c r="J11" s="431"/>
      <c r="K11" s="431"/>
      <c r="L11" s="427"/>
    </row>
    <row r="12" spans="1:12" ht="32.25" customHeight="1">
      <c r="A12" s="427"/>
      <c r="B12" s="660" t="s">
        <v>579</v>
      </c>
      <c r="C12" s="660"/>
      <c r="D12" s="660"/>
      <c r="E12" s="660"/>
      <c r="F12" s="660"/>
      <c r="G12" s="660"/>
      <c r="H12" s="660"/>
      <c r="I12" s="660"/>
      <c r="J12" s="660"/>
      <c r="K12" s="660"/>
      <c r="L12" s="427"/>
    </row>
    <row r="13" spans="1:12">
      <c r="A13" s="427"/>
      <c r="L13" s="427"/>
    </row>
    <row r="14" spans="1:12">
      <c r="A14" s="427"/>
      <c r="B14" s="432" t="s">
        <v>580</v>
      </c>
      <c r="L14" s="427"/>
    </row>
    <row r="15" spans="1:12">
      <c r="A15" s="427"/>
      <c r="L15" s="427"/>
    </row>
    <row r="16" spans="1:12">
      <c r="A16" s="427"/>
      <c r="B16" s="429" t="s">
        <v>581</v>
      </c>
      <c r="L16" s="427"/>
    </row>
    <row r="17" spans="1:12">
      <c r="A17" s="427"/>
      <c r="B17" s="429" t="s">
        <v>582</v>
      </c>
      <c r="L17" s="427"/>
    </row>
    <row r="18" spans="1:12">
      <c r="A18" s="427"/>
      <c r="L18" s="427"/>
    </row>
    <row r="19" spans="1:12">
      <c r="A19" s="427"/>
      <c r="B19" s="432" t="s">
        <v>583</v>
      </c>
      <c r="L19" s="427"/>
    </row>
    <row r="20" spans="1:12">
      <c r="A20" s="427"/>
      <c r="B20" s="432"/>
      <c r="L20" s="427"/>
    </row>
    <row r="21" spans="1:12">
      <c r="A21" s="427"/>
      <c r="B21" s="429" t="s">
        <v>584</v>
      </c>
      <c r="L21" s="427"/>
    </row>
    <row r="22" spans="1:12">
      <c r="A22" s="427"/>
      <c r="L22" s="427"/>
    </row>
    <row r="23" spans="1:12">
      <c r="A23" s="427"/>
      <c r="B23" s="429" t="s">
        <v>585</v>
      </c>
      <c r="E23" s="429" t="s">
        <v>586</v>
      </c>
      <c r="F23" s="662">
        <v>133685008</v>
      </c>
      <c r="G23" s="662"/>
      <c r="L23" s="427"/>
    </row>
    <row r="24" spans="1:12">
      <c r="A24" s="427"/>
      <c r="L24" s="427"/>
    </row>
    <row r="25" spans="1:12">
      <c r="A25" s="427"/>
      <c r="C25" s="677">
        <f>F23</f>
        <v>133685008</v>
      </c>
      <c r="D25" s="677"/>
      <c r="E25" s="429" t="s">
        <v>587</v>
      </c>
      <c r="F25" s="433">
        <v>1000</v>
      </c>
      <c r="G25" s="433" t="s">
        <v>586</v>
      </c>
      <c r="H25" s="434">
        <f>F23/F25</f>
        <v>133685.008</v>
      </c>
      <c r="L25" s="427"/>
    </row>
    <row r="26" spans="1:12" ht="15" thickBot="1">
      <c r="A26" s="427"/>
      <c r="L26" s="427"/>
    </row>
    <row r="27" spans="1:12">
      <c r="A27" s="427"/>
      <c r="B27" s="435" t="s">
        <v>580</v>
      </c>
      <c r="C27" s="436"/>
      <c r="D27" s="436"/>
      <c r="E27" s="436"/>
      <c r="F27" s="436"/>
      <c r="G27" s="436"/>
      <c r="H27" s="436"/>
      <c r="I27" s="436"/>
      <c r="J27" s="436"/>
      <c r="K27" s="437"/>
      <c r="L27" s="427"/>
    </row>
    <row r="28" spans="1:12">
      <c r="A28" s="427"/>
      <c r="B28" s="438">
        <f>F23</f>
        <v>133685008</v>
      </c>
      <c r="C28" s="439" t="s">
        <v>588</v>
      </c>
      <c r="D28" s="439"/>
      <c r="E28" s="439" t="s">
        <v>587</v>
      </c>
      <c r="F28" s="440">
        <v>1000</v>
      </c>
      <c r="G28" s="440" t="s">
        <v>586</v>
      </c>
      <c r="H28" s="441">
        <f>B28/F28</f>
        <v>133685.008</v>
      </c>
      <c r="I28" s="439" t="s">
        <v>589</v>
      </c>
      <c r="J28" s="439"/>
      <c r="K28" s="442"/>
      <c r="L28" s="427"/>
    </row>
    <row r="29" spans="1:12" ht="15" thickBot="1">
      <c r="A29" s="427"/>
      <c r="B29" s="443"/>
      <c r="C29" s="444"/>
      <c r="D29" s="444"/>
      <c r="E29" s="444"/>
      <c r="F29" s="444"/>
      <c r="G29" s="444"/>
      <c r="H29" s="444"/>
      <c r="I29" s="444"/>
      <c r="J29" s="444"/>
      <c r="K29" s="445"/>
      <c r="L29" s="427"/>
    </row>
    <row r="30" spans="1:12" ht="40.5" customHeight="1">
      <c r="A30" s="427"/>
      <c r="B30" s="670" t="s">
        <v>576</v>
      </c>
      <c r="C30" s="670"/>
      <c r="D30" s="670"/>
      <c r="E30" s="670"/>
      <c r="F30" s="670"/>
      <c r="G30" s="670"/>
      <c r="H30" s="670"/>
      <c r="I30" s="670"/>
      <c r="J30" s="670"/>
      <c r="K30" s="670"/>
      <c r="L30" s="427"/>
    </row>
    <row r="31" spans="1:12">
      <c r="A31" s="427"/>
      <c r="B31" s="678" t="s">
        <v>590</v>
      </c>
      <c r="C31" s="678"/>
      <c r="D31" s="678"/>
      <c r="E31" s="678"/>
      <c r="F31" s="678"/>
      <c r="G31" s="678"/>
      <c r="H31" s="678"/>
      <c r="I31" s="678"/>
      <c r="J31" s="678"/>
      <c r="K31" s="678"/>
      <c r="L31" s="427"/>
    </row>
    <row r="32" spans="1:12">
      <c r="A32" s="427"/>
      <c r="L32" s="427"/>
    </row>
    <row r="33" spans="1:12">
      <c r="A33" s="427"/>
      <c r="B33" s="678" t="s">
        <v>591</v>
      </c>
      <c r="C33" s="678"/>
      <c r="D33" s="678"/>
      <c r="E33" s="678"/>
      <c r="F33" s="678"/>
      <c r="G33" s="678"/>
      <c r="H33" s="678"/>
      <c r="I33" s="678"/>
      <c r="J33" s="678"/>
      <c r="K33" s="678"/>
      <c r="L33" s="427"/>
    </row>
    <row r="34" spans="1:12">
      <c r="A34" s="427"/>
      <c r="L34" s="427"/>
    </row>
    <row r="35" spans="1:12" ht="89.25" customHeight="1">
      <c r="A35" s="427"/>
      <c r="B35" s="660" t="s">
        <v>592</v>
      </c>
      <c r="C35" s="676"/>
      <c r="D35" s="676"/>
      <c r="E35" s="676"/>
      <c r="F35" s="676"/>
      <c r="G35" s="676"/>
      <c r="H35" s="676"/>
      <c r="I35" s="676"/>
      <c r="J35" s="676"/>
      <c r="K35" s="676"/>
      <c r="L35" s="427"/>
    </row>
    <row r="36" spans="1:12">
      <c r="A36" s="427"/>
      <c r="L36" s="427"/>
    </row>
    <row r="37" spans="1:12">
      <c r="A37" s="427"/>
      <c r="B37" s="432" t="s">
        <v>593</v>
      </c>
      <c r="L37" s="427"/>
    </row>
    <row r="38" spans="1:12">
      <c r="A38" s="427"/>
      <c r="L38" s="427"/>
    </row>
    <row r="39" spans="1:12">
      <c r="A39" s="427"/>
      <c r="B39" s="429" t="s">
        <v>594</v>
      </c>
      <c r="L39" s="427"/>
    </row>
    <row r="40" spans="1:12">
      <c r="A40" s="427"/>
      <c r="L40" s="427"/>
    </row>
    <row r="41" spans="1:12">
      <c r="A41" s="427"/>
      <c r="C41" s="679">
        <v>3120000</v>
      </c>
      <c r="D41" s="679"/>
      <c r="E41" s="429" t="s">
        <v>587</v>
      </c>
      <c r="F41" s="433">
        <v>1000</v>
      </c>
      <c r="G41" s="433" t="s">
        <v>586</v>
      </c>
      <c r="H41" s="446">
        <f>C41/F41</f>
        <v>3120</v>
      </c>
      <c r="L41" s="427"/>
    </row>
    <row r="42" spans="1:12">
      <c r="A42" s="427"/>
      <c r="L42" s="427"/>
    </row>
    <row r="43" spans="1:12">
      <c r="A43" s="427"/>
      <c r="B43" s="429" t="s">
        <v>595</v>
      </c>
      <c r="L43" s="427"/>
    </row>
    <row r="44" spans="1:12">
      <c r="A44" s="427"/>
      <c r="L44" s="427"/>
    </row>
    <row r="45" spans="1:12">
      <c r="A45" s="427"/>
      <c r="B45" s="429" t="s">
        <v>596</v>
      </c>
      <c r="L45" s="427"/>
    </row>
    <row r="46" spans="1:12" ht="15" thickBot="1">
      <c r="A46" s="427"/>
      <c r="L46" s="427"/>
    </row>
    <row r="47" spans="1:12">
      <c r="A47" s="427"/>
      <c r="B47" s="447" t="s">
        <v>580</v>
      </c>
      <c r="C47" s="436"/>
      <c r="D47" s="436"/>
      <c r="E47" s="436"/>
      <c r="F47" s="436"/>
      <c r="G47" s="436"/>
      <c r="H47" s="436"/>
      <c r="I47" s="436"/>
      <c r="J47" s="436"/>
      <c r="K47" s="437"/>
      <c r="L47" s="427"/>
    </row>
    <row r="48" spans="1:12">
      <c r="A48" s="427"/>
      <c r="B48" s="662">
        <v>133685008</v>
      </c>
      <c r="C48" s="662"/>
      <c r="D48" s="439" t="s">
        <v>597</v>
      </c>
      <c r="E48" s="439" t="s">
        <v>587</v>
      </c>
      <c r="F48" s="440">
        <v>1000</v>
      </c>
      <c r="G48" s="440" t="s">
        <v>586</v>
      </c>
      <c r="H48" s="441">
        <f>B48/F48</f>
        <v>133685.008</v>
      </c>
      <c r="I48" s="439" t="s">
        <v>598</v>
      </c>
      <c r="J48" s="439"/>
      <c r="K48" s="442"/>
      <c r="L48" s="427"/>
    </row>
    <row r="49" spans="1:24">
      <c r="A49" s="427"/>
      <c r="B49" s="448"/>
      <c r="C49" s="439"/>
      <c r="D49" s="439"/>
      <c r="E49" s="439"/>
      <c r="F49" s="439"/>
      <c r="G49" s="439"/>
      <c r="H49" s="439"/>
      <c r="I49" s="439"/>
      <c r="J49" s="439"/>
      <c r="K49" s="442"/>
      <c r="L49" s="427"/>
    </row>
    <row r="50" spans="1:24">
      <c r="A50" s="427"/>
      <c r="B50" s="449">
        <v>7067793</v>
      </c>
      <c r="C50" s="439" t="s">
        <v>599</v>
      </c>
      <c r="D50" s="439"/>
      <c r="E50" s="439" t="s">
        <v>587</v>
      </c>
      <c r="F50" s="441">
        <f>H48</f>
        <v>133685.008</v>
      </c>
      <c r="G50" s="680" t="s">
        <v>600</v>
      </c>
      <c r="H50" s="681"/>
      <c r="I50" s="440" t="s">
        <v>586</v>
      </c>
      <c r="J50" s="450">
        <f>B50/F50</f>
        <v>52.869002334203401</v>
      </c>
      <c r="K50" s="442"/>
      <c r="L50" s="427"/>
    </row>
    <row r="51" spans="1:24" ht="15" thickBot="1">
      <c r="A51" s="427"/>
      <c r="B51" s="443"/>
      <c r="C51" s="444"/>
      <c r="D51" s="444"/>
      <c r="E51" s="444"/>
      <c r="F51" s="444"/>
      <c r="G51" s="444"/>
      <c r="H51" s="444"/>
      <c r="I51" s="682" t="s">
        <v>601</v>
      </c>
      <c r="J51" s="682"/>
      <c r="K51" s="683"/>
      <c r="L51" s="427"/>
      <c r="O51" s="451"/>
    </row>
    <row r="52" spans="1:24" ht="40.5" customHeight="1">
      <c r="A52" s="427"/>
      <c r="B52" s="670" t="s">
        <v>576</v>
      </c>
      <c r="C52" s="670"/>
      <c r="D52" s="670"/>
      <c r="E52" s="670"/>
      <c r="F52" s="670"/>
      <c r="G52" s="670"/>
      <c r="H52" s="670"/>
      <c r="I52" s="670"/>
      <c r="J52" s="670"/>
      <c r="K52" s="670"/>
      <c r="L52" s="427"/>
    </row>
    <row r="53" spans="1:24">
      <c r="A53" s="427"/>
      <c r="B53" s="678" t="s">
        <v>602</v>
      </c>
      <c r="C53" s="678"/>
      <c r="D53" s="678"/>
      <c r="E53" s="678"/>
      <c r="F53" s="678"/>
      <c r="G53" s="678"/>
      <c r="H53" s="678"/>
      <c r="I53" s="678"/>
      <c r="J53" s="678"/>
      <c r="K53" s="678"/>
      <c r="L53" s="427"/>
    </row>
    <row r="54" spans="1:24">
      <c r="A54" s="427"/>
      <c r="B54" s="431"/>
      <c r="C54" s="431"/>
      <c r="D54" s="431"/>
      <c r="E54" s="431"/>
      <c r="F54" s="431"/>
      <c r="G54" s="431"/>
      <c r="H54" s="431"/>
      <c r="I54" s="431"/>
      <c r="J54" s="431"/>
      <c r="K54" s="431"/>
      <c r="L54" s="427"/>
    </row>
    <row r="55" spans="1:24">
      <c r="A55" s="427"/>
      <c r="B55" s="659" t="s">
        <v>603</v>
      </c>
      <c r="C55" s="659"/>
      <c r="D55" s="659"/>
      <c r="E55" s="659"/>
      <c r="F55" s="659"/>
      <c r="G55" s="659"/>
      <c r="H55" s="659"/>
      <c r="I55" s="659"/>
      <c r="J55" s="659"/>
      <c r="K55" s="659"/>
      <c r="L55" s="427"/>
    </row>
    <row r="56" spans="1:24" ht="15" customHeight="1">
      <c r="A56" s="427"/>
      <c r="L56" s="427"/>
    </row>
    <row r="57" spans="1:24" ht="74.25" customHeight="1">
      <c r="A57" s="427"/>
      <c r="B57" s="660" t="s">
        <v>604</v>
      </c>
      <c r="C57" s="676"/>
      <c r="D57" s="676"/>
      <c r="E57" s="676"/>
      <c r="F57" s="676"/>
      <c r="G57" s="676"/>
      <c r="H57" s="676"/>
      <c r="I57" s="676"/>
      <c r="J57" s="676"/>
      <c r="K57" s="676"/>
      <c r="L57" s="427"/>
      <c r="M57" s="452"/>
      <c r="N57" s="453"/>
      <c r="O57" s="453"/>
      <c r="P57" s="453"/>
      <c r="Q57" s="453"/>
      <c r="R57" s="453"/>
      <c r="S57" s="453"/>
      <c r="T57" s="453"/>
      <c r="U57" s="453"/>
      <c r="V57" s="453"/>
      <c r="W57" s="453"/>
      <c r="X57" s="453"/>
    </row>
    <row r="58" spans="1:24" ht="15" customHeight="1">
      <c r="A58" s="427"/>
      <c r="B58" s="660"/>
      <c r="C58" s="676"/>
      <c r="D58" s="676"/>
      <c r="E58" s="676"/>
      <c r="F58" s="676"/>
      <c r="G58" s="676"/>
      <c r="H58" s="676"/>
      <c r="I58" s="676"/>
      <c r="J58" s="676"/>
      <c r="K58" s="676"/>
      <c r="L58" s="427"/>
      <c r="M58" s="452"/>
      <c r="N58" s="453"/>
      <c r="O58" s="453"/>
      <c r="P58" s="453"/>
      <c r="Q58" s="453"/>
      <c r="R58" s="453"/>
      <c r="S58" s="453"/>
      <c r="T58" s="453"/>
      <c r="U58" s="453"/>
      <c r="V58" s="453"/>
      <c r="W58" s="453"/>
      <c r="X58" s="453"/>
    </row>
    <row r="59" spans="1:24">
      <c r="A59" s="427"/>
      <c r="B59" s="432" t="s">
        <v>593</v>
      </c>
      <c r="L59" s="427"/>
      <c r="M59" s="453"/>
      <c r="N59" s="453"/>
      <c r="O59" s="453"/>
      <c r="P59" s="453"/>
      <c r="Q59" s="453"/>
      <c r="R59" s="453"/>
      <c r="S59" s="453"/>
      <c r="T59" s="453"/>
      <c r="U59" s="453"/>
      <c r="V59" s="453"/>
      <c r="W59" s="453"/>
      <c r="X59" s="453"/>
    </row>
    <row r="60" spans="1:24">
      <c r="A60" s="427"/>
      <c r="L60" s="427"/>
      <c r="M60" s="453"/>
      <c r="N60" s="453"/>
      <c r="O60" s="453"/>
      <c r="P60" s="453"/>
      <c r="Q60" s="453"/>
      <c r="R60" s="453"/>
      <c r="S60" s="453"/>
      <c r="T60" s="453"/>
      <c r="U60" s="453"/>
      <c r="V60" s="453"/>
      <c r="W60" s="453"/>
      <c r="X60" s="453"/>
    </row>
    <row r="61" spans="1:24">
      <c r="A61" s="427"/>
      <c r="B61" s="429" t="s">
        <v>605</v>
      </c>
      <c r="L61" s="427"/>
      <c r="M61" s="453"/>
      <c r="N61" s="453"/>
      <c r="O61" s="453"/>
      <c r="P61" s="453"/>
      <c r="Q61" s="453"/>
      <c r="R61" s="453"/>
      <c r="S61" s="453"/>
      <c r="T61" s="453"/>
      <c r="U61" s="453"/>
      <c r="V61" s="453"/>
      <c r="W61" s="453"/>
      <c r="X61" s="453"/>
    </row>
    <row r="62" spans="1:24">
      <c r="A62" s="427"/>
      <c r="B62" s="429" t="s">
        <v>606</v>
      </c>
      <c r="L62" s="427"/>
      <c r="M62" s="453"/>
      <c r="N62" s="453"/>
      <c r="O62" s="453"/>
      <c r="P62" s="453"/>
      <c r="Q62" s="453"/>
      <c r="R62" s="453"/>
      <c r="S62" s="453"/>
      <c r="T62" s="453"/>
      <c r="U62" s="453"/>
      <c r="V62" s="453"/>
      <c r="W62" s="453"/>
      <c r="X62" s="453"/>
    </row>
    <row r="63" spans="1:24">
      <c r="A63" s="427"/>
      <c r="B63" s="429" t="s">
        <v>607</v>
      </c>
      <c r="L63" s="427"/>
      <c r="M63" s="453"/>
      <c r="N63" s="453"/>
      <c r="O63" s="453"/>
      <c r="P63" s="453"/>
      <c r="Q63" s="453"/>
      <c r="R63" s="453"/>
      <c r="S63" s="453"/>
      <c r="T63" s="453"/>
      <c r="U63" s="453"/>
      <c r="V63" s="453"/>
      <c r="W63" s="453"/>
      <c r="X63" s="453"/>
    </row>
    <row r="64" spans="1:24">
      <c r="A64" s="427"/>
      <c r="L64" s="427"/>
      <c r="M64" s="453"/>
      <c r="N64" s="453"/>
      <c r="O64" s="453"/>
      <c r="P64" s="453"/>
      <c r="Q64" s="453"/>
      <c r="R64" s="453"/>
      <c r="S64" s="453"/>
      <c r="T64" s="453"/>
      <c r="U64" s="453"/>
      <c r="V64" s="453"/>
      <c r="W64" s="453"/>
      <c r="X64" s="453"/>
    </row>
    <row r="65" spans="1:24">
      <c r="A65" s="427"/>
      <c r="B65" s="429" t="s">
        <v>608</v>
      </c>
      <c r="L65" s="427"/>
      <c r="M65" s="453"/>
      <c r="N65" s="453"/>
      <c r="O65" s="453"/>
      <c r="P65" s="453"/>
      <c r="Q65" s="453"/>
      <c r="R65" s="453"/>
      <c r="S65" s="453"/>
      <c r="T65" s="453"/>
      <c r="U65" s="453"/>
      <c r="V65" s="453"/>
      <c r="W65" s="453"/>
      <c r="X65" s="453"/>
    </row>
    <row r="66" spans="1:24">
      <c r="A66" s="427"/>
      <c r="B66" s="429" t="s">
        <v>609</v>
      </c>
      <c r="L66" s="427"/>
      <c r="M66" s="453"/>
      <c r="N66" s="453"/>
      <c r="O66" s="453"/>
      <c r="P66" s="453"/>
      <c r="Q66" s="453"/>
      <c r="R66" s="453"/>
      <c r="S66" s="453"/>
      <c r="T66" s="453"/>
      <c r="U66" s="453"/>
      <c r="V66" s="453"/>
      <c r="W66" s="453"/>
      <c r="X66" s="453"/>
    </row>
    <row r="67" spans="1:24">
      <c r="A67" s="427"/>
      <c r="L67" s="427"/>
      <c r="M67" s="453"/>
      <c r="N67" s="453"/>
      <c r="O67" s="453"/>
      <c r="P67" s="453"/>
      <c r="Q67" s="453"/>
      <c r="R67" s="453"/>
      <c r="S67" s="453"/>
      <c r="T67" s="453"/>
      <c r="U67" s="453"/>
      <c r="V67" s="453"/>
      <c r="W67" s="453"/>
      <c r="X67" s="453"/>
    </row>
    <row r="68" spans="1:24">
      <c r="A68" s="427"/>
      <c r="B68" s="429" t="s">
        <v>610</v>
      </c>
      <c r="L68" s="427"/>
      <c r="M68" s="454"/>
      <c r="N68" s="455"/>
      <c r="O68" s="455"/>
      <c r="P68" s="455"/>
      <c r="Q68" s="455"/>
      <c r="R68" s="455"/>
      <c r="S68" s="455"/>
      <c r="T68" s="455"/>
      <c r="U68" s="455"/>
      <c r="V68" s="455"/>
      <c r="W68" s="455"/>
      <c r="X68" s="453"/>
    </row>
    <row r="69" spans="1:24">
      <c r="A69" s="427"/>
      <c r="B69" s="429" t="s">
        <v>611</v>
      </c>
      <c r="L69" s="427"/>
      <c r="M69" s="453"/>
      <c r="N69" s="453"/>
      <c r="O69" s="453"/>
      <c r="P69" s="453"/>
      <c r="Q69" s="453"/>
      <c r="R69" s="453"/>
      <c r="S69" s="453"/>
      <c r="T69" s="453"/>
      <c r="U69" s="453"/>
      <c r="V69" s="453"/>
      <c r="W69" s="453"/>
      <c r="X69" s="453"/>
    </row>
    <row r="70" spans="1:24">
      <c r="A70" s="427"/>
      <c r="B70" s="429" t="s">
        <v>612</v>
      </c>
      <c r="L70" s="427"/>
      <c r="M70" s="453"/>
      <c r="N70" s="453"/>
      <c r="O70" s="453"/>
      <c r="P70" s="453"/>
      <c r="Q70" s="453"/>
      <c r="R70" s="453"/>
      <c r="S70" s="453"/>
      <c r="T70" s="453"/>
      <c r="U70" s="453"/>
      <c r="V70" s="453"/>
      <c r="W70" s="453"/>
      <c r="X70" s="453"/>
    </row>
    <row r="71" spans="1:24" ht="15" thickBot="1">
      <c r="A71" s="427"/>
      <c r="B71" s="439"/>
      <c r="C71" s="439"/>
      <c r="D71" s="439"/>
      <c r="E71" s="439"/>
      <c r="F71" s="439"/>
      <c r="G71" s="439"/>
      <c r="H71" s="439"/>
      <c r="I71" s="439"/>
      <c r="J71" s="439"/>
      <c r="K71" s="439"/>
      <c r="L71" s="427"/>
    </row>
    <row r="72" spans="1:24">
      <c r="A72" s="427"/>
      <c r="B72" s="435" t="s">
        <v>580</v>
      </c>
      <c r="C72" s="436"/>
      <c r="D72" s="436"/>
      <c r="E72" s="436"/>
      <c r="F72" s="436"/>
      <c r="G72" s="436"/>
      <c r="H72" s="436"/>
      <c r="I72" s="436"/>
      <c r="J72" s="436"/>
      <c r="K72" s="437"/>
      <c r="L72" s="456"/>
    </row>
    <row r="73" spans="1:24">
      <c r="A73" s="427"/>
      <c r="B73" s="448"/>
      <c r="C73" s="439" t="s">
        <v>588</v>
      </c>
      <c r="D73" s="439"/>
      <c r="E73" s="439"/>
      <c r="F73" s="439"/>
      <c r="G73" s="439"/>
      <c r="H73" s="439"/>
      <c r="I73" s="439"/>
      <c r="J73" s="439"/>
      <c r="K73" s="442"/>
      <c r="L73" s="456"/>
    </row>
    <row r="74" spans="1:24">
      <c r="A74" s="427"/>
      <c r="B74" s="448" t="s">
        <v>613</v>
      </c>
      <c r="C74" s="662">
        <v>133685008</v>
      </c>
      <c r="D74" s="662"/>
      <c r="E74" s="440" t="s">
        <v>587</v>
      </c>
      <c r="F74" s="440">
        <v>1000</v>
      </c>
      <c r="G74" s="440" t="s">
        <v>586</v>
      </c>
      <c r="H74" s="457">
        <f>C74/F74</f>
        <v>133685.008</v>
      </c>
      <c r="I74" s="439" t="s">
        <v>614</v>
      </c>
      <c r="J74" s="439"/>
      <c r="K74" s="442"/>
      <c r="L74" s="456"/>
    </row>
    <row r="75" spans="1:24">
      <c r="A75" s="427"/>
      <c r="B75" s="448"/>
      <c r="C75" s="439"/>
      <c r="D75" s="439"/>
      <c r="E75" s="440"/>
      <c r="F75" s="439"/>
      <c r="G75" s="439"/>
      <c r="H75" s="439"/>
      <c r="I75" s="439"/>
      <c r="J75" s="439"/>
      <c r="K75" s="442"/>
      <c r="L75" s="456"/>
    </row>
    <row r="76" spans="1:24">
      <c r="A76" s="427"/>
      <c r="B76" s="448"/>
      <c r="C76" s="439" t="s">
        <v>615</v>
      </c>
      <c r="D76" s="439"/>
      <c r="E76" s="440"/>
      <c r="F76" s="439" t="s">
        <v>614</v>
      </c>
      <c r="G76" s="439"/>
      <c r="H76" s="439"/>
      <c r="I76" s="439"/>
      <c r="J76" s="439"/>
      <c r="K76" s="442"/>
      <c r="L76" s="456"/>
    </row>
    <row r="77" spans="1:24">
      <c r="A77" s="427"/>
      <c r="B77" s="448" t="s">
        <v>616</v>
      </c>
      <c r="C77" s="662">
        <v>5000</v>
      </c>
      <c r="D77" s="662"/>
      <c r="E77" s="440" t="s">
        <v>587</v>
      </c>
      <c r="F77" s="457">
        <f>H74</f>
        <v>133685.008</v>
      </c>
      <c r="G77" s="440" t="s">
        <v>586</v>
      </c>
      <c r="H77" s="450">
        <f>C77/F77</f>
        <v>3.740135169083432E-2</v>
      </c>
      <c r="I77" s="439" t="s">
        <v>617</v>
      </c>
      <c r="J77" s="439"/>
      <c r="K77" s="442"/>
      <c r="L77" s="456"/>
    </row>
    <row r="78" spans="1:24">
      <c r="A78" s="427"/>
      <c r="B78" s="448"/>
      <c r="C78" s="439"/>
      <c r="D78" s="439"/>
      <c r="E78" s="440"/>
      <c r="F78" s="439"/>
      <c r="G78" s="439"/>
      <c r="H78" s="439"/>
      <c r="I78" s="439"/>
      <c r="J78" s="439"/>
      <c r="K78" s="442"/>
      <c r="L78" s="456"/>
    </row>
    <row r="79" spans="1:24">
      <c r="A79" s="427"/>
      <c r="B79" s="458"/>
      <c r="C79" s="459" t="s">
        <v>618</v>
      </c>
      <c r="D79" s="459"/>
      <c r="E79" s="460"/>
      <c r="F79" s="459"/>
      <c r="G79" s="459"/>
      <c r="H79" s="459"/>
      <c r="I79" s="459"/>
      <c r="J79" s="459"/>
      <c r="K79" s="461"/>
      <c r="L79" s="456"/>
    </row>
    <row r="80" spans="1:24">
      <c r="A80" s="427"/>
      <c r="B80" s="448" t="s">
        <v>619</v>
      </c>
      <c r="C80" s="662">
        <v>100000</v>
      </c>
      <c r="D80" s="662"/>
      <c r="E80" s="440" t="s">
        <v>28</v>
      </c>
      <c r="F80" s="440">
        <v>0.115</v>
      </c>
      <c r="G80" s="440" t="s">
        <v>586</v>
      </c>
      <c r="H80" s="457">
        <f>C80*F80</f>
        <v>11500</v>
      </c>
      <c r="I80" s="439" t="s">
        <v>620</v>
      </c>
      <c r="J80" s="439"/>
      <c r="K80" s="442"/>
      <c r="L80" s="456"/>
    </row>
    <row r="81" spans="1:12">
      <c r="A81" s="427"/>
      <c r="B81" s="448"/>
      <c r="C81" s="439"/>
      <c r="D81" s="439"/>
      <c r="E81" s="440"/>
      <c r="F81" s="439"/>
      <c r="G81" s="439"/>
      <c r="H81" s="439"/>
      <c r="I81" s="439"/>
      <c r="J81" s="439"/>
      <c r="K81" s="442"/>
      <c r="L81" s="456"/>
    </row>
    <row r="82" spans="1:12">
      <c r="A82" s="427"/>
      <c r="B82" s="458"/>
      <c r="C82" s="459" t="s">
        <v>621</v>
      </c>
      <c r="D82" s="459"/>
      <c r="E82" s="460"/>
      <c r="F82" s="459" t="s">
        <v>617</v>
      </c>
      <c r="G82" s="459"/>
      <c r="H82" s="459"/>
      <c r="I82" s="459"/>
      <c r="J82" s="459" t="s">
        <v>622</v>
      </c>
      <c r="K82" s="461"/>
      <c r="L82" s="456"/>
    </row>
    <row r="83" spans="1:12">
      <c r="A83" s="427"/>
      <c r="B83" s="448" t="s">
        <v>623</v>
      </c>
      <c r="C83" s="669">
        <f>H80</f>
        <v>11500</v>
      </c>
      <c r="D83" s="669"/>
      <c r="E83" s="440" t="s">
        <v>28</v>
      </c>
      <c r="F83" s="450">
        <f>H77</f>
        <v>3.740135169083432E-2</v>
      </c>
      <c r="G83" s="440" t="s">
        <v>587</v>
      </c>
      <c r="H83" s="440">
        <v>1000</v>
      </c>
      <c r="I83" s="440" t="s">
        <v>586</v>
      </c>
      <c r="J83" s="462">
        <f>C83*F83/H83</f>
        <v>0.43011554444459466</v>
      </c>
      <c r="K83" s="442"/>
      <c r="L83" s="456"/>
    </row>
    <row r="84" spans="1:12" ht="15" thickBot="1">
      <c r="A84" s="427"/>
      <c r="B84" s="443"/>
      <c r="C84" s="463"/>
      <c r="D84" s="463"/>
      <c r="E84" s="464"/>
      <c r="F84" s="465"/>
      <c r="G84" s="464"/>
      <c r="H84" s="464"/>
      <c r="I84" s="464"/>
      <c r="J84" s="466"/>
      <c r="K84" s="445"/>
      <c r="L84" s="456"/>
    </row>
    <row r="85" spans="1:12" ht="40.5" customHeight="1">
      <c r="A85" s="427"/>
      <c r="B85" s="670" t="s">
        <v>576</v>
      </c>
      <c r="C85" s="670"/>
      <c r="D85" s="670"/>
      <c r="E85" s="670"/>
      <c r="F85" s="670"/>
      <c r="G85" s="670"/>
      <c r="H85" s="670"/>
      <c r="I85" s="670"/>
      <c r="J85" s="670"/>
      <c r="K85" s="670"/>
      <c r="L85" s="427"/>
    </row>
    <row r="86" spans="1:12">
      <c r="A86" s="427"/>
      <c r="B86" s="659" t="s">
        <v>624</v>
      </c>
      <c r="C86" s="659"/>
      <c r="D86" s="659"/>
      <c r="E86" s="659"/>
      <c r="F86" s="659"/>
      <c r="G86" s="659"/>
      <c r="H86" s="659"/>
      <c r="I86" s="659"/>
      <c r="J86" s="659"/>
      <c r="K86" s="659"/>
      <c r="L86" s="427"/>
    </row>
    <row r="87" spans="1:12">
      <c r="A87" s="427"/>
      <c r="B87" s="467"/>
      <c r="C87" s="467"/>
      <c r="D87" s="467"/>
      <c r="E87" s="467"/>
      <c r="F87" s="467"/>
      <c r="G87" s="467"/>
      <c r="H87" s="467"/>
      <c r="I87" s="467"/>
      <c r="J87" s="467"/>
      <c r="K87" s="467"/>
      <c r="L87" s="427"/>
    </row>
    <row r="88" spans="1:12">
      <c r="A88" s="427"/>
      <c r="B88" s="659" t="s">
        <v>625</v>
      </c>
      <c r="C88" s="659"/>
      <c r="D88" s="659"/>
      <c r="E88" s="659"/>
      <c r="F88" s="659"/>
      <c r="G88" s="659"/>
      <c r="H88" s="659"/>
      <c r="I88" s="659"/>
      <c r="J88" s="659"/>
      <c r="K88" s="659"/>
      <c r="L88" s="427"/>
    </row>
    <row r="89" spans="1:12">
      <c r="A89" s="427"/>
      <c r="B89" s="468"/>
      <c r="C89" s="468"/>
      <c r="D89" s="468"/>
      <c r="E89" s="468"/>
      <c r="F89" s="468"/>
      <c r="G89" s="468"/>
      <c r="H89" s="468"/>
      <c r="I89" s="468"/>
      <c r="J89" s="468"/>
      <c r="K89" s="468"/>
      <c r="L89" s="427"/>
    </row>
    <row r="90" spans="1:12" ht="45" customHeight="1">
      <c r="A90" s="427"/>
      <c r="B90" s="660" t="s">
        <v>626</v>
      </c>
      <c r="C90" s="660"/>
      <c r="D90" s="660"/>
      <c r="E90" s="660"/>
      <c r="F90" s="660"/>
      <c r="G90" s="660"/>
      <c r="H90" s="660"/>
      <c r="I90" s="660"/>
      <c r="J90" s="660"/>
      <c r="K90" s="660"/>
      <c r="L90" s="427"/>
    </row>
    <row r="91" spans="1:12" ht="15" customHeight="1" thickBot="1">
      <c r="A91" s="427"/>
      <c r="L91" s="427"/>
    </row>
    <row r="92" spans="1:12" ht="15" customHeight="1">
      <c r="A92" s="427"/>
      <c r="B92" s="469" t="s">
        <v>580</v>
      </c>
      <c r="C92" s="470"/>
      <c r="D92" s="470"/>
      <c r="E92" s="470"/>
      <c r="F92" s="470"/>
      <c r="G92" s="470"/>
      <c r="H92" s="470"/>
      <c r="I92" s="470"/>
      <c r="J92" s="470"/>
      <c r="K92" s="471"/>
      <c r="L92" s="427"/>
    </row>
    <row r="93" spans="1:12" ht="15" customHeight="1">
      <c r="A93" s="427"/>
      <c r="B93" s="472"/>
      <c r="C93" s="473" t="s">
        <v>588</v>
      </c>
      <c r="D93" s="473"/>
      <c r="E93" s="473"/>
      <c r="F93" s="473"/>
      <c r="G93" s="473"/>
      <c r="H93" s="473"/>
      <c r="I93" s="473"/>
      <c r="J93" s="473"/>
      <c r="K93" s="474"/>
      <c r="L93" s="427"/>
    </row>
    <row r="94" spans="1:12" ht="15" customHeight="1">
      <c r="A94" s="427"/>
      <c r="B94" s="472" t="s">
        <v>613</v>
      </c>
      <c r="C94" s="662">
        <v>133685008</v>
      </c>
      <c r="D94" s="662"/>
      <c r="E94" s="440" t="s">
        <v>587</v>
      </c>
      <c r="F94" s="440">
        <v>1000</v>
      </c>
      <c r="G94" s="440" t="s">
        <v>586</v>
      </c>
      <c r="H94" s="457">
        <f>C94/F94</f>
        <v>133685.008</v>
      </c>
      <c r="I94" s="473" t="s">
        <v>614</v>
      </c>
      <c r="J94" s="473"/>
      <c r="K94" s="474"/>
      <c r="L94" s="427"/>
    </row>
    <row r="95" spans="1:12" ht="15" customHeight="1">
      <c r="A95" s="427"/>
      <c r="B95" s="472"/>
      <c r="C95" s="473"/>
      <c r="D95" s="473"/>
      <c r="E95" s="440"/>
      <c r="F95" s="473"/>
      <c r="G95" s="473"/>
      <c r="H95" s="473"/>
      <c r="I95" s="473"/>
      <c r="J95" s="473"/>
      <c r="K95" s="474"/>
      <c r="L95" s="427"/>
    </row>
    <row r="96" spans="1:12" ht="15" customHeight="1">
      <c r="A96" s="427"/>
      <c r="B96" s="472"/>
      <c r="C96" s="473" t="s">
        <v>615</v>
      </c>
      <c r="D96" s="473"/>
      <c r="E96" s="440"/>
      <c r="F96" s="473" t="s">
        <v>614</v>
      </c>
      <c r="G96" s="473"/>
      <c r="H96" s="473"/>
      <c r="I96" s="473"/>
      <c r="J96" s="473"/>
      <c r="K96" s="474"/>
      <c r="L96" s="427"/>
    </row>
    <row r="97" spans="1:12" ht="15" customHeight="1">
      <c r="A97" s="427"/>
      <c r="B97" s="472" t="s">
        <v>616</v>
      </c>
      <c r="C97" s="662">
        <v>50000</v>
      </c>
      <c r="D97" s="662"/>
      <c r="E97" s="440" t="s">
        <v>587</v>
      </c>
      <c r="F97" s="457">
        <f>H94</f>
        <v>133685.008</v>
      </c>
      <c r="G97" s="440" t="s">
        <v>586</v>
      </c>
      <c r="H97" s="450">
        <f>C97/F97</f>
        <v>0.37401351690834322</v>
      </c>
      <c r="I97" s="473" t="s">
        <v>617</v>
      </c>
      <c r="J97" s="473"/>
      <c r="K97" s="474"/>
      <c r="L97" s="427"/>
    </row>
    <row r="98" spans="1:12" ht="15" customHeight="1">
      <c r="A98" s="427"/>
      <c r="B98" s="472"/>
      <c r="C98" s="473"/>
      <c r="D98" s="473"/>
      <c r="E98" s="440"/>
      <c r="F98" s="473"/>
      <c r="G98" s="473"/>
      <c r="H98" s="473"/>
      <c r="I98" s="473"/>
      <c r="J98" s="473"/>
      <c r="K98" s="474"/>
      <c r="L98" s="427"/>
    </row>
    <row r="99" spans="1:12" ht="15" customHeight="1">
      <c r="A99" s="427"/>
      <c r="B99" s="475"/>
      <c r="C99" s="476" t="s">
        <v>627</v>
      </c>
      <c r="D99" s="476"/>
      <c r="E99" s="460"/>
      <c r="F99" s="476"/>
      <c r="G99" s="476"/>
      <c r="H99" s="476"/>
      <c r="I99" s="476"/>
      <c r="J99" s="476"/>
      <c r="K99" s="477"/>
      <c r="L99" s="427"/>
    </row>
    <row r="100" spans="1:12" ht="15" customHeight="1">
      <c r="A100" s="427"/>
      <c r="B100" s="472" t="s">
        <v>619</v>
      </c>
      <c r="C100" s="662">
        <v>2500000</v>
      </c>
      <c r="D100" s="662"/>
      <c r="E100" s="440" t="s">
        <v>28</v>
      </c>
      <c r="F100" s="478">
        <v>0.3</v>
      </c>
      <c r="G100" s="440" t="s">
        <v>586</v>
      </c>
      <c r="H100" s="457">
        <f>C100*F100</f>
        <v>750000</v>
      </c>
      <c r="I100" s="473" t="s">
        <v>620</v>
      </c>
      <c r="J100" s="473"/>
      <c r="K100" s="474"/>
      <c r="L100" s="427"/>
    </row>
    <row r="101" spans="1:12" ht="15" customHeight="1">
      <c r="A101" s="427"/>
      <c r="B101" s="472"/>
      <c r="C101" s="473"/>
      <c r="D101" s="473"/>
      <c r="E101" s="440"/>
      <c r="F101" s="473"/>
      <c r="G101" s="473"/>
      <c r="H101" s="473"/>
      <c r="I101" s="473"/>
      <c r="J101" s="473"/>
      <c r="K101" s="474"/>
      <c r="L101" s="427"/>
    </row>
    <row r="102" spans="1:12" ht="15" customHeight="1">
      <c r="A102" s="427"/>
      <c r="B102" s="475"/>
      <c r="C102" s="476" t="s">
        <v>621</v>
      </c>
      <c r="D102" s="476"/>
      <c r="E102" s="460"/>
      <c r="F102" s="476" t="s">
        <v>617</v>
      </c>
      <c r="G102" s="476"/>
      <c r="H102" s="476"/>
      <c r="I102" s="476"/>
      <c r="J102" s="476" t="s">
        <v>622</v>
      </c>
      <c r="K102" s="477"/>
      <c r="L102" s="427"/>
    </row>
    <row r="103" spans="1:12" ht="15" customHeight="1">
      <c r="A103" s="427"/>
      <c r="B103" s="472" t="s">
        <v>623</v>
      </c>
      <c r="C103" s="669">
        <f>H100</f>
        <v>750000</v>
      </c>
      <c r="D103" s="669"/>
      <c r="E103" s="440" t="s">
        <v>28</v>
      </c>
      <c r="F103" s="450">
        <f>H97</f>
        <v>0.37401351690834322</v>
      </c>
      <c r="G103" s="440" t="s">
        <v>587</v>
      </c>
      <c r="H103" s="440">
        <v>1000</v>
      </c>
      <c r="I103" s="440" t="s">
        <v>586</v>
      </c>
      <c r="J103" s="462">
        <f>C103*F103/H103</f>
        <v>280.51013768125745</v>
      </c>
      <c r="K103" s="474"/>
      <c r="L103" s="427"/>
    </row>
    <row r="104" spans="1:12" ht="15" customHeight="1" thickBot="1">
      <c r="A104" s="427"/>
      <c r="B104" s="479"/>
      <c r="C104" s="463"/>
      <c r="D104" s="463"/>
      <c r="E104" s="464"/>
      <c r="F104" s="465"/>
      <c r="G104" s="464"/>
      <c r="H104" s="464"/>
      <c r="I104" s="464"/>
      <c r="J104" s="466"/>
      <c r="K104" s="480"/>
      <c r="L104" s="427"/>
    </row>
    <row r="105" spans="1:12" ht="40.5" customHeight="1">
      <c r="A105" s="427"/>
      <c r="B105" s="670" t="s">
        <v>576</v>
      </c>
      <c r="C105" s="671"/>
      <c r="D105" s="671"/>
      <c r="E105" s="671"/>
      <c r="F105" s="671"/>
      <c r="G105" s="671"/>
      <c r="H105" s="671"/>
      <c r="I105" s="671"/>
      <c r="J105" s="671"/>
      <c r="K105" s="671"/>
      <c r="L105" s="427"/>
    </row>
    <row r="106" spans="1:12" ht="15" customHeight="1">
      <c r="A106" s="427"/>
      <c r="B106" s="672" t="s">
        <v>628</v>
      </c>
      <c r="C106" s="673"/>
      <c r="D106" s="673"/>
      <c r="E106" s="673"/>
      <c r="F106" s="673"/>
      <c r="G106" s="673"/>
      <c r="H106" s="673"/>
      <c r="I106" s="673"/>
      <c r="J106" s="673"/>
      <c r="K106" s="673"/>
      <c r="L106" s="427"/>
    </row>
    <row r="107" spans="1:12" ht="15" customHeight="1">
      <c r="A107" s="427"/>
      <c r="B107" s="473"/>
      <c r="C107" s="481"/>
      <c r="D107" s="481"/>
      <c r="E107" s="440"/>
      <c r="F107" s="450"/>
      <c r="G107" s="440"/>
      <c r="H107" s="440"/>
      <c r="I107" s="440"/>
      <c r="J107" s="462"/>
      <c r="K107" s="473"/>
      <c r="L107" s="427"/>
    </row>
    <row r="108" spans="1:12" ht="15" customHeight="1">
      <c r="A108" s="427"/>
      <c r="B108" s="672" t="s">
        <v>629</v>
      </c>
      <c r="C108" s="674"/>
      <c r="D108" s="674"/>
      <c r="E108" s="674"/>
      <c r="F108" s="674"/>
      <c r="G108" s="674"/>
      <c r="H108" s="674"/>
      <c r="I108" s="674"/>
      <c r="J108" s="674"/>
      <c r="K108" s="674"/>
      <c r="L108" s="427"/>
    </row>
    <row r="109" spans="1:12" ht="15" customHeight="1">
      <c r="A109" s="427"/>
      <c r="B109" s="473"/>
      <c r="C109" s="481"/>
      <c r="D109" s="481"/>
      <c r="E109" s="440"/>
      <c r="F109" s="450"/>
      <c r="G109" s="440"/>
      <c r="H109" s="440"/>
      <c r="I109" s="440"/>
      <c r="J109" s="462"/>
      <c r="K109" s="473"/>
      <c r="L109" s="427"/>
    </row>
    <row r="110" spans="1:12" ht="59.25" customHeight="1">
      <c r="A110" s="427"/>
      <c r="B110" s="675" t="s">
        <v>630</v>
      </c>
      <c r="C110" s="676"/>
      <c r="D110" s="676"/>
      <c r="E110" s="676"/>
      <c r="F110" s="676"/>
      <c r="G110" s="676"/>
      <c r="H110" s="676"/>
      <c r="I110" s="676"/>
      <c r="J110" s="676"/>
      <c r="K110" s="676"/>
      <c r="L110" s="427"/>
    </row>
    <row r="111" spans="1:12" ht="15" thickBot="1">
      <c r="A111" s="427"/>
      <c r="B111" s="431"/>
      <c r="C111" s="431"/>
      <c r="D111" s="431"/>
      <c r="E111" s="431"/>
      <c r="F111" s="431"/>
      <c r="G111" s="431"/>
      <c r="H111" s="431"/>
      <c r="I111" s="431"/>
      <c r="J111" s="431"/>
      <c r="K111" s="431"/>
      <c r="L111" s="482"/>
    </row>
    <row r="112" spans="1:12">
      <c r="A112" s="427"/>
      <c r="B112" s="435" t="s">
        <v>580</v>
      </c>
      <c r="C112" s="436"/>
      <c r="D112" s="436"/>
      <c r="E112" s="436"/>
      <c r="F112" s="436"/>
      <c r="G112" s="436"/>
      <c r="H112" s="436"/>
      <c r="I112" s="436"/>
      <c r="J112" s="436"/>
      <c r="K112" s="437"/>
      <c r="L112" s="427"/>
    </row>
    <row r="113" spans="1:12">
      <c r="A113" s="427"/>
      <c r="B113" s="448"/>
      <c r="C113" s="439" t="s">
        <v>588</v>
      </c>
      <c r="D113" s="439"/>
      <c r="E113" s="439"/>
      <c r="F113" s="439"/>
      <c r="G113" s="439"/>
      <c r="H113" s="439"/>
      <c r="I113" s="439"/>
      <c r="J113" s="439"/>
      <c r="K113" s="442"/>
      <c r="L113" s="427"/>
    </row>
    <row r="114" spans="1:12">
      <c r="A114" s="427"/>
      <c r="B114" s="448" t="s">
        <v>613</v>
      </c>
      <c r="C114" s="662">
        <v>133685008</v>
      </c>
      <c r="D114" s="662"/>
      <c r="E114" s="440" t="s">
        <v>587</v>
      </c>
      <c r="F114" s="440">
        <v>1000</v>
      </c>
      <c r="G114" s="440" t="s">
        <v>586</v>
      </c>
      <c r="H114" s="457">
        <f>C114/F114</f>
        <v>133685.008</v>
      </c>
      <c r="I114" s="439" t="s">
        <v>614</v>
      </c>
      <c r="J114" s="439"/>
      <c r="K114" s="442"/>
      <c r="L114" s="427"/>
    </row>
    <row r="115" spans="1:12">
      <c r="A115" s="427"/>
      <c r="B115" s="448"/>
      <c r="C115" s="439"/>
      <c r="D115" s="439"/>
      <c r="E115" s="440"/>
      <c r="F115" s="439"/>
      <c r="G115" s="439"/>
      <c r="H115" s="439"/>
      <c r="I115" s="439"/>
      <c r="J115" s="439"/>
      <c r="K115" s="442"/>
      <c r="L115" s="427"/>
    </row>
    <row r="116" spans="1:12">
      <c r="A116" s="427"/>
      <c r="B116" s="448"/>
      <c r="C116" s="439" t="s">
        <v>615</v>
      </c>
      <c r="D116" s="439"/>
      <c r="E116" s="440"/>
      <c r="F116" s="439" t="s">
        <v>614</v>
      </c>
      <c r="G116" s="439"/>
      <c r="H116" s="439"/>
      <c r="I116" s="439"/>
      <c r="J116" s="439"/>
      <c r="K116" s="442"/>
      <c r="L116" s="427"/>
    </row>
    <row r="117" spans="1:12">
      <c r="A117" s="427"/>
      <c r="B117" s="448" t="s">
        <v>616</v>
      </c>
      <c r="C117" s="662">
        <v>50000</v>
      </c>
      <c r="D117" s="662"/>
      <c r="E117" s="440" t="s">
        <v>587</v>
      </c>
      <c r="F117" s="457">
        <f>H114</f>
        <v>133685.008</v>
      </c>
      <c r="G117" s="440" t="s">
        <v>586</v>
      </c>
      <c r="H117" s="450">
        <f>C117/F117</f>
        <v>0.37401351690834322</v>
      </c>
      <c r="I117" s="439" t="s">
        <v>617</v>
      </c>
      <c r="J117" s="439"/>
      <c r="K117" s="442"/>
      <c r="L117" s="427"/>
    </row>
    <row r="118" spans="1:12">
      <c r="A118" s="427"/>
      <c r="B118" s="448"/>
      <c r="C118" s="439"/>
      <c r="D118" s="439"/>
      <c r="E118" s="440"/>
      <c r="F118" s="439"/>
      <c r="G118" s="439"/>
      <c r="H118" s="439"/>
      <c r="I118" s="439"/>
      <c r="J118" s="439"/>
      <c r="K118" s="442"/>
      <c r="L118" s="427"/>
    </row>
    <row r="119" spans="1:12">
      <c r="A119" s="427"/>
      <c r="B119" s="458"/>
      <c r="C119" s="459" t="s">
        <v>627</v>
      </c>
      <c r="D119" s="459"/>
      <c r="E119" s="460"/>
      <c r="F119" s="459"/>
      <c r="G119" s="459"/>
      <c r="H119" s="459"/>
      <c r="I119" s="459"/>
      <c r="J119" s="459"/>
      <c r="K119" s="461"/>
      <c r="L119" s="427"/>
    </row>
    <row r="120" spans="1:12">
      <c r="A120" s="427"/>
      <c r="B120" s="448" t="s">
        <v>619</v>
      </c>
      <c r="C120" s="662">
        <v>2500000</v>
      </c>
      <c r="D120" s="662"/>
      <c r="E120" s="440" t="s">
        <v>28</v>
      </c>
      <c r="F120" s="478">
        <v>0.25</v>
      </c>
      <c r="G120" s="440" t="s">
        <v>586</v>
      </c>
      <c r="H120" s="457">
        <f>C120*F120</f>
        <v>625000</v>
      </c>
      <c r="I120" s="439" t="s">
        <v>620</v>
      </c>
      <c r="J120" s="439"/>
      <c r="K120" s="442"/>
      <c r="L120" s="427"/>
    </row>
    <row r="121" spans="1:12">
      <c r="A121" s="427"/>
      <c r="B121" s="448"/>
      <c r="C121" s="439"/>
      <c r="D121" s="439"/>
      <c r="E121" s="440"/>
      <c r="F121" s="439"/>
      <c r="G121" s="439"/>
      <c r="H121" s="439"/>
      <c r="I121" s="439"/>
      <c r="J121" s="439"/>
      <c r="K121" s="442"/>
      <c r="L121" s="427"/>
    </row>
    <row r="122" spans="1:12">
      <c r="A122" s="427"/>
      <c r="B122" s="458"/>
      <c r="C122" s="459" t="s">
        <v>621</v>
      </c>
      <c r="D122" s="459"/>
      <c r="E122" s="460"/>
      <c r="F122" s="459" t="s">
        <v>617</v>
      </c>
      <c r="G122" s="459"/>
      <c r="H122" s="459"/>
      <c r="I122" s="459"/>
      <c r="J122" s="459" t="s">
        <v>622</v>
      </c>
      <c r="K122" s="461"/>
      <c r="L122" s="427"/>
    </row>
    <row r="123" spans="1:12">
      <c r="A123" s="427"/>
      <c r="B123" s="448" t="s">
        <v>623</v>
      </c>
      <c r="C123" s="669">
        <f>H120</f>
        <v>625000</v>
      </c>
      <c r="D123" s="669"/>
      <c r="E123" s="440" t="s">
        <v>28</v>
      </c>
      <c r="F123" s="450">
        <f>H117</f>
        <v>0.37401351690834322</v>
      </c>
      <c r="G123" s="440" t="s">
        <v>587</v>
      </c>
      <c r="H123" s="440">
        <v>1000</v>
      </c>
      <c r="I123" s="440" t="s">
        <v>586</v>
      </c>
      <c r="J123" s="462">
        <f>C123*F123/H123</f>
        <v>233.75844806771451</v>
      </c>
      <c r="K123" s="442"/>
      <c r="L123" s="427"/>
    </row>
    <row r="124" spans="1:12" ht="15" thickBot="1">
      <c r="A124" s="427"/>
      <c r="B124" s="443"/>
      <c r="C124" s="463"/>
      <c r="D124" s="463"/>
      <c r="E124" s="464"/>
      <c r="F124" s="465"/>
      <c r="G124" s="464"/>
      <c r="H124" s="464"/>
      <c r="I124" s="464"/>
      <c r="J124" s="466"/>
      <c r="K124" s="445"/>
      <c r="L124" s="427"/>
    </row>
    <row r="125" spans="1:12" ht="40.5" customHeight="1">
      <c r="A125" s="427"/>
      <c r="B125" s="670" t="s">
        <v>576</v>
      </c>
      <c r="C125" s="670"/>
      <c r="D125" s="670"/>
      <c r="E125" s="670"/>
      <c r="F125" s="670"/>
      <c r="G125" s="670"/>
      <c r="H125" s="670"/>
      <c r="I125" s="670"/>
      <c r="J125" s="670"/>
      <c r="K125" s="670"/>
      <c r="L125" s="482"/>
    </row>
    <row r="126" spans="1:12">
      <c r="A126" s="427"/>
      <c r="B126" s="659" t="s">
        <v>631</v>
      </c>
      <c r="C126" s="659"/>
      <c r="D126" s="659"/>
      <c r="E126" s="659"/>
      <c r="F126" s="659"/>
      <c r="G126" s="659"/>
      <c r="H126" s="659"/>
      <c r="I126" s="659"/>
      <c r="J126" s="659"/>
      <c r="K126" s="659"/>
      <c r="L126" s="482"/>
    </row>
    <row r="127" spans="1:12">
      <c r="A127" s="427"/>
      <c r="B127" s="431"/>
      <c r="C127" s="431"/>
      <c r="D127" s="431"/>
      <c r="E127" s="431"/>
      <c r="F127" s="431"/>
      <c r="G127" s="431"/>
      <c r="H127" s="431"/>
      <c r="I127" s="431"/>
      <c r="J127" s="431"/>
      <c r="K127" s="431"/>
      <c r="L127" s="482"/>
    </row>
    <row r="128" spans="1:12">
      <c r="A128" s="427"/>
      <c r="B128" s="659" t="s">
        <v>632</v>
      </c>
      <c r="C128" s="659"/>
      <c r="D128" s="659"/>
      <c r="E128" s="659"/>
      <c r="F128" s="659"/>
      <c r="G128" s="659"/>
      <c r="H128" s="659"/>
      <c r="I128" s="659"/>
      <c r="J128" s="659"/>
      <c r="K128" s="659"/>
      <c r="L128" s="482"/>
    </row>
    <row r="129" spans="1:12">
      <c r="A129" s="427"/>
      <c r="B129" s="468"/>
      <c r="C129" s="468"/>
      <c r="D129" s="468"/>
      <c r="E129" s="468"/>
      <c r="F129" s="468"/>
      <c r="G129" s="468"/>
      <c r="H129" s="468"/>
      <c r="I129" s="468"/>
      <c r="J129" s="468"/>
      <c r="K129" s="468"/>
      <c r="L129" s="482"/>
    </row>
    <row r="130" spans="1:12" ht="74.25" customHeight="1">
      <c r="A130" s="427"/>
      <c r="B130" s="660" t="s">
        <v>633</v>
      </c>
      <c r="C130" s="660"/>
      <c r="D130" s="660"/>
      <c r="E130" s="660"/>
      <c r="F130" s="660"/>
      <c r="G130" s="660"/>
      <c r="H130" s="660"/>
      <c r="I130" s="660"/>
      <c r="J130" s="660"/>
      <c r="K130" s="660"/>
      <c r="L130" s="482"/>
    </row>
    <row r="131" spans="1:12" ht="15" thickBot="1">
      <c r="A131" s="427"/>
      <c r="L131" s="427"/>
    </row>
    <row r="132" spans="1:12">
      <c r="A132" s="427"/>
      <c r="B132" s="435" t="s">
        <v>580</v>
      </c>
      <c r="C132" s="436"/>
      <c r="D132" s="436"/>
      <c r="E132" s="436"/>
      <c r="F132" s="436"/>
      <c r="G132" s="436"/>
      <c r="H132" s="436"/>
      <c r="I132" s="436"/>
      <c r="J132" s="436"/>
      <c r="K132" s="437"/>
      <c r="L132" s="427"/>
    </row>
    <row r="133" spans="1:12">
      <c r="A133" s="427"/>
      <c r="B133" s="448"/>
      <c r="C133" s="661" t="s">
        <v>634</v>
      </c>
      <c r="D133" s="661"/>
      <c r="E133" s="439"/>
      <c r="F133" s="440" t="s">
        <v>635</v>
      </c>
      <c r="G133" s="439"/>
      <c r="H133" s="661" t="s">
        <v>620</v>
      </c>
      <c r="I133" s="661"/>
      <c r="J133" s="439"/>
      <c r="K133" s="442"/>
      <c r="L133" s="427"/>
    </row>
    <row r="134" spans="1:12">
      <c r="A134" s="427"/>
      <c r="B134" s="448" t="s">
        <v>613</v>
      </c>
      <c r="C134" s="662">
        <v>100000</v>
      </c>
      <c r="D134" s="662"/>
      <c r="E134" s="440" t="s">
        <v>28</v>
      </c>
      <c r="F134" s="440">
        <v>0.115</v>
      </c>
      <c r="G134" s="440" t="s">
        <v>586</v>
      </c>
      <c r="H134" s="657">
        <f>C134*F134</f>
        <v>11500</v>
      </c>
      <c r="I134" s="657"/>
      <c r="J134" s="439"/>
      <c r="K134" s="442"/>
      <c r="L134" s="427"/>
    </row>
    <row r="135" spans="1:12">
      <c r="A135" s="427"/>
      <c r="B135" s="448"/>
      <c r="C135" s="439"/>
      <c r="D135" s="439"/>
      <c r="E135" s="439"/>
      <c r="F135" s="439"/>
      <c r="G135" s="439"/>
      <c r="H135" s="439"/>
      <c r="I135" s="439"/>
      <c r="J135" s="439"/>
      <c r="K135" s="442"/>
      <c r="L135" s="427"/>
    </row>
    <row r="136" spans="1:12">
      <c r="A136" s="427"/>
      <c r="B136" s="458"/>
      <c r="C136" s="663" t="s">
        <v>620</v>
      </c>
      <c r="D136" s="663"/>
      <c r="E136" s="459"/>
      <c r="F136" s="460" t="s">
        <v>636</v>
      </c>
      <c r="G136" s="460"/>
      <c r="H136" s="459"/>
      <c r="I136" s="459"/>
      <c r="J136" s="459" t="s">
        <v>637</v>
      </c>
      <c r="K136" s="461"/>
      <c r="L136" s="427"/>
    </row>
    <row r="137" spans="1:12">
      <c r="A137" s="427"/>
      <c r="B137" s="448" t="s">
        <v>616</v>
      </c>
      <c r="C137" s="657">
        <f>H134</f>
        <v>11500</v>
      </c>
      <c r="D137" s="657"/>
      <c r="E137" s="440" t="s">
        <v>28</v>
      </c>
      <c r="F137" s="483">
        <v>52.869</v>
      </c>
      <c r="G137" s="440" t="s">
        <v>587</v>
      </c>
      <c r="H137" s="440">
        <v>1000</v>
      </c>
      <c r="I137" s="440" t="s">
        <v>586</v>
      </c>
      <c r="J137" s="484">
        <f>C137*F137/H137</f>
        <v>607.99350000000004</v>
      </c>
      <c r="K137" s="442"/>
      <c r="L137" s="427"/>
    </row>
    <row r="138" spans="1:12" ht="15" thickBot="1">
      <c r="A138" s="427"/>
      <c r="B138" s="443"/>
      <c r="C138" s="485"/>
      <c r="D138" s="485"/>
      <c r="E138" s="464"/>
      <c r="F138" s="486"/>
      <c r="G138" s="464"/>
      <c r="H138" s="464"/>
      <c r="I138" s="464"/>
      <c r="J138" s="487"/>
      <c r="K138" s="445"/>
      <c r="L138" s="427"/>
    </row>
    <row r="139" spans="1:12" ht="40.5" customHeight="1">
      <c r="A139" s="427"/>
      <c r="B139" s="488" t="s">
        <v>576</v>
      </c>
      <c r="C139" s="489"/>
      <c r="D139" s="489"/>
      <c r="E139" s="490"/>
      <c r="F139" s="491"/>
      <c r="G139" s="490"/>
      <c r="H139" s="490"/>
      <c r="I139" s="490"/>
      <c r="J139" s="492"/>
      <c r="K139" s="493"/>
      <c r="L139" s="427"/>
    </row>
    <row r="140" spans="1:12">
      <c r="A140" s="427"/>
      <c r="B140" s="494" t="s">
        <v>638</v>
      </c>
      <c r="C140" s="495"/>
      <c r="D140" s="495"/>
      <c r="E140" s="496"/>
      <c r="F140" s="497"/>
      <c r="G140" s="496"/>
      <c r="H140" s="496"/>
      <c r="I140" s="496"/>
      <c r="J140" s="498"/>
      <c r="K140" s="499"/>
      <c r="L140" s="427"/>
    </row>
    <row r="141" spans="1:12">
      <c r="A141" s="427"/>
      <c r="B141" s="448"/>
      <c r="C141" s="457"/>
      <c r="D141" s="457"/>
      <c r="E141" s="440"/>
      <c r="F141" s="500"/>
      <c r="G141" s="440"/>
      <c r="H141" s="440"/>
      <c r="I141" s="440"/>
      <c r="J141" s="484"/>
      <c r="K141" s="442"/>
      <c r="L141" s="427"/>
    </row>
    <row r="142" spans="1:12">
      <c r="A142" s="427"/>
      <c r="B142" s="494" t="s">
        <v>639</v>
      </c>
      <c r="C142" s="495"/>
      <c r="D142" s="495"/>
      <c r="E142" s="496"/>
      <c r="F142" s="497"/>
      <c r="G142" s="496"/>
      <c r="H142" s="496"/>
      <c r="I142" s="496"/>
      <c r="J142" s="498"/>
      <c r="K142" s="499"/>
      <c r="L142" s="427"/>
    </row>
    <row r="143" spans="1:12">
      <c r="A143" s="427"/>
      <c r="B143" s="448"/>
      <c r="C143" s="457"/>
      <c r="D143" s="457"/>
      <c r="E143" s="440"/>
      <c r="F143" s="500"/>
      <c r="G143" s="440"/>
      <c r="H143" s="440"/>
      <c r="I143" s="440"/>
      <c r="J143" s="484"/>
      <c r="K143" s="442"/>
      <c r="L143" s="427"/>
    </row>
    <row r="144" spans="1:12" ht="76.5" customHeight="1">
      <c r="A144" s="427"/>
      <c r="B144" s="664" t="s">
        <v>640</v>
      </c>
      <c r="C144" s="665"/>
      <c r="D144" s="665"/>
      <c r="E144" s="665"/>
      <c r="F144" s="665"/>
      <c r="G144" s="665"/>
      <c r="H144" s="665"/>
      <c r="I144" s="665"/>
      <c r="J144" s="665"/>
      <c r="K144" s="666"/>
      <c r="L144" s="427"/>
    </row>
    <row r="145" spans="1:12" ht="15" thickBot="1">
      <c r="A145" s="427"/>
      <c r="B145" s="448"/>
      <c r="C145" s="457"/>
      <c r="D145" s="457"/>
      <c r="E145" s="440"/>
      <c r="F145" s="500"/>
      <c r="G145" s="440"/>
      <c r="H145" s="440"/>
      <c r="I145" s="440"/>
      <c r="J145" s="484"/>
      <c r="K145" s="442"/>
      <c r="L145" s="427"/>
    </row>
    <row r="146" spans="1:12">
      <c r="A146" s="427"/>
      <c r="B146" s="435" t="s">
        <v>580</v>
      </c>
      <c r="C146" s="501"/>
      <c r="D146" s="501"/>
      <c r="E146" s="502"/>
      <c r="F146" s="503"/>
      <c r="G146" s="502"/>
      <c r="H146" s="502"/>
      <c r="I146" s="502"/>
      <c r="J146" s="504"/>
      <c r="K146" s="437"/>
      <c r="L146" s="427"/>
    </row>
    <row r="147" spans="1:12">
      <c r="A147" s="427"/>
      <c r="B147" s="448"/>
      <c r="C147" s="657" t="s">
        <v>641</v>
      </c>
      <c r="D147" s="657"/>
      <c r="E147" s="440"/>
      <c r="F147" s="500" t="s">
        <v>642</v>
      </c>
      <c r="G147" s="440"/>
      <c r="H147" s="440"/>
      <c r="I147" s="440"/>
      <c r="J147" s="667" t="s">
        <v>643</v>
      </c>
      <c r="K147" s="668"/>
      <c r="L147" s="427"/>
    </row>
    <row r="148" spans="1:12">
      <c r="A148" s="427"/>
      <c r="B148" s="448"/>
      <c r="C148" s="656">
        <v>52.869</v>
      </c>
      <c r="D148" s="656"/>
      <c r="E148" s="440" t="s">
        <v>28</v>
      </c>
      <c r="F148" s="505">
        <v>133685008</v>
      </c>
      <c r="G148" s="506" t="s">
        <v>587</v>
      </c>
      <c r="H148" s="440">
        <v>1000</v>
      </c>
      <c r="I148" s="440" t="s">
        <v>586</v>
      </c>
      <c r="J148" s="657">
        <f>C148*(F148/1000)</f>
        <v>7067792.6879519997</v>
      </c>
      <c r="K148" s="658"/>
      <c r="L148" s="427"/>
    </row>
    <row r="149" spans="1:12" ht="15" thickBot="1">
      <c r="A149" s="427"/>
      <c r="B149" s="443"/>
      <c r="C149" s="485"/>
      <c r="D149" s="485"/>
      <c r="E149" s="464"/>
      <c r="F149" s="486"/>
      <c r="G149" s="464"/>
      <c r="H149" s="464"/>
      <c r="I149" s="464"/>
      <c r="J149" s="487"/>
      <c r="K149" s="445"/>
      <c r="L149" s="427"/>
    </row>
    <row r="150" spans="1:12" ht="15" thickBot="1">
      <c r="A150" s="427"/>
      <c r="B150" s="443"/>
      <c r="C150" s="444"/>
      <c r="D150" s="444"/>
      <c r="E150" s="444"/>
      <c r="F150" s="444"/>
      <c r="G150" s="444"/>
      <c r="H150" s="444"/>
      <c r="I150" s="444"/>
      <c r="J150" s="444"/>
      <c r="K150" s="445"/>
      <c r="L150" s="427"/>
    </row>
    <row r="151" spans="1:12">
      <c r="A151" s="427"/>
      <c r="B151" s="427"/>
      <c r="C151" s="427"/>
      <c r="D151" s="427"/>
      <c r="E151" s="427"/>
      <c r="F151" s="427"/>
      <c r="G151" s="427"/>
      <c r="H151" s="427"/>
      <c r="I151" s="427"/>
      <c r="J151" s="427"/>
      <c r="K151" s="427"/>
      <c r="L151" s="427"/>
    </row>
    <row r="152" spans="1:12">
      <c r="A152" s="427"/>
      <c r="B152" s="427"/>
      <c r="C152" s="427"/>
      <c r="D152" s="427"/>
      <c r="E152" s="427"/>
      <c r="F152" s="427"/>
      <c r="G152" s="427"/>
      <c r="H152" s="427"/>
      <c r="I152" s="427"/>
      <c r="J152" s="427"/>
      <c r="K152" s="427"/>
      <c r="L152" s="427"/>
    </row>
    <row r="153" spans="1:12">
      <c r="A153" s="427"/>
      <c r="B153" s="427"/>
      <c r="C153" s="427"/>
      <c r="D153" s="427"/>
      <c r="E153" s="427"/>
      <c r="F153" s="427"/>
      <c r="G153" s="427"/>
      <c r="H153" s="427"/>
      <c r="I153" s="427"/>
      <c r="J153" s="427"/>
      <c r="K153" s="427"/>
      <c r="L153" s="427"/>
    </row>
    <row r="154" spans="1:12">
      <c r="A154" s="507"/>
      <c r="B154" s="507"/>
      <c r="C154" s="507"/>
      <c r="D154" s="507"/>
      <c r="E154" s="507"/>
      <c r="F154" s="507"/>
      <c r="G154" s="507"/>
      <c r="H154" s="507"/>
      <c r="I154" s="507"/>
      <c r="J154" s="507"/>
      <c r="K154" s="507"/>
      <c r="L154" s="507"/>
    </row>
    <row r="155" spans="1:12">
      <c r="A155" s="507"/>
      <c r="B155" s="507"/>
      <c r="C155" s="507"/>
      <c r="D155" s="507"/>
      <c r="E155" s="507"/>
      <c r="F155" s="507"/>
      <c r="G155" s="507"/>
      <c r="H155" s="507"/>
      <c r="I155" s="507"/>
      <c r="J155" s="507"/>
      <c r="K155" s="507"/>
      <c r="L155" s="507"/>
    </row>
    <row r="156" spans="1:12">
      <c r="A156" s="507"/>
      <c r="B156" s="507"/>
      <c r="C156" s="507"/>
      <c r="D156" s="507"/>
      <c r="E156" s="507"/>
      <c r="F156" s="507"/>
      <c r="G156" s="507"/>
      <c r="H156" s="507"/>
      <c r="I156" s="507"/>
      <c r="J156" s="507"/>
      <c r="K156" s="507"/>
      <c r="L156" s="507"/>
    </row>
    <row r="157" spans="1:12">
      <c r="A157" s="507"/>
      <c r="B157" s="507"/>
      <c r="C157" s="507"/>
      <c r="D157" s="507"/>
      <c r="E157" s="507"/>
      <c r="F157" s="507"/>
      <c r="G157" s="507"/>
      <c r="H157" s="507"/>
      <c r="I157" s="507"/>
      <c r="J157" s="507"/>
      <c r="K157" s="507"/>
      <c r="L157" s="507"/>
    </row>
    <row r="158" spans="1:12">
      <c r="A158" s="507"/>
      <c r="B158" s="507"/>
      <c r="C158" s="507"/>
      <c r="D158" s="507"/>
      <c r="E158" s="507"/>
      <c r="F158" s="507"/>
      <c r="G158" s="507"/>
      <c r="H158" s="507"/>
      <c r="I158" s="507"/>
      <c r="J158" s="507"/>
      <c r="K158" s="507"/>
      <c r="L158" s="507"/>
    </row>
    <row r="159" spans="1:12">
      <c r="A159" s="507"/>
      <c r="B159" s="507"/>
      <c r="C159" s="507"/>
      <c r="D159" s="507"/>
      <c r="E159" s="507"/>
      <c r="F159" s="507"/>
      <c r="G159" s="507"/>
      <c r="H159" s="507"/>
      <c r="I159" s="507"/>
      <c r="J159" s="507"/>
      <c r="K159" s="507"/>
      <c r="L159" s="507"/>
    </row>
    <row r="160" spans="1:12">
      <c r="A160" s="507"/>
      <c r="B160" s="507"/>
      <c r="C160" s="507"/>
      <c r="D160" s="507"/>
      <c r="E160" s="507"/>
      <c r="F160" s="507"/>
      <c r="G160" s="507"/>
      <c r="H160" s="507"/>
      <c r="I160" s="507"/>
      <c r="J160" s="507"/>
      <c r="K160" s="507"/>
      <c r="L160" s="507"/>
    </row>
    <row r="161" spans="1:12">
      <c r="A161" s="507"/>
      <c r="B161" s="507"/>
      <c r="C161" s="507"/>
      <c r="D161" s="507"/>
      <c r="E161" s="507"/>
      <c r="F161" s="507"/>
      <c r="G161" s="507"/>
      <c r="H161" s="507"/>
      <c r="I161" s="507"/>
      <c r="J161" s="507"/>
      <c r="K161" s="507"/>
      <c r="L161" s="507"/>
    </row>
    <row r="162" spans="1:12">
      <c r="A162" s="507"/>
      <c r="B162" s="507"/>
      <c r="C162" s="507"/>
      <c r="D162" s="507"/>
      <c r="E162" s="507"/>
      <c r="F162" s="507"/>
      <c r="G162" s="507"/>
      <c r="H162" s="507"/>
      <c r="I162" s="507"/>
      <c r="J162" s="507"/>
      <c r="K162" s="507"/>
      <c r="L162" s="507"/>
    </row>
    <row r="163" spans="1:12">
      <c r="A163" s="507"/>
      <c r="B163" s="507"/>
      <c r="C163" s="507"/>
      <c r="D163" s="507"/>
      <c r="E163" s="507"/>
      <c r="F163" s="507"/>
      <c r="G163" s="507"/>
      <c r="H163" s="507"/>
      <c r="I163" s="507"/>
      <c r="J163" s="507"/>
      <c r="K163" s="507"/>
      <c r="L163" s="507"/>
    </row>
    <row r="164" spans="1:12">
      <c r="A164" s="507"/>
      <c r="B164" s="507"/>
      <c r="C164" s="507"/>
      <c r="D164" s="507"/>
      <c r="E164" s="507"/>
      <c r="F164" s="507"/>
      <c r="G164" s="507"/>
      <c r="H164" s="507"/>
      <c r="I164" s="507"/>
      <c r="J164" s="507"/>
      <c r="K164" s="507"/>
      <c r="L164" s="507"/>
    </row>
    <row r="165" spans="1:12">
      <c r="A165" s="507"/>
      <c r="B165" s="507"/>
      <c r="C165" s="507"/>
      <c r="D165" s="507"/>
      <c r="E165" s="507"/>
      <c r="F165" s="507"/>
      <c r="G165" s="507"/>
      <c r="H165" s="507"/>
      <c r="I165" s="507"/>
      <c r="J165" s="507"/>
      <c r="K165" s="507"/>
      <c r="L165" s="507"/>
    </row>
    <row r="166" spans="1:12">
      <c r="A166" s="507"/>
      <c r="B166" s="507"/>
      <c r="C166" s="507"/>
      <c r="D166" s="507"/>
      <c r="E166" s="507"/>
      <c r="F166" s="507"/>
      <c r="G166" s="507"/>
      <c r="H166" s="507"/>
      <c r="I166" s="507"/>
      <c r="J166" s="507"/>
      <c r="K166" s="507"/>
      <c r="L166" s="507"/>
    </row>
    <row r="167" spans="1:12">
      <c r="A167" s="507"/>
      <c r="B167" s="507"/>
      <c r="C167" s="507"/>
      <c r="D167" s="507"/>
      <c r="E167" s="507"/>
      <c r="F167" s="507"/>
      <c r="G167" s="507"/>
      <c r="H167" s="507"/>
      <c r="I167" s="507"/>
      <c r="J167" s="507"/>
      <c r="K167" s="507"/>
      <c r="L167" s="507"/>
    </row>
    <row r="168" spans="1:12">
      <c r="A168" s="507"/>
      <c r="B168" s="507"/>
      <c r="C168" s="507"/>
      <c r="D168" s="507"/>
      <c r="E168" s="507"/>
      <c r="F168" s="507"/>
      <c r="G168" s="507"/>
      <c r="H168" s="507"/>
      <c r="I168" s="507"/>
      <c r="J168" s="507"/>
      <c r="K168" s="507"/>
      <c r="L168" s="507"/>
    </row>
    <row r="169" spans="1:12">
      <c r="A169" s="507"/>
      <c r="B169" s="507"/>
      <c r="C169" s="507"/>
      <c r="D169" s="507"/>
      <c r="E169" s="507"/>
      <c r="F169" s="507"/>
      <c r="G169" s="507"/>
      <c r="H169" s="507"/>
      <c r="I169" s="507"/>
      <c r="J169" s="507"/>
      <c r="K169" s="507"/>
      <c r="L169" s="507"/>
    </row>
    <row r="170" spans="1:12">
      <c r="A170" s="507"/>
      <c r="B170" s="507"/>
      <c r="C170" s="507"/>
      <c r="D170" s="507"/>
      <c r="E170" s="507"/>
      <c r="F170" s="507"/>
      <c r="G170" s="507"/>
      <c r="H170" s="507"/>
      <c r="I170" s="507"/>
      <c r="J170" s="507"/>
      <c r="K170" s="507"/>
      <c r="L170" s="507"/>
    </row>
    <row r="171" spans="1:12">
      <c r="A171" s="507"/>
      <c r="B171" s="507"/>
      <c r="C171" s="507"/>
      <c r="D171" s="507"/>
      <c r="E171" s="507"/>
      <c r="F171" s="507"/>
      <c r="G171" s="507"/>
      <c r="H171" s="507"/>
      <c r="I171" s="507"/>
      <c r="J171" s="507"/>
      <c r="K171" s="507"/>
      <c r="L171" s="507"/>
    </row>
    <row r="172" spans="1:12">
      <c r="A172" s="507"/>
      <c r="B172" s="507"/>
      <c r="C172" s="507"/>
      <c r="D172" s="507"/>
      <c r="E172" s="507"/>
      <c r="F172" s="507"/>
      <c r="G172" s="507"/>
      <c r="H172" s="507"/>
      <c r="I172" s="507"/>
      <c r="J172" s="507"/>
      <c r="K172" s="507"/>
      <c r="L172" s="507"/>
    </row>
    <row r="173" spans="1:12">
      <c r="A173" s="507"/>
      <c r="B173" s="507"/>
      <c r="C173" s="507"/>
      <c r="D173" s="507"/>
      <c r="E173" s="507"/>
      <c r="F173" s="507"/>
      <c r="G173" s="507"/>
      <c r="H173" s="507"/>
      <c r="I173" s="507"/>
      <c r="J173" s="507"/>
      <c r="K173" s="507"/>
      <c r="L173" s="507"/>
    </row>
    <row r="174" spans="1:12">
      <c r="A174" s="507"/>
      <c r="B174" s="507"/>
      <c r="C174" s="507"/>
      <c r="D174" s="507"/>
      <c r="E174" s="507"/>
      <c r="F174" s="507"/>
      <c r="G174" s="507"/>
      <c r="H174" s="507"/>
      <c r="I174" s="507"/>
      <c r="J174" s="507"/>
      <c r="K174" s="507"/>
      <c r="L174" s="507"/>
    </row>
    <row r="175" spans="1:12">
      <c r="A175" s="507"/>
      <c r="B175" s="507"/>
      <c r="C175" s="507"/>
      <c r="D175" s="507"/>
      <c r="E175" s="507"/>
      <c r="F175" s="507"/>
      <c r="G175" s="507"/>
      <c r="H175" s="507"/>
      <c r="I175" s="507"/>
      <c r="J175" s="507"/>
      <c r="K175" s="507"/>
      <c r="L175" s="507"/>
    </row>
    <row r="176" spans="1:12">
      <c r="A176" s="507"/>
      <c r="B176" s="507"/>
      <c r="C176" s="507"/>
      <c r="D176" s="507"/>
      <c r="E176" s="507"/>
      <c r="F176" s="507"/>
      <c r="G176" s="507"/>
      <c r="H176" s="507"/>
      <c r="I176" s="507"/>
      <c r="J176" s="507"/>
      <c r="K176" s="507"/>
      <c r="L176" s="507"/>
    </row>
    <row r="177" spans="1:12">
      <c r="A177" s="507"/>
      <c r="B177" s="507"/>
      <c r="C177" s="507"/>
      <c r="D177" s="507"/>
      <c r="E177" s="507"/>
      <c r="F177" s="507"/>
      <c r="G177" s="507"/>
      <c r="H177" s="507"/>
      <c r="I177" s="507"/>
      <c r="J177" s="507"/>
      <c r="K177" s="507"/>
      <c r="L177" s="507"/>
    </row>
    <row r="178" spans="1:12">
      <c r="A178" s="507"/>
      <c r="B178" s="507"/>
      <c r="C178" s="507"/>
      <c r="D178" s="507"/>
      <c r="E178" s="507"/>
      <c r="F178" s="507"/>
      <c r="G178" s="507"/>
      <c r="H178" s="507"/>
      <c r="I178" s="507"/>
      <c r="J178" s="507"/>
      <c r="K178" s="507"/>
      <c r="L178" s="507"/>
    </row>
    <row r="179" spans="1:12">
      <c r="A179" s="507"/>
      <c r="B179" s="507"/>
      <c r="C179" s="507"/>
      <c r="D179" s="507"/>
      <c r="E179" s="507"/>
      <c r="F179" s="507"/>
      <c r="G179" s="507"/>
      <c r="H179" s="507"/>
      <c r="I179" s="507"/>
      <c r="J179" s="507"/>
      <c r="K179" s="507"/>
      <c r="L179" s="507"/>
    </row>
    <row r="180" spans="1:12">
      <c r="A180" s="507"/>
      <c r="B180" s="507"/>
      <c r="C180" s="507"/>
      <c r="D180" s="507"/>
      <c r="E180" s="507"/>
      <c r="F180" s="507"/>
      <c r="G180" s="507"/>
      <c r="H180" s="507"/>
      <c r="I180" s="507"/>
      <c r="J180" s="507"/>
      <c r="K180" s="507"/>
      <c r="L180" s="507"/>
    </row>
    <row r="181" spans="1:12">
      <c r="A181" s="507"/>
      <c r="B181" s="507"/>
      <c r="C181" s="507"/>
      <c r="D181" s="507"/>
      <c r="E181" s="507"/>
      <c r="F181" s="507"/>
      <c r="G181" s="507"/>
      <c r="H181" s="507"/>
      <c r="I181" s="507"/>
      <c r="J181" s="507"/>
      <c r="K181" s="507"/>
      <c r="L181" s="507"/>
    </row>
    <row r="182" spans="1:12">
      <c r="A182" s="507"/>
      <c r="B182" s="507"/>
      <c r="C182" s="507"/>
      <c r="D182" s="507"/>
      <c r="E182" s="507"/>
      <c r="F182" s="507"/>
      <c r="G182" s="507"/>
      <c r="H182" s="507"/>
      <c r="I182" s="507"/>
      <c r="J182" s="507"/>
      <c r="K182" s="507"/>
      <c r="L182" s="507"/>
    </row>
    <row r="183" spans="1:12">
      <c r="A183" s="507"/>
      <c r="B183" s="507"/>
      <c r="C183" s="507"/>
      <c r="D183" s="507"/>
      <c r="E183" s="507"/>
      <c r="F183" s="507"/>
      <c r="G183" s="507"/>
      <c r="H183" s="507"/>
      <c r="I183" s="507"/>
      <c r="J183" s="507"/>
      <c r="K183" s="507"/>
      <c r="L183" s="507"/>
    </row>
    <row r="184" spans="1:12">
      <c r="A184" s="507"/>
      <c r="B184" s="507"/>
      <c r="C184" s="507"/>
      <c r="D184" s="507"/>
      <c r="E184" s="507"/>
      <c r="F184" s="507"/>
      <c r="G184" s="507"/>
      <c r="H184" s="507"/>
      <c r="I184" s="507"/>
      <c r="J184" s="507"/>
      <c r="K184" s="507"/>
      <c r="L184" s="507"/>
    </row>
    <row r="185" spans="1:12">
      <c r="A185" s="507"/>
      <c r="B185" s="507"/>
      <c r="C185" s="507"/>
      <c r="D185" s="507"/>
      <c r="E185" s="507"/>
      <c r="F185" s="507"/>
      <c r="G185" s="507"/>
      <c r="H185" s="507"/>
      <c r="I185" s="507"/>
      <c r="J185" s="507"/>
      <c r="K185" s="507"/>
      <c r="L185" s="507"/>
    </row>
    <row r="186" spans="1:12">
      <c r="A186" s="507"/>
      <c r="B186" s="507"/>
      <c r="C186" s="507"/>
      <c r="D186" s="507"/>
      <c r="E186" s="507"/>
      <c r="F186" s="507"/>
      <c r="G186" s="507"/>
      <c r="H186" s="507"/>
      <c r="I186" s="507"/>
      <c r="J186" s="507"/>
      <c r="K186" s="507"/>
      <c r="L186" s="507"/>
    </row>
    <row r="187" spans="1:12">
      <c r="A187" s="507"/>
      <c r="B187" s="507"/>
      <c r="C187" s="507"/>
      <c r="D187" s="507"/>
      <c r="E187" s="507"/>
      <c r="F187" s="507"/>
      <c r="G187" s="507"/>
      <c r="H187" s="507"/>
      <c r="I187" s="507"/>
      <c r="J187" s="507"/>
      <c r="K187" s="507"/>
      <c r="L187" s="507"/>
    </row>
    <row r="188" spans="1:12">
      <c r="A188" s="507"/>
      <c r="B188" s="507"/>
      <c r="C188" s="507"/>
      <c r="D188" s="507"/>
      <c r="E188" s="507"/>
      <c r="F188" s="507"/>
      <c r="G188" s="507"/>
      <c r="H188" s="507"/>
      <c r="I188" s="507"/>
      <c r="J188" s="507"/>
      <c r="K188" s="507"/>
      <c r="L188" s="507"/>
    </row>
    <row r="189" spans="1:12">
      <c r="A189" s="507"/>
      <c r="B189" s="507"/>
      <c r="C189" s="507"/>
      <c r="D189" s="507"/>
      <c r="E189" s="507"/>
      <c r="F189" s="507"/>
      <c r="G189" s="507"/>
      <c r="H189" s="507"/>
      <c r="I189" s="507"/>
      <c r="J189" s="507"/>
      <c r="K189" s="507"/>
      <c r="L189" s="507"/>
    </row>
    <row r="190" spans="1:12">
      <c r="A190" s="507"/>
      <c r="B190" s="507"/>
      <c r="C190" s="507"/>
      <c r="D190" s="507"/>
      <c r="E190" s="507"/>
      <c r="F190" s="507"/>
      <c r="G190" s="507"/>
      <c r="H190" s="507"/>
      <c r="I190" s="507"/>
      <c r="J190" s="507"/>
      <c r="K190" s="507"/>
      <c r="L190" s="507"/>
    </row>
    <row r="191" spans="1:12">
      <c r="A191" s="507"/>
      <c r="B191" s="507"/>
      <c r="C191" s="507"/>
      <c r="D191" s="507"/>
      <c r="E191" s="507"/>
      <c r="F191" s="507"/>
      <c r="G191" s="507"/>
      <c r="H191" s="507"/>
      <c r="I191" s="507"/>
      <c r="J191" s="507"/>
      <c r="K191" s="507"/>
      <c r="L191" s="507"/>
    </row>
    <row r="192" spans="1:12">
      <c r="A192" s="507"/>
      <c r="B192" s="507"/>
      <c r="C192" s="507"/>
      <c r="D192" s="507"/>
      <c r="E192" s="507"/>
      <c r="F192" s="507"/>
      <c r="G192" s="507"/>
      <c r="H192" s="507"/>
      <c r="I192" s="507"/>
      <c r="J192" s="507"/>
      <c r="K192" s="507"/>
      <c r="L192" s="507"/>
    </row>
    <row r="193" spans="1:12">
      <c r="A193" s="507"/>
      <c r="B193" s="507"/>
      <c r="C193" s="507"/>
      <c r="D193" s="507"/>
      <c r="E193" s="507"/>
      <c r="F193" s="507"/>
      <c r="G193" s="507"/>
      <c r="H193" s="507"/>
      <c r="I193" s="507"/>
      <c r="J193" s="507"/>
      <c r="K193" s="507"/>
      <c r="L193" s="507"/>
    </row>
    <row r="194" spans="1:12">
      <c r="A194" s="507"/>
      <c r="B194" s="507"/>
      <c r="C194" s="507"/>
      <c r="D194" s="507"/>
      <c r="E194" s="507"/>
      <c r="F194" s="507"/>
      <c r="G194" s="507"/>
      <c r="H194" s="507"/>
      <c r="I194" s="507"/>
      <c r="J194" s="507"/>
      <c r="K194" s="507"/>
      <c r="L194" s="507"/>
    </row>
    <row r="195" spans="1:12">
      <c r="A195" s="507"/>
      <c r="B195" s="507"/>
      <c r="C195" s="507"/>
      <c r="D195" s="507"/>
      <c r="E195" s="507"/>
      <c r="F195" s="507"/>
      <c r="G195" s="507"/>
      <c r="H195" s="507"/>
      <c r="I195" s="507"/>
      <c r="J195" s="507"/>
      <c r="K195" s="507"/>
      <c r="L195" s="507"/>
    </row>
    <row r="196" spans="1:12">
      <c r="A196" s="507"/>
      <c r="B196" s="507"/>
      <c r="C196" s="507"/>
      <c r="D196" s="507"/>
      <c r="E196" s="507"/>
      <c r="F196" s="507"/>
      <c r="G196" s="507"/>
      <c r="H196" s="507"/>
      <c r="I196" s="507"/>
      <c r="J196" s="507"/>
      <c r="K196" s="507"/>
      <c r="L196" s="507"/>
    </row>
    <row r="197" spans="1:12">
      <c r="A197" s="507"/>
      <c r="B197" s="507"/>
      <c r="C197" s="507"/>
      <c r="D197" s="507"/>
      <c r="E197" s="507"/>
      <c r="F197" s="507"/>
      <c r="G197" s="507"/>
      <c r="H197" s="507"/>
      <c r="I197" s="507"/>
      <c r="J197" s="507"/>
      <c r="K197" s="507"/>
      <c r="L197" s="507"/>
    </row>
    <row r="198" spans="1:12">
      <c r="A198" s="507"/>
      <c r="B198" s="507"/>
      <c r="C198" s="507"/>
      <c r="D198" s="507"/>
      <c r="E198" s="507"/>
      <c r="F198" s="507"/>
      <c r="G198" s="507"/>
      <c r="H198" s="507"/>
      <c r="I198" s="507"/>
      <c r="J198" s="507"/>
      <c r="K198" s="507"/>
      <c r="L198" s="507"/>
    </row>
    <row r="199" spans="1:12">
      <c r="A199" s="507"/>
      <c r="B199" s="507"/>
      <c r="C199" s="507"/>
      <c r="D199" s="507"/>
      <c r="E199" s="507"/>
      <c r="F199" s="507"/>
      <c r="G199" s="507"/>
      <c r="H199" s="507"/>
      <c r="I199" s="507"/>
      <c r="J199" s="507"/>
      <c r="K199" s="507"/>
      <c r="L199" s="507"/>
    </row>
    <row r="200" spans="1:12">
      <c r="A200" s="507"/>
      <c r="B200" s="507"/>
      <c r="C200" s="507"/>
      <c r="D200" s="507"/>
      <c r="E200" s="507"/>
      <c r="F200" s="507"/>
      <c r="G200" s="507"/>
      <c r="H200" s="507"/>
      <c r="I200" s="507"/>
      <c r="J200" s="507"/>
      <c r="K200" s="507"/>
      <c r="L200" s="507"/>
    </row>
    <row r="201" spans="1:12">
      <c r="A201" s="507"/>
      <c r="B201" s="507"/>
      <c r="C201" s="507"/>
      <c r="D201" s="507"/>
      <c r="E201" s="507"/>
      <c r="F201" s="507"/>
      <c r="G201" s="507"/>
      <c r="H201" s="507"/>
      <c r="I201" s="507"/>
      <c r="J201" s="507"/>
      <c r="K201" s="507"/>
      <c r="L201" s="507"/>
    </row>
    <row r="202" spans="1:12">
      <c r="A202" s="507"/>
      <c r="B202" s="507"/>
      <c r="C202" s="507"/>
      <c r="D202" s="507"/>
      <c r="E202" s="507"/>
      <c r="F202" s="507"/>
      <c r="G202" s="507"/>
      <c r="H202" s="507"/>
      <c r="I202" s="507"/>
      <c r="J202" s="507"/>
      <c r="K202" s="507"/>
      <c r="L202" s="507"/>
    </row>
    <row r="203" spans="1:12">
      <c r="A203" s="507"/>
      <c r="B203" s="507"/>
      <c r="C203" s="507"/>
      <c r="D203" s="507"/>
      <c r="E203" s="507"/>
      <c r="F203" s="507"/>
      <c r="G203" s="507"/>
      <c r="H203" s="507"/>
      <c r="I203" s="507"/>
      <c r="J203" s="507"/>
      <c r="K203" s="507"/>
      <c r="L203" s="507"/>
    </row>
    <row r="204" spans="1:12">
      <c r="A204" s="507"/>
      <c r="B204" s="507"/>
      <c r="C204" s="507"/>
      <c r="D204" s="507"/>
      <c r="E204" s="507"/>
      <c r="F204" s="507"/>
      <c r="G204" s="507"/>
      <c r="H204" s="507"/>
      <c r="I204" s="507"/>
      <c r="J204" s="507"/>
      <c r="K204" s="507"/>
      <c r="L204" s="507"/>
    </row>
    <row r="205" spans="1:12">
      <c r="A205" s="507"/>
      <c r="B205" s="507"/>
      <c r="C205" s="507"/>
      <c r="D205" s="507"/>
      <c r="E205" s="507"/>
      <c r="F205" s="507"/>
      <c r="G205" s="507"/>
      <c r="H205" s="507"/>
      <c r="I205" s="507"/>
      <c r="J205" s="507"/>
      <c r="K205" s="507"/>
      <c r="L205" s="507"/>
    </row>
    <row r="206" spans="1:12">
      <c r="A206" s="507"/>
      <c r="B206" s="507"/>
      <c r="C206" s="507"/>
      <c r="D206" s="507"/>
      <c r="E206" s="507"/>
      <c r="F206" s="507"/>
      <c r="G206" s="507"/>
      <c r="H206" s="507"/>
      <c r="I206" s="507"/>
      <c r="J206" s="507"/>
      <c r="K206" s="507"/>
      <c r="L206" s="507"/>
    </row>
    <row r="207" spans="1:12">
      <c r="A207" s="507"/>
      <c r="B207" s="507"/>
      <c r="C207" s="507"/>
      <c r="D207" s="507"/>
      <c r="E207" s="507"/>
      <c r="F207" s="507"/>
      <c r="G207" s="507"/>
      <c r="H207" s="507"/>
      <c r="I207" s="507"/>
      <c r="J207" s="507"/>
      <c r="K207" s="507"/>
      <c r="L207" s="507"/>
    </row>
    <row r="208" spans="1:12">
      <c r="A208" s="507"/>
      <c r="B208" s="507"/>
      <c r="C208" s="507"/>
      <c r="D208" s="507"/>
      <c r="E208" s="507"/>
      <c r="F208" s="507"/>
      <c r="G208" s="507"/>
      <c r="H208" s="507"/>
      <c r="I208" s="507"/>
      <c r="J208" s="507"/>
      <c r="K208" s="507"/>
      <c r="L208" s="507"/>
    </row>
    <row r="209" spans="1:12">
      <c r="A209" s="507"/>
      <c r="B209" s="507"/>
      <c r="C209" s="507"/>
      <c r="D209" s="507"/>
      <c r="E209" s="507"/>
      <c r="F209" s="507"/>
      <c r="G209" s="507"/>
      <c r="H209" s="507"/>
      <c r="I209" s="507"/>
      <c r="J209" s="507"/>
      <c r="K209" s="507"/>
      <c r="L209" s="507"/>
    </row>
    <row r="210" spans="1:12">
      <c r="A210" s="507"/>
      <c r="B210" s="507"/>
      <c r="C210" s="507"/>
      <c r="D210" s="507"/>
      <c r="E210" s="507"/>
      <c r="F210" s="507"/>
      <c r="G210" s="507"/>
      <c r="H210" s="507"/>
      <c r="I210" s="507"/>
      <c r="J210" s="507"/>
      <c r="K210" s="507"/>
      <c r="L210" s="507"/>
    </row>
    <row r="211" spans="1:12">
      <c r="A211" s="507"/>
      <c r="B211" s="507"/>
      <c r="C211" s="507"/>
      <c r="D211" s="507"/>
      <c r="E211" s="507"/>
      <c r="F211" s="507"/>
      <c r="G211" s="507"/>
      <c r="H211" s="507"/>
      <c r="I211" s="507"/>
      <c r="J211" s="507"/>
      <c r="K211" s="507"/>
      <c r="L211" s="507"/>
    </row>
    <row r="212" spans="1:12">
      <c r="A212" s="507"/>
      <c r="B212" s="507"/>
      <c r="C212" s="507"/>
      <c r="D212" s="507"/>
      <c r="E212" s="507"/>
      <c r="F212" s="507"/>
      <c r="G212" s="507"/>
      <c r="H212" s="507"/>
      <c r="I212" s="507"/>
      <c r="J212" s="507"/>
      <c r="K212" s="507"/>
      <c r="L212" s="507"/>
    </row>
    <row r="213" spans="1:12">
      <c r="A213" s="507"/>
      <c r="B213" s="507"/>
      <c r="C213" s="507"/>
      <c r="D213" s="507"/>
      <c r="E213" s="507"/>
      <c r="F213" s="507"/>
      <c r="G213" s="507"/>
      <c r="H213" s="507"/>
      <c r="I213" s="507"/>
      <c r="J213" s="507"/>
      <c r="K213" s="507"/>
      <c r="L213" s="507"/>
    </row>
    <row r="214" spans="1:12">
      <c r="A214" s="507"/>
      <c r="B214" s="507"/>
      <c r="C214" s="507"/>
      <c r="D214" s="507"/>
      <c r="E214" s="507"/>
      <c r="F214" s="507"/>
      <c r="G214" s="507"/>
      <c r="H214" s="507"/>
      <c r="I214" s="507"/>
      <c r="J214" s="507"/>
      <c r="K214" s="507"/>
      <c r="L214" s="507"/>
    </row>
    <row r="215" spans="1:12">
      <c r="A215" s="507"/>
      <c r="B215" s="507"/>
      <c r="C215" s="507"/>
      <c r="D215" s="507"/>
      <c r="E215" s="507"/>
      <c r="F215" s="507"/>
      <c r="G215" s="507"/>
      <c r="H215" s="507"/>
      <c r="I215" s="507"/>
      <c r="J215" s="507"/>
      <c r="K215" s="507"/>
      <c r="L215" s="507"/>
    </row>
    <row r="216" spans="1:12">
      <c r="A216" s="507"/>
      <c r="B216" s="507"/>
      <c r="C216" s="507"/>
      <c r="D216" s="507"/>
      <c r="E216" s="507"/>
      <c r="F216" s="507"/>
      <c r="G216" s="507"/>
      <c r="H216" s="507"/>
      <c r="I216" s="507"/>
      <c r="J216" s="507"/>
      <c r="K216" s="507"/>
      <c r="L216" s="507"/>
    </row>
    <row r="217" spans="1:12">
      <c r="A217" s="507"/>
      <c r="B217" s="507"/>
      <c r="C217" s="507"/>
      <c r="D217" s="507"/>
      <c r="E217" s="507"/>
      <c r="F217" s="507"/>
      <c r="G217" s="507"/>
      <c r="H217" s="507"/>
      <c r="I217" s="507"/>
      <c r="J217" s="507"/>
      <c r="K217" s="507"/>
      <c r="L217" s="507"/>
    </row>
    <row r="218" spans="1:12">
      <c r="A218" s="507"/>
      <c r="B218" s="507"/>
      <c r="C218" s="507"/>
      <c r="D218" s="507"/>
      <c r="E218" s="507"/>
      <c r="F218" s="507"/>
      <c r="G218" s="507"/>
      <c r="H218" s="507"/>
      <c r="I218" s="507"/>
      <c r="J218" s="507"/>
      <c r="K218" s="507"/>
      <c r="L218" s="507"/>
    </row>
    <row r="219" spans="1:12">
      <c r="A219" s="507"/>
      <c r="B219" s="507"/>
      <c r="C219" s="507"/>
      <c r="D219" s="507"/>
      <c r="E219" s="507"/>
      <c r="F219" s="507"/>
      <c r="G219" s="507"/>
      <c r="H219" s="507"/>
      <c r="I219" s="507"/>
      <c r="J219" s="507"/>
      <c r="K219" s="507"/>
      <c r="L219" s="507"/>
    </row>
    <row r="220" spans="1:12">
      <c r="A220" s="507"/>
      <c r="B220" s="507"/>
      <c r="C220" s="507"/>
      <c r="D220" s="507"/>
      <c r="E220" s="507"/>
      <c r="F220" s="507"/>
      <c r="G220" s="507"/>
      <c r="H220" s="507"/>
      <c r="I220" s="507"/>
      <c r="J220" s="507"/>
      <c r="K220" s="507"/>
      <c r="L220" s="507"/>
    </row>
    <row r="221" spans="1:12">
      <c r="A221" s="507"/>
      <c r="B221" s="507"/>
      <c r="C221" s="507"/>
      <c r="D221" s="507"/>
      <c r="E221" s="507"/>
      <c r="F221" s="507"/>
      <c r="G221" s="507"/>
      <c r="H221" s="507"/>
      <c r="I221" s="507"/>
      <c r="J221" s="507"/>
      <c r="K221" s="507"/>
      <c r="L221" s="507"/>
    </row>
    <row r="222" spans="1:12">
      <c r="A222" s="507"/>
      <c r="B222" s="507"/>
      <c r="C222" s="507"/>
      <c r="D222" s="507"/>
      <c r="E222" s="507"/>
      <c r="F222" s="507"/>
      <c r="G222" s="507"/>
      <c r="H222" s="507"/>
      <c r="I222" s="507"/>
      <c r="J222" s="507"/>
      <c r="K222" s="507"/>
      <c r="L222" s="507"/>
    </row>
    <row r="223" spans="1:12">
      <c r="A223" s="507"/>
      <c r="B223" s="507"/>
      <c r="C223" s="507"/>
      <c r="D223" s="507"/>
      <c r="E223" s="507"/>
      <c r="F223" s="507"/>
      <c r="G223" s="507"/>
      <c r="H223" s="507"/>
      <c r="I223" s="507"/>
      <c r="J223" s="507"/>
      <c r="K223" s="507"/>
      <c r="L223" s="507"/>
    </row>
    <row r="224" spans="1:12">
      <c r="A224" s="507"/>
      <c r="B224" s="507"/>
      <c r="C224" s="507"/>
      <c r="D224" s="507"/>
      <c r="E224" s="507"/>
      <c r="F224" s="507"/>
      <c r="G224" s="507"/>
      <c r="H224" s="507"/>
      <c r="I224" s="507"/>
      <c r="J224" s="507"/>
      <c r="K224" s="507"/>
      <c r="L224" s="507"/>
    </row>
    <row r="225" spans="1:12">
      <c r="A225" s="507"/>
      <c r="B225" s="507"/>
      <c r="C225" s="507"/>
      <c r="D225" s="507"/>
      <c r="E225" s="507"/>
      <c r="F225" s="507"/>
      <c r="G225" s="507"/>
      <c r="H225" s="507"/>
      <c r="I225" s="507"/>
      <c r="J225" s="507"/>
      <c r="K225" s="507"/>
      <c r="L225" s="507"/>
    </row>
    <row r="226" spans="1:12">
      <c r="A226" s="507"/>
      <c r="B226" s="507"/>
      <c r="C226" s="507"/>
      <c r="D226" s="507"/>
      <c r="E226" s="507"/>
      <c r="F226" s="507"/>
      <c r="G226" s="507"/>
      <c r="H226" s="507"/>
      <c r="I226" s="507"/>
      <c r="J226" s="507"/>
      <c r="K226" s="507"/>
      <c r="L226" s="507"/>
    </row>
    <row r="227" spans="1:12">
      <c r="A227" s="507"/>
      <c r="B227" s="507"/>
      <c r="C227" s="507"/>
      <c r="D227" s="507"/>
      <c r="E227" s="507"/>
      <c r="F227" s="507"/>
      <c r="G227" s="507"/>
      <c r="H227" s="507"/>
      <c r="I227" s="507"/>
      <c r="J227" s="507"/>
      <c r="K227" s="507"/>
      <c r="L227" s="507"/>
    </row>
    <row r="228" spans="1:12">
      <c r="A228" s="507"/>
      <c r="B228" s="507"/>
      <c r="C228" s="507"/>
      <c r="D228" s="507"/>
      <c r="E228" s="507"/>
      <c r="F228" s="507"/>
      <c r="G228" s="507"/>
      <c r="H228" s="507"/>
      <c r="I228" s="507"/>
      <c r="J228" s="507"/>
      <c r="K228" s="507"/>
      <c r="L228" s="507"/>
    </row>
    <row r="229" spans="1:12">
      <c r="A229" s="507"/>
      <c r="B229" s="507"/>
      <c r="C229" s="507"/>
      <c r="D229" s="507"/>
      <c r="E229" s="507"/>
      <c r="F229" s="507"/>
      <c r="G229" s="507"/>
      <c r="H229" s="507"/>
      <c r="I229" s="507"/>
      <c r="J229" s="507"/>
      <c r="K229" s="507"/>
      <c r="L229" s="507"/>
    </row>
    <row r="230" spans="1:12">
      <c r="A230" s="507"/>
      <c r="B230" s="507"/>
      <c r="C230" s="507"/>
      <c r="D230" s="507"/>
      <c r="E230" s="507"/>
      <c r="F230" s="507"/>
      <c r="G230" s="507"/>
      <c r="H230" s="507"/>
      <c r="I230" s="507"/>
      <c r="J230" s="507"/>
      <c r="K230" s="507"/>
      <c r="L230" s="507"/>
    </row>
    <row r="231" spans="1:12">
      <c r="A231" s="507"/>
      <c r="B231" s="507"/>
      <c r="C231" s="507"/>
      <c r="D231" s="507"/>
      <c r="E231" s="507"/>
      <c r="F231" s="507"/>
      <c r="G231" s="507"/>
      <c r="H231" s="507"/>
      <c r="I231" s="507"/>
      <c r="J231" s="507"/>
      <c r="K231" s="507"/>
      <c r="L231" s="507"/>
    </row>
    <row r="232" spans="1:12">
      <c r="A232" s="507"/>
      <c r="B232" s="507"/>
      <c r="C232" s="507"/>
      <c r="D232" s="507"/>
      <c r="E232" s="507"/>
      <c r="F232" s="507"/>
      <c r="G232" s="507"/>
      <c r="H232" s="507"/>
      <c r="I232" s="507"/>
      <c r="J232" s="507"/>
      <c r="K232" s="507"/>
      <c r="L232" s="507"/>
    </row>
    <row r="233" spans="1:12">
      <c r="A233" s="507"/>
      <c r="B233" s="507"/>
      <c r="C233" s="507"/>
      <c r="D233" s="507"/>
      <c r="E233" s="507"/>
      <c r="F233" s="507"/>
      <c r="G233" s="507"/>
      <c r="H233" s="507"/>
      <c r="I233" s="507"/>
      <c r="J233" s="507"/>
      <c r="K233" s="507"/>
      <c r="L233" s="507"/>
    </row>
    <row r="234" spans="1:12">
      <c r="A234" s="507"/>
      <c r="B234" s="507"/>
      <c r="C234" s="507"/>
      <c r="D234" s="507"/>
      <c r="E234" s="507"/>
      <c r="F234" s="507"/>
      <c r="G234" s="507"/>
      <c r="H234" s="507"/>
      <c r="I234" s="507"/>
      <c r="J234" s="507"/>
      <c r="K234" s="507"/>
      <c r="L234" s="507"/>
    </row>
    <row r="235" spans="1:12">
      <c r="A235" s="507"/>
      <c r="B235" s="507"/>
      <c r="C235" s="507"/>
      <c r="D235" s="507"/>
      <c r="E235" s="507"/>
      <c r="F235" s="507"/>
      <c r="G235" s="507"/>
      <c r="H235" s="507"/>
      <c r="I235" s="507"/>
      <c r="J235" s="507"/>
      <c r="K235" s="507"/>
      <c r="L235" s="507"/>
    </row>
    <row r="236" spans="1:12">
      <c r="A236" s="507"/>
      <c r="B236" s="507"/>
      <c r="C236" s="507"/>
      <c r="D236" s="507"/>
      <c r="E236" s="507"/>
      <c r="F236" s="507"/>
      <c r="G236" s="507"/>
      <c r="H236" s="507"/>
      <c r="I236" s="507"/>
      <c r="J236" s="507"/>
      <c r="K236" s="507"/>
      <c r="L236" s="507"/>
    </row>
    <row r="237" spans="1:12">
      <c r="A237" s="507"/>
      <c r="B237" s="507"/>
      <c r="C237" s="507"/>
      <c r="D237" s="507"/>
      <c r="E237" s="507"/>
      <c r="F237" s="507"/>
      <c r="G237" s="507"/>
      <c r="H237" s="507"/>
      <c r="I237" s="507"/>
      <c r="J237" s="507"/>
      <c r="K237" s="507"/>
      <c r="L237" s="507"/>
    </row>
    <row r="238" spans="1:12">
      <c r="A238" s="507"/>
      <c r="B238" s="507"/>
      <c r="C238" s="507"/>
      <c r="D238" s="507"/>
      <c r="E238" s="507"/>
      <c r="F238" s="507"/>
      <c r="G238" s="507"/>
      <c r="H238" s="507"/>
      <c r="I238" s="507"/>
      <c r="J238" s="507"/>
      <c r="K238" s="507"/>
      <c r="L238" s="507"/>
    </row>
    <row r="239" spans="1:12">
      <c r="A239" s="507"/>
      <c r="B239" s="507"/>
      <c r="C239" s="507"/>
      <c r="D239" s="507"/>
      <c r="E239" s="507"/>
      <c r="F239" s="507"/>
      <c r="G239" s="507"/>
      <c r="H239" s="507"/>
      <c r="I239" s="507"/>
      <c r="J239" s="507"/>
      <c r="K239" s="507"/>
      <c r="L239" s="507"/>
    </row>
    <row r="240" spans="1:12">
      <c r="A240" s="507"/>
      <c r="B240" s="507"/>
      <c r="C240" s="507"/>
      <c r="D240" s="507"/>
      <c r="E240" s="507"/>
      <c r="F240" s="507"/>
      <c r="G240" s="507"/>
      <c r="H240" s="507"/>
      <c r="I240" s="507"/>
      <c r="J240" s="507"/>
      <c r="K240" s="507"/>
      <c r="L240" s="507"/>
    </row>
    <row r="241" spans="1:12">
      <c r="A241" s="507"/>
      <c r="B241" s="507"/>
      <c r="C241" s="507"/>
      <c r="D241" s="507"/>
      <c r="E241" s="507"/>
      <c r="F241" s="507"/>
      <c r="G241" s="507"/>
      <c r="H241" s="507"/>
      <c r="I241" s="507"/>
      <c r="J241" s="507"/>
      <c r="K241" s="507"/>
      <c r="L241" s="507"/>
    </row>
    <row r="242" spans="1:12">
      <c r="A242" s="507"/>
      <c r="B242" s="507"/>
      <c r="C242" s="507"/>
      <c r="D242" s="507"/>
      <c r="E242" s="507"/>
      <c r="F242" s="507"/>
      <c r="G242" s="507"/>
      <c r="H242" s="507"/>
      <c r="I242" s="507"/>
      <c r="J242" s="507"/>
      <c r="K242" s="507"/>
      <c r="L242" s="507"/>
    </row>
    <row r="243" spans="1:12">
      <c r="A243" s="507"/>
      <c r="B243" s="507"/>
      <c r="C243" s="507"/>
      <c r="D243" s="507"/>
      <c r="E243" s="507"/>
      <c r="F243" s="507"/>
      <c r="G243" s="507"/>
      <c r="H243" s="507"/>
      <c r="I243" s="507"/>
      <c r="J243" s="507"/>
      <c r="K243" s="507"/>
      <c r="L243" s="507"/>
    </row>
    <row r="244" spans="1:12">
      <c r="A244" s="507"/>
      <c r="B244" s="507"/>
      <c r="C244" s="507"/>
      <c r="D244" s="507"/>
      <c r="E244" s="507"/>
      <c r="F244" s="507"/>
      <c r="G244" s="507"/>
      <c r="H244" s="507"/>
      <c r="I244" s="507"/>
      <c r="J244" s="507"/>
      <c r="K244" s="507"/>
      <c r="L244" s="507"/>
    </row>
    <row r="245" spans="1:12">
      <c r="A245" s="507"/>
      <c r="B245" s="507"/>
      <c r="C245" s="507"/>
      <c r="D245" s="507"/>
      <c r="E245" s="507"/>
      <c r="F245" s="507"/>
      <c r="G245" s="507"/>
      <c r="H245" s="507"/>
      <c r="I245" s="507"/>
      <c r="J245" s="507"/>
      <c r="K245" s="507"/>
      <c r="L245" s="507"/>
    </row>
    <row r="246" spans="1:12">
      <c r="A246" s="507"/>
      <c r="B246" s="507"/>
      <c r="C246" s="507"/>
      <c r="D246" s="507"/>
      <c r="E246" s="507"/>
      <c r="F246" s="507"/>
      <c r="G246" s="507"/>
      <c r="H246" s="507"/>
      <c r="I246" s="507"/>
      <c r="J246" s="507"/>
      <c r="K246" s="507"/>
      <c r="L246" s="507"/>
    </row>
    <row r="247" spans="1:12">
      <c r="A247" s="507"/>
      <c r="B247" s="507"/>
      <c r="C247" s="507"/>
      <c r="D247" s="507"/>
      <c r="E247" s="507"/>
      <c r="F247" s="507"/>
      <c r="G247" s="507"/>
      <c r="H247" s="507"/>
      <c r="I247" s="507"/>
      <c r="J247" s="507"/>
      <c r="K247" s="507"/>
      <c r="L247" s="507"/>
    </row>
    <row r="248" spans="1:12">
      <c r="A248" s="507"/>
      <c r="B248" s="507"/>
      <c r="C248" s="507"/>
      <c r="D248" s="507"/>
      <c r="E248" s="507"/>
      <c r="F248" s="507"/>
      <c r="G248" s="507"/>
      <c r="H248" s="507"/>
      <c r="I248" s="507"/>
      <c r="J248" s="507"/>
      <c r="K248" s="507"/>
      <c r="L248" s="507"/>
    </row>
    <row r="249" spans="1:12">
      <c r="A249" s="507"/>
      <c r="B249" s="507"/>
      <c r="C249" s="507"/>
      <c r="D249" s="507"/>
      <c r="E249" s="507"/>
      <c r="F249" s="507"/>
      <c r="G249" s="507"/>
      <c r="H249" s="507"/>
      <c r="I249" s="507"/>
      <c r="J249" s="507"/>
      <c r="K249" s="507"/>
      <c r="L249" s="507"/>
    </row>
    <row r="250" spans="1:12">
      <c r="A250" s="507"/>
      <c r="B250" s="507"/>
      <c r="C250" s="507"/>
      <c r="D250" s="507"/>
      <c r="E250" s="507"/>
      <c r="F250" s="507"/>
      <c r="G250" s="507"/>
      <c r="H250" s="507"/>
      <c r="I250" s="507"/>
      <c r="J250" s="507"/>
      <c r="K250" s="507"/>
      <c r="L250" s="507"/>
    </row>
    <row r="251" spans="1:12">
      <c r="A251" s="507"/>
      <c r="B251" s="507"/>
      <c r="C251" s="507"/>
      <c r="D251" s="507"/>
      <c r="E251" s="507"/>
      <c r="F251" s="507"/>
      <c r="G251" s="507"/>
      <c r="H251" s="507"/>
      <c r="I251" s="507"/>
      <c r="J251" s="507"/>
      <c r="K251" s="507"/>
      <c r="L251" s="507"/>
    </row>
    <row r="252" spans="1:12">
      <c r="A252" s="507"/>
      <c r="B252" s="507"/>
      <c r="C252" s="507"/>
      <c r="D252" s="507"/>
      <c r="E252" s="507"/>
      <c r="F252" s="507"/>
      <c r="G252" s="507"/>
      <c r="H252" s="507"/>
      <c r="I252" s="507"/>
      <c r="J252" s="507"/>
      <c r="K252" s="507"/>
      <c r="L252" s="507"/>
    </row>
    <row r="253" spans="1:12">
      <c r="A253" s="507"/>
      <c r="B253" s="507"/>
      <c r="C253" s="507"/>
      <c r="D253" s="507"/>
      <c r="E253" s="507"/>
      <c r="F253" s="507"/>
      <c r="G253" s="507"/>
      <c r="H253" s="507"/>
      <c r="I253" s="507"/>
      <c r="J253" s="507"/>
      <c r="K253" s="507"/>
      <c r="L253" s="507"/>
    </row>
    <row r="254" spans="1:12">
      <c r="A254" s="507"/>
      <c r="B254" s="507"/>
      <c r="C254" s="507"/>
      <c r="D254" s="507"/>
      <c r="E254" s="507"/>
      <c r="F254" s="507"/>
      <c r="G254" s="507"/>
      <c r="H254" s="507"/>
      <c r="I254" s="507"/>
      <c r="J254" s="507"/>
      <c r="K254" s="507"/>
      <c r="L254" s="507"/>
    </row>
    <row r="255" spans="1:12">
      <c r="A255" s="507"/>
      <c r="B255" s="507"/>
      <c r="C255" s="507"/>
      <c r="D255" s="507"/>
      <c r="E255" s="507"/>
      <c r="F255" s="507"/>
      <c r="G255" s="507"/>
      <c r="H255" s="507"/>
      <c r="I255" s="507"/>
      <c r="J255" s="507"/>
      <c r="K255" s="507"/>
      <c r="L255" s="507"/>
    </row>
    <row r="256" spans="1:12">
      <c r="A256" s="507"/>
      <c r="B256" s="507"/>
      <c r="C256" s="507"/>
      <c r="D256" s="507"/>
      <c r="E256" s="507"/>
      <c r="F256" s="507"/>
      <c r="G256" s="507"/>
      <c r="H256" s="507"/>
      <c r="I256" s="507"/>
      <c r="J256" s="507"/>
      <c r="K256" s="507"/>
      <c r="L256" s="507"/>
    </row>
    <row r="257" spans="1:12">
      <c r="A257" s="507"/>
      <c r="B257" s="507"/>
      <c r="C257" s="507"/>
      <c r="D257" s="507"/>
      <c r="E257" s="507"/>
      <c r="F257" s="507"/>
      <c r="G257" s="507"/>
      <c r="H257" s="507"/>
      <c r="I257" s="507"/>
      <c r="J257" s="507"/>
      <c r="K257" s="507"/>
      <c r="L257" s="507"/>
    </row>
    <row r="258" spans="1:12">
      <c r="A258" s="507"/>
      <c r="B258" s="507"/>
      <c r="C258" s="507"/>
      <c r="D258" s="507"/>
      <c r="E258" s="507"/>
      <c r="F258" s="507"/>
      <c r="G258" s="507"/>
      <c r="H258" s="507"/>
      <c r="I258" s="507"/>
      <c r="J258" s="507"/>
      <c r="K258" s="507"/>
      <c r="L258" s="507"/>
    </row>
    <row r="259" spans="1:12">
      <c r="A259" s="507"/>
      <c r="B259" s="507"/>
      <c r="C259" s="507"/>
      <c r="D259" s="507"/>
      <c r="E259" s="507"/>
      <c r="F259" s="507"/>
      <c r="G259" s="507"/>
      <c r="H259" s="507"/>
      <c r="I259" s="507"/>
      <c r="J259" s="507"/>
      <c r="K259" s="507"/>
      <c r="L259" s="507"/>
    </row>
    <row r="260" spans="1:12">
      <c r="A260" s="507"/>
      <c r="B260" s="507"/>
      <c r="C260" s="507"/>
      <c r="D260" s="507"/>
      <c r="E260" s="507"/>
      <c r="F260" s="507"/>
      <c r="G260" s="507"/>
      <c r="H260" s="507"/>
      <c r="I260" s="507"/>
      <c r="J260" s="507"/>
      <c r="K260" s="507"/>
      <c r="L260" s="507"/>
    </row>
    <row r="261" spans="1:12">
      <c r="A261" s="507"/>
      <c r="B261" s="507"/>
      <c r="C261" s="507"/>
      <c r="D261" s="507"/>
      <c r="E261" s="507"/>
      <c r="F261" s="507"/>
      <c r="G261" s="507"/>
      <c r="H261" s="507"/>
      <c r="I261" s="507"/>
      <c r="J261" s="507"/>
      <c r="K261" s="507"/>
      <c r="L261" s="507"/>
    </row>
    <row r="262" spans="1:12">
      <c r="A262" s="507"/>
      <c r="B262" s="507"/>
      <c r="C262" s="507"/>
      <c r="D262" s="507"/>
      <c r="E262" s="507"/>
      <c r="F262" s="507"/>
      <c r="G262" s="507"/>
      <c r="H262" s="507"/>
      <c r="I262" s="507"/>
      <c r="J262" s="507"/>
      <c r="K262" s="507"/>
      <c r="L262" s="507"/>
    </row>
    <row r="263" spans="1:12">
      <c r="A263" s="507"/>
      <c r="B263" s="507"/>
      <c r="C263" s="507"/>
      <c r="D263" s="507"/>
      <c r="E263" s="507"/>
      <c r="F263" s="507"/>
      <c r="G263" s="507"/>
      <c r="H263" s="507"/>
      <c r="I263" s="507"/>
      <c r="J263" s="507"/>
      <c r="K263" s="507"/>
      <c r="L263" s="507"/>
    </row>
    <row r="264" spans="1:12">
      <c r="A264" s="507"/>
      <c r="B264" s="507"/>
      <c r="C264" s="507"/>
      <c r="D264" s="507"/>
      <c r="E264" s="507"/>
      <c r="F264" s="507"/>
      <c r="G264" s="507"/>
      <c r="H264" s="507"/>
      <c r="I264" s="507"/>
      <c r="J264" s="507"/>
      <c r="K264" s="507"/>
      <c r="L264" s="507"/>
    </row>
    <row r="265" spans="1:12">
      <c r="A265" s="507"/>
      <c r="B265" s="507"/>
      <c r="C265" s="507"/>
      <c r="D265" s="507"/>
      <c r="E265" s="507"/>
      <c r="F265" s="507"/>
      <c r="G265" s="507"/>
      <c r="H265" s="507"/>
      <c r="I265" s="507"/>
      <c r="J265" s="507"/>
      <c r="K265" s="507"/>
      <c r="L265" s="507"/>
    </row>
    <row r="266" spans="1:12">
      <c r="A266" s="507"/>
      <c r="B266" s="507"/>
      <c r="C266" s="507"/>
      <c r="D266" s="507"/>
      <c r="E266" s="507"/>
      <c r="F266" s="507"/>
      <c r="G266" s="507"/>
      <c r="H266" s="507"/>
      <c r="I266" s="507"/>
      <c r="J266" s="507"/>
      <c r="K266" s="507"/>
      <c r="L266" s="507"/>
    </row>
    <row r="267" spans="1:12">
      <c r="A267" s="507"/>
      <c r="B267" s="507"/>
      <c r="C267" s="507"/>
      <c r="D267" s="507"/>
      <c r="E267" s="507"/>
      <c r="F267" s="507"/>
      <c r="G267" s="507"/>
      <c r="H267" s="507"/>
      <c r="I267" s="507"/>
      <c r="J267" s="507"/>
      <c r="K267" s="507"/>
      <c r="L267" s="507"/>
    </row>
    <row r="268" spans="1:12">
      <c r="A268" s="507"/>
      <c r="B268" s="507"/>
      <c r="C268" s="507"/>
      <c r="D268" s="507"/>
      <c r="E268" s="507"/>
      <c r="F268" s="507"/>
      <c r="G268" s="507"/>
      <c r="H268" s="507"/>
      <c r="I268" s="507"/>
      <c r="J268" s="507"/>
      <c r="K268" s="507"/>
      <c r="L268" s="507"/>
    </row>
    <row r="269" spans="1:12">
      <c r="A269" s="507"/>
      <c r="B269" s="507"/>
      <c r="C269" s="507"/>
      <c r="D269" s="507"/>
      <c r="E269" s="507"/>
      <c r="F269" s="507"/>
      <c r="G269" s="507"/>
      <c r="H269" s="507"/>
      <c r="I269" s="507"/>
      <c r="J269" s="507"/>
      <c r="K269" s="507"/>
      <c r="L269" s="507"/>
    </row>
    <row r="270" spans="1:12">
      <c r="A270" s="507"/>
      <c r="B270" s="507"/>
      <c r="C270" s="507"/>
      <c r="D270" s="507"/>
      <c r="E270" s="507"/>
      <c r="F270" s="507"/>
      <c r="G270" s="507"/>
      <c r="H270" s="507"/>
      <c r="I270" s="507"/>
      <c r="J270" s="507"/>
      <c r="K270" s="507"/>
      <c r="L270" s="507"/>
    </row>
    <row r="271" spans="1:12">
      <c r="A271" s="507"/>
      <c r="B271" s="507"/>
      <c r="C271" s="507"/>
      <c r="D271" s="507"/>
      <c r="E271" s="507"/>
      <c r="F271" s="507"/>
      <c r="G271" s="507"/>
      <c r="H271" s="507"/>
      <c r="I271" s="507"/>
      <c r="J271" s="507"/>
      <c r="K271" s="507"/>
      <c r="L271" s="507"/>
    </row>
    <row r="272" spans="1:12">
      <c r="A272" s="507"/>
      <c r="B272" s="507"/>
      <c r="C272" s="507"/>
      <c r="D272" s="507"/>
      <c r="E272" s="507"/>
      <c r="F272" s="507"/>
      <c r="G272" s="507"/>
      <c r="H272" s="507"/>
      <c r="I272" s="507"/>
      <c r="J272" s="507"/>
      <c r="K272" s="507"/>
      <c r="L272" s="507"/>
    </row>
    <row r="273" spans="1:12">
      <c r="A273" s="507"/>
      <c r="B273" s="507"/>
      <c r="C273" s="507"/>
      <c r="D273" s="507"/>
      <c r="E273" s="507"/>
      <c r="F273" s="507"/>
      <c r="G273" s="507"/>
      <c r="H273" s="507"/>
      <c r="I273" s="507"/>
      <c r="J273" s="507"/>
      <c r="K273" s="507"/>
      <c r="L273" s="507"/>
    </row>
    <row r="274" spans="1:12">
      <c r="A274" s="507"/>
      <c r="B274" s="507"/>
      <c r="C274" s="507"/>
      <c r="D274" s="507"/>
      <c r="E274" s="507"/>
      <c r="F274" s="507"/>
      <c r="G274" s="507"/>
      <c r="H274" s="507"/>
      <c r="I274" s="507"/>
      <c r="J274" s="507"/>
      <c r="K274" s="507"/>
      <c r="L274" s="507"/>
    </row>
    <row r="275" spans="1:12">
      <c r="A275" s="507"/>
      <c r="B275" s="507"/>
      <c r="C275" s="507"/>
      <c r="D275" s="507"/>
      <c r="E275" s="507"/>
      <c r="F275" s="507"/>
      <c r="G275" s="507"/>
      <c r="H275" s="507"/>
      <c r="I275" s="507"/>
      <c r="J275" s="507"/>
      <c r="K275" s="507"/>
      <c r="L275" s="507"/>
    </row>
    <row r="276" spans="1:12">
      <c r="A276" s="507"/>
      <c r="B276" s="507"/>
      <c r="C276" s="507"/>
      <c r="D276" s="507"/>
      <c r="E276" s="507"/>
      <c r="F276" s="507"/>
      <c r="G276" s="507"/>
      <c r="H276" s="507"/>
      <c r="I276" s="507"/>
      <c r="J276" s="507"/>
      <c r="K276" s="507"/>
      <c r="L276" s="507"/>
    </row>
    <row r="277" spans="1:12">
      <c r="A277" s="507"/>
      <c r="B277" s="507"/>
      <c r="C277" s="507"/>
      <c r="D277" s="507"/>
      <c r="E277" s="507"/>
      <c r="F277" s="507"/>
      <c r="G277" s="507"/>
      <c r="H277" s="507"/>
      <c r="I277" s="507"/>
      <c r="J277" s="507"/>
      <c r="K277" s="507"/>
      <c r="L277" s="507"/>
    </row>
    <row r="278" spans="1:12">
      <c r="A278" s="507"/>
      <c r="B278" s="507"/>
      <c r="C278" s="507"/>
      <c r="D278" s="507"/>
      <c r="E278" s="507"/>
      <c r="F278" s="507"/>
      <c r="G278" s="507"/>
      <c r="H278" s="507"/>
      <c r="I278" s="507"/>
      <c r="J278" s="507"/>
      <c r="K278" s="507"/>
      <c r="L278" s="507"/>
    </row>
    <row r="279" spans="1:12">
      <c r="A279" s="507"/>
      <c r="B279" s="507"/>
      <c r="C279" s="507"/>
      <c r="D279" s="507"/>
      <c r="E279" s="507"/>
      <c r="F279" s="507"/>
      <c r="G279" s="507"/>
      <c r="H279" s="507"/>
      <c r="I279" s="507"/>
      <c r="J279" s="507"/>
      <c r="K279" s="507"/>
      <c r="L279" s="507"/>
    </row>
    <row r="280" spans="1:12">
      <c r="A280" s="507"/>
      <c r="B280" s="507"/>
      <c r="C280" s="507"/>
      <c r="D280" s="507"/>
      <c r="E280" s="507"/>
      <c r="F280" s="507"/>
      <c r="G280" s="507"/>
      <c r="H280" s="507"/>
      <c r="I280" s="507"/>
      <c r="J280" s="507"/>
      <c r="K280" s="507"/>
      <c r="L280" s="507"/>
    </row>
    <row r="281" spans="1:12">
      <c r="A281" s="507"/>
      <c r="B281" s="507"/>
      <c r="C281" s="507"/>
      <c r="D281" s="507"/>
      <c r="E281" s="507"/>
      <c r="F281" s="507"/>
      <c r="G281" s="507"/>
      <c r="H281" s="507"/>
      <c r="I281" s="507"/>
      <c r="J281" s="507"/>
      <c r="K281" s="507"/>
      <c r="L281" s="507"/>
    </row>
    <row r="282" spans="1:12">
      <c r="A282" s="507"/>
      <c r="B282" s="507"/>
      <c r="C282" s="507"/>
      <c r="D282" s="507"/>
      <c r="E282" s="507"/>
      <c r="F282" s="507"/>
      <c r="G282" s="507"/>
      <c r="H282" s="507"/>
      <c r="I282" s="507"/>
      <c r="J282" s="507"/>
      <c r="K282" s="507"/>
      <c r="L282" s="507"/>
    </row>
    <row r="283" spans="1:12">
      <c r="A283" s="507"/>
      <c r="B283" s="507"/>
      <c r="C283" s="507"/>
      <c r="D283" s="507"/>
      <c r="E283" s="507"/>
      <c r="F283" s="507"/>
      <c r="G283" s="507"/>
      <c r="H283" s="507"/>
      <c r="I283" s="507"/>
      <c r="J283" s="507"/>
      <c r="K283" s="507"/>
      <c r="L283" s="507"/>
    </row>
    <row r="284" spans="1:12">
      <c r="A284" s="507"/>
      <c r="B284" s="507"/>
      <c r="C284" s="507"/>
      <c r="D284" s="507"/>
      <c r="E284" s="507"/>
      <c r="F284" s="507"/>
      <c r="G284" s="507"/>
      <c r="H284" s="507"/>
      <c r="I284" s="507"/>
      <c r="J284" s="507"/>
      <c r="K284" s="507"/>
      <c r="L284" s="507"/>
    </row>
    <row r="285" spans="1:12">
      <c r="A285" s="507"/>
      <c r="B285" s="507"/>
      <c r="C285" s="507"/>
      <c r="D285" s="507"/>
      <c r="E285" s="507"/>
      <c r="F285" s="507"/>
      <c r="G285" s="507"/>
      <c r="H285" s="507"/>
      <c r="I285" s="507"/>
      <c r="J285" s="507"/>
      <c r="K285" s="507"/>
      <c r="L285" s="507"/>
    </row>
    <row r="286" spans="1:12">
      <c r="A286" s="507"/>
      <c r="B286" s="507"/>
      <c r="C286" s="507"/>
      <c r="D286" s="507"/>
      <c r="E286" s="507"/>
      <c r="F286" s="507"/>
      <c r="G286" s="507"/>
      <c r="H286" s="507"/>
      <c r="I286" s="507"/>
      <c r="J286" s="507"/>
      <c r="K286" s="507"/>
      <c r="L286" s="507"/>
    </row>
    <row r="287" spans="1:12">
      <c r="A287" s="507"/>
      <c r="B287" s="507"/>
      <c r="C287" s="507"/>
      <c r="D287" s="507"/>
      <c r="E287" s="507"/>
      <c r="F287" s="507"/>
      <c r="G287" s="507"/>
      <c r="H287" s="507"/>
      <c r="I287" s="507"/>
      <c r="J287" s="507"/>
      <c r="K287" s="507"/>
      <c r="L287" s="507"/>
    </row>
    <row r="288" spans="1:12">
      <c r="A288" s="507"/>
      <c r="B288" s="507"/>
      <c r="C288" s="507"/>
      <c r="D288" s="507"/>
      <c r="E288" s="507"/>
      <c r="F288" s="507"/>
      <c r="G288" s="507"/>
      <c r="H288" s="507"/>
      <c r="I288" s="507"/>
      <c r="J288" s="507"/>
      <c r="K288" s="507"/>
      <c r="L288" s="507"/>
    </row>
    <row r="289" spans="1:12">
      <c r="A289" s="507"/>
      <c r="B289" s="507"/>
      <c r="C289" s="507"/>
      <c r="D289" s="507"/>
      <c r="E289" s="507"/>
      <c r="F289" s="507"/>
      <c r="G289" s="507"/>
      <c r="H289" s="507"/>
      <c r="I289" s="507"/>
      <c r="J289" s="507"/>
      <c r="K289" s="507"/>
      <c r="L289" s="507"/>
    </row>
    <row r="290" spans="1:12">
      <c r="A290" s="507"/>
      <c r="B290" s="507"/>
      <c r="C290" s="507"/>
      <c r="D290" s="507"/>
      <c r="E290" s="507"/>
      <c r="F290" s="507"/>
      <c r="G290" s="507"/>
      <c r="H290" s="507"/>
      <c r="I290" s="507"/>
      <c r="J290" s="507"/>
      <c r="K290" s="507"/>
      <c r="L290" s="507"/>
    </row>
    <row r="291" spans="1:12">
      <c r="A291" s="507"/>
      <c r="B291" s="507"/>
      <c r="C291" s="507"/>
      <c r="D291" s="507"/>
      <c r="E291" s="507"/>
      <c r="F291" s="507"/>
      <c r="G291" s="507"/>
      <c r="H291" s="507"/>
      <c r="I291" s="507"/>
      <c r="J291" s="507"/>
      <c r="K291" s="507"/>
      <c r="L291" s="507"/>
    </row>
    <row r="292" spans="1:12">
      <c r="A292" s="507"/>
      <c r="B292" s="507"/>
      <c r="C292" s="507"/>
      <c r="D292" s="507"/>
      <c r="E292" s="507"/>
      <c r="F292" s="507"/>
      <c r="G292" s="507"/>
      <c r="H292" s="507"/>
      <c r="I292" s="507"/>
      <c r="J292" s="507"/>
      <c r="K292" s="507"/>
      <c r="L292" s="507"/>
    </row>
    <row r="293" spans="1:12">
      <c r="A293" s="507"/>
      <c r="B293" s="507"/>
      <c r="C293" s="507"/>
      <c r="D293" s="507"/>
      <c r="E293" s="507"/>
      <c r="F293" s="507"/>
      <c r="G293" s="507"/>
      <c r="H293" s="507"/>
      <c r="I293" s="507"/>
      <c r="J293" s="507"/>
      <c r="K293" s="507"/>
      <c r="L293" s="507"/>
    </row>
    <row r="294" spans="1:12">
      <c r="A294" s="507"/>
      <c r="B294" s="507"/>
      <c r="C294" s="507"/>
      <c r="D294" s="507"/>
      <c r="E294" s="507"/>
      <c r="F294" s="507"/>
      <c r="G294" s="507"/>
      <c r="H294" s="507"/>
      <c r="I294" s="507"/>
      <c r="J294" s="507"/>
      <c r="K294" s="507"/>
      <c r="L294" s="507"/>
    </row>
    <row r="295" spans="1:12">
      <c r="A295" s="507"/>
      <c r="B295" s="507"/>
      <c r="C295" s="507"/>
      <c r="D295" s="507"/>
      <c r="E295" s="507"/>
      <c r="F295" s="507"/>
      <c r="G295" s="507"/>
      <c r="H295" s="507"/>
      <c r="I295" s="507"/>
      <c r="J295" s="507"/>
      <c r="K295" s="507"/>
      <c r="L295" s="507"/>
    </row>
    <row r="296" spans="1:12">
      <c r="A296" s="507"/>
      <c r="B296" s="507"/>
      <c r="C296" s="507"/>
      <c r="D296" s="507"/>
      <c r="E296" s="507"/>
      <c r="F296" s="507"/>
      <c r="G296" s="507"/>
      <c r="H296" s="507"/>
      <c r="I296" s="507"/>
      <c r="J296" s="507"/>
      <c r="K296" s="507"/>
      <c r="L296" s="507"/>
    </row>
    <row r="297" spans="1:12">
      <c r="A297" s="507"/>
      <c r="B297" s="507"/>
      <c r="C297" s="507"/>
      <c r="D297" s="507"/>
      <c r="E297" s="507"/>
      <c r="F297" s="507"/>
      <c r="G297" s="507"/>
      <c r="H297" s="507"/>
      <c r="I297" s="507"/>
      <c r="J297" s="507"/>
      <c r="K297" s="507"/>
      <c r="L297" s="507"/>
    </row>
    <row r="298" spans="1:12">
      <c r="A298" s="507"/>
      <c r="B298" s="507"/>
      <c r="C298" s="507"/>
      <c r="D298" s="507"/>
      <c r="E298" s="507"/>
      <c r="F298" s="507"/>
      <c r="G298" s="507"/>
      <c r="H298" s="507"/>
      <c r="I298" s="507"/>
      <c r="J298" s="507"/>
      <c r="K298" s="507"/>
      <c r="L298" s="507"/>
    </row>
    <row r="299" spans="1:12">
      <c r="A299" s="507"/>
      <c r="B299" s="507"/>
      <c r="C299" s="507"/>
      <c r="D299" s="507"/>
      <c r="E299" s="507"/>
      <c r="F299" s="507"/>
      <c r="G299" s="507"/>
      <c r="H299" s="507"/>
      <c r="I299" s="507"/>
      <c r="J299" s="507"/>
      <c r="K299" s="507"/>
      <c r="L299" s="507"/>
    </row>
    <row r="300" spans="1:12">
      <c r="A300" s="507"/>
      <c r="B300" s="507"/>
      <c r="C300" s="507"/>
      <c r="D300" s="507"/>
      <c r="E300" s="507"/>
      <c r="F300" s="507"/>
      <c r="G300" s="507"/>
      <c r="H300" s="507"/>
      <c r="I300" s="507"/>
      <c r="J300" s="507"/>
      <c r="K300" s="507"/>
      <c r="L300" s="507"/>
    </row>
    <row r="301" spans="1:12">
      <c r="A301" s="507"/>
      <c r="B301" s="507"/>
      <c r="C301" s="507"/>
      <c r="D301" s="507"/>
      <c r="E301" s="507"/>
      <c r="F301" s="507"/>
      <c r="G301" s="507"/>
      <c r="H301" s="507"/>
      <c r="I301" s="507"/>
      <c r="J301" s="507"/>
      <c r="K301" s="507"/>
      <c r="L301" s="507"/>
    </row>
    <row r="302" spans="1:12">
      <c r="A302" s="507"/>
      <c r="B302" s="507"/>
      <c r="C302" s="507"/>
      <c r="D302" s="507"/>
      <c r="E302" s="507"/>
      <c r="F302" s="507"/>
      <c r="G302" s="507"/>
      <c r="H302" s="507"/>
      <c r="I302" s="507"/>
      <c r="J302" s="507"/>
      <c r="K302" s="507"/>
      <c r="L302" s="507"/>
    </row>
    <row r="303" spans="1:12">
      <c r="A303" s="507"/>
      <c r="B303" s="507"/>
      <c r="C303" s="507"/>
      <c r="D303" s="507"/>
      <c r="E303" s="507"/>
      <c r="F303" s="507"/>
      <c r="G303" s="507"/>
      <c r="H303" s="507"/>
      <c r="I303" s="507"/>
      <c r="J303" s="507"/>
      <c r="K303" s="507"/>
      <c r="L303" s="507"/>
    </row>
    <row r="304" spans="1:12">
      <c r="A304" s="507"/>
      <c r="B304" s="507"/>
      <c r="C304" s="507"/>
      <c r="D304" s="507"/>
      <c r="E304" s="507"/>
      <c r="F304" s="507"/>
      <c r="G304" s="507"/>
      <c r="H304" s="507"/>
      <c r="I304" s="507"/>
      <c r="J304" s="507"/>
      <c r="K304" s="507"/>
      <c r="L304" s="507"/>
    </row>
    <row r="305" spans="1:12">
      <c r="A305" s="507"/>
      <c r="B305" s="507"/>
      <c r="C305" s="507"/>
      <c r="D305" s="507"/>
      <c r="E305" s="507"/>
      <c r="F305" s="507"/>
      <c r="G305" s="507"/>
      <c r="H305" s="507"/>
      <c r="I305" s="507"/>
      <c r="J305" s="507"/>
      <c r="K305" s="507"/>
      <c r="L305" s="507"/>
    </row>
    <row r="306" spans="1:12">
      <c r="A306" s="507"/>
      <c r="B306" s="507"/>
      <c r="C306" s="507"/>
      <c r="D306" s="507"/>
      <c r="E306" s="507"/>
      <c r="F306" s="507"/>
      <c r="G306" s="507"/>
      <c r="H306" s="507"/>
      <c r="I306" s="507"/>
      <c r="J306" s="507"/>
      <c r="K306" s="507"/>
      <c r="L306" s="507"/>
    </row>
    <row r="307" spans="1:12">
      <c r="A307" s="507"/>
      <c r="B307" s="507"/>
      <c r="C307" s="507"/>
      <c r="D307" s="507"/>
      <c r="E307" s="507"/>
      <c r="F307" s="507"/>
      <c r="G307" s="507"/>
      <c r="H307" s="507"/>
      <c r="I307" s="507"/>
      <c r="J307" s="507"/>
      <c r="K307" s="507"/>
      <c r="L307" s="507"/>
    </row>
    <row r="308" spans="1:12">
      <c r="A308" s="507"/>
      <c r="B308" s="507"/>
      <c r="C308" s="507"/>
      <c r="D308" s="507"/>
      <c r="E308" s="507"/>
      <c r="F308" s="507"/>
      <c r="G308" s="507"/>
      <c r="H308" s="507"/>
      <c r="I308" s="507"/>
      <c r="J308" s="507"/>
      <c r="K308" s="507"/>
      <c r="L308" s="507"/>
    </row>
    <row r="309" spans="1:12">
      <c r="A309" s="507"/>
      <c r="B309" s="507"/>
      <c r="C309" s="507"/>
      <c r="D309" s="507"/>
      <c r="E309" s="507"/>
      <c r="F309" s="507"/>
      <c r="G309" s="507"/>
      <c r="H309" s="507"/>
      <c r="I309" s="507"/>
      <c r="J309" s="507"/>
      <c r="K309" s="507"/>
      <c r="L309" s="507"/>
    </row>
    <row r="310" spans="1:12">
      <c r="A310" s="507"/>
      <c r="B310" s="507"/>
      <c r="C310" s="507"/>
      <c r="D310" s="507"/>
      <c r="E310" s="507"/>
      <c r="F310" s="507"/>
      <c r="G310" s="507"/>
      <c r="H310" s="507"/>
      <c r="I310" s="507"/>
      <c r="J310" s="507"/>
      <c r="K310" s="507"/>
      <c r="L310" s="507"/>
    </row>
    <row r="311" spans="1:12">
      <c r="A311" s="507"/>
      <c r="B311" s="507"/>
      <c r="C311" s="507"/>
      <c r="D311" s="507"/>
      <c r="E311" s="507"/>
      <c r="F311" s="507"/>
      <c r="G311" s="507"/>
      <c r="H311" s="507"/>
      <c r="I311" s="507"/>
      <c r="J311" s="507"/>
      <c r="K311" s="507"/>
      <c r="L311" s="507"/>
    </row>
    <row r="312" spans="1:12">
      <c r="A312" s="507"/>
      <c r="B312" s="507"/>
      <c r="C312" s="507"/>
      <c r="D312" s="507"/>
      <c r="E312" s="507"/>
      <c r="F312" s="507"/>
      <c r="G312" s="507"/>
      <c r="H312" s="507"/>
      <c r="I312" s="507"/>
      <c r="J312" s="507"/>
      <c r="K312" s="507"/>
      <c r="L312" s="507"/>
    </row>
    <row r="313" spans="1:12">
      <c r="A313" s="507"/>
      <c r="B313" s="507"/>
      <c r="C313" s="507"/>
      <c r="D313" s="507"/>
      <c r="E313" s="507"/>
      <c r="F313" s="507"/>
      <c r="G313" s="507"/>
      <c r="H313" s="507"/>
      <c r="I313" s="507"/>
      <c r="J313" s="507"/>
      <c r="K313" s="507"/>
      <c r="L313" s="507"/>
    </row>
    <row r="314" spans="1:12">
      <c r="A314" s="507"/>
      <c r="B314" s="507"/>
      <c r="C314" s="507"/>
      <c r="D314" s="507"/>
      <c r="E314" s="507"/>
      <c r="F314" s="507"/>
      <c r="G314" s="507"/>
      <c r="H314" s="507"/>
      <c r="I314" s="507"/>
      <c r="J314" s="507"/>
      <c r="K314" s="507"/>
      <c r="L314" s="507"/>
    </row>
    <row r="315" spans="1:12">
      <c r="A315" s="507"/>
      <c r="B315" s="507"/>
      <c r="C315" s="507"/>
      <c r="D315" s="507"/>
      <c r="E315" s="507"/>
      <c r="F315" s="507"/>
      <c r="G315" s="507"/>
      <c r="H315" s="507"/>
      <c r="I315" s="507"/>
      <c r="J315" s="507"/>
      <c r="K315" s="507"/>
      <c r="L315" s="507"/>
    </row>
    <row r="316" spans="1:12">
      <c r="A316" s="507"/>
      <c r="B316" s="507"/>
      <c r="C316" s="507"/>
      <c r="D316" s="507"/>
      <c r="E316" s="507"/>
      <c r="F316" s="507"/>
      <c r="G316" s="507"/>
      <c r="H316" s="507"/>
      <c r="I316" s="507"/>
      <c r="J316" s="507"/>
      <c r="K316" s="507"/>
      <c r="L316" s="507"/>
    </row>
    <row r="317" spans="1:12">
      <c r="A317" s="507"/>
      <c r="B317" s="507"/>
      <c r="C317" s="507"/>
      <c r="D317" s="507"/>
      <c r="E317" s="507"/>
      <c r="F317" s="507"/>
      <c r="G317" s="507"/>
      <c r="H317" s="507"/>
      <c r="I317" s="507"/>
      <c r="J317" s="507"/>
      <c r="K317" s="507"/>
      <c r="L317" s="507"/>
    </row>
    <row r="318" spans="1:12">
      <c r="A318" s="507"/>
      <c r="B318" s="507"/>
      <c r="C318" s="507"/>
      <c r="D318" s="507"/>
      <c r="E318" s="507"/>
      <c r="F318" s="507"/>
      <c r="G318" s="507"/>
      <c r="H318" s="507"/>
      <c r="I318" s="507"/>
      <c r="J318" s="507"/>
      <c r="K318" s="507"/>
      <c r="L318" s="507"/>
    </row>
    <row r="319" spans="1:12">
      <c r="A319" s="507"/>
      <c r="B319" s="507"/>
      <c r="C319" s="507"/>
      <c r="D319" s="507"/>
      <c r="E319" s="507"/>
      <c r="F319" s="507"/>
      <c r="G319" s="507"/>
      <c r="H319" s="507"/>
      <c r="I319" s="507"/>
      <c r="J319" s="507"/>
      <c r="K319" s="507"/>
      <c r="L319" s="507"/>
    </row>
    <row r="320" spans="1:12">
      <c r="A320" s="507"/>
      <c r="B320" s="507"/>
      <c r="C320" s="507"/>
      <c r="D320" s="507"/>
      <c r="E320" s="507"/>
      <c r="F320" s="507"/>
      <c r="G320" s="507"/>
      <c r="H320" s="507"/>
      <c r="I320" s="507"/>
      <c r="J320" s="507"/>
      <c r="K320" s="507"/>
      <c r="L320" s="507"/>
    </row>
    <row r="321" spans="1:12">
      <c r="A321" s="507"/>
      <c r="B321" s="507"/>
      <c r="C321" s="507"/>
      <c r="D321" s="507"/>
      <c r="E321" s="507"/>
      <c r="F321" s="507"/>
      <c r="G321" s="507"/>
      <c r="H321" s="507"/>
      <c r="I321" s="507"/>
      <c r="J321" s="507"/>
      <c r="K321" s="507"/>
      <c r="L321" s="507"/>
    </row>
    <row r="322" spans="1:12">
      <c r="A322" s="507"/>
      <c r="B322" s="507"/>
      <c r="C322" s="507"/>
      <c r="D322" s="507"/>
      <c r="E322" s="507"/>
      <c r="F322" s="507"/>
      <c r="G322" s="507"/>
      <c r="H322" s="507"/>
      <c r="I322" s="507"/>
      <c r="J322" s="507"/>
      <c r="K322" s="507"/>
      <c r="L322" s="507"/>
    </row>
    <row r="323" spans="1:12">
      <c r="A323" s="507"/>
      <c r="B323" s="507"/>
      <c r="C323" s="507"/>
      <c r="D323" s="507"/>
      <c r="E323" s="507"/>
      <c r="F323" s="507"/>
      <c r="G323" s="507"/>
      <c r="H323" s="507"/>
      <c r="I323" s="507"/>
      <c r="J323" s="507"/>
      <c r="K323" s="507"/>
      <c r="L323" s="507"/>
    </row>
    <row r="324" spans="1:12">
      <c r="A324" s="507"/>
      <c r="B324" s="507"/>
      <c r="C324" s="507"/>
      <c r="D324" s="507"/>
      <c r="E324" s="507"/>
      <c r="F324" s="507"/>
      <c r="G324" s="507"/>
      <c r="H324" s="507"/>
      <c r="I324" s="507"/>
      <c r="J324" s="507"/>
      <c r="K324" s="507"/>
      <c r="L324" s="507"/>
    </row>
    <row r="325" spans="1:12">
      <c r="A325" s="507"/>
      <c r="B325" s="507"/>
      <c r="C325" s="507"/>
      <c r="D325" s="507"/>
      <c r="E325" s="507"/>
      <c r="F325" s="507"/>
      <c r="G325" s="507"/>
      <c r="H325" s="507"/>
      <c r="I325" s="507"/>
      <c r="J325" s="507"/>
      <c r="K325" s="507"/>
      <c r="L325" s="507"/>
    </row>
    <row r="326" spans="1:12">
      <c r="A326" s="507"/>
      <c r="B326" s="507"/>
      <c r="C326" s="507"/>
      <c r="D326" s="507"/>
      <c r="E326" s="507"/>
      <c r="F326" s="507"/>
      <c r="G326" s="507"/>
      <c r="H326" s="507"/>
      <c r="I326" s="507"/>
      <c r="J326" s="507"/>
      <c r="K326" s="507"/>
      <c r="L326" s="507"/>
    </row>
    <row r="327" spans="1:12">
      <c r="A327" s="507"/>
      <c r="B327" s="507"/>
      <c r="C327" s="507"/>
      <c r="D327" s="507"/>
      <c r="E327" s="507"/>
      <c r="F327" s="507"/>
      <c r="G327" s="507"/>
      <c r="H327" s="507"/>
      <c r="I327" s="507"/>
      <c r="J327" s="507"/>
      <c r="K327" s="507"/>
      <c r="L327" s="507"/>
    </row>
    <row r="328" spans="1:12">
      <c r="A328" s="507"/>
      <c r="B328" s="507"/>
      <c r="C328" s="507"/>
      <c r="D328" s="507"/>
      <c r="E328" s="507"/>
      <c r="F328" s="507"/>
      <c r="G328" s="507"/>
      <c r="H328" s="507"/>
      <c r="I328" s="507"/>
      <c r="J328" s="507"/>
      <c r="K328" s="507"/>
      <c r="L328" s="507"/>
    </row>
    <row r="329" spans="1:12">
      <c r="A329" s="507"/>
      <c r="B329" s="507"/>
      <c r="C329" s="507"/>
      <c r="D329" s="507"/>
      <c r="E329" s="507"/>
      <c r="F329" s="507"/>
      <c r="G329" s="507"/>
      <c r="H329" s="507"/>
      <c r="I329" s="507"/>
      <c r="J329" s="507"/>
      <c r="K329" s="507"/>
      <c r="L329" s="507"/>
    </row>
    <row r="330" spans="1:12">
      <c r="A330" s="507"/>
      <c r="B330" s="507"/>
      <c r="C330" s="507"/>
      <c r="D330" s="507"/>
      <c r="E330" s="507"/>
      <c r="F330" s="507"/>
      <c r="G330" s="507"/>
      <c r="H330" s="507"/>
      <c r="I330" s="507"/>
      <c r="J330" s="507"/>
      <c r="K330" s="507"/>
      <c r="L330" s="507"/>
    </row>
    <row r="331" spans="1:12">
      <c r="A331" s="507"/>
      <c r="B331" s="507"/>
      <c r="C331" s="507"/>
      <c r="D331" s="507"/>
      <c r="E331" s="507"/>
      <c r="F331" s="507"/>
      <c r="G331" s="507"/>
      <c r="H331" s="507"/>
      <c r="I331" s="507"/>
      <c r="J331" s="507"/>
      <c r="K331" s="507"/>
      <c r="L331" s="507"/>
    </row>
    <row r="332" spans="1:12">
      <c r="A332" s="507"/>
      <c r="B332" s="507"/>
      <c r="C332" s="507"/>
      <c r="D332" s="507"/>
      <c r="E332" s="507"/>
      <c r="F332" s="507"/>
      <c r="G332" s="507"/>
      <c r="H332" s="507"/>
      <c r="I332" s="507"/>
      <c r="J332" s="507"/>
      <c r="K332" s="507"/>
      <c r="L332" s="507"/>
    </row>
    <row r="333" spans="1:12">
      <c r="A333" s="507"/>
      <c r="B333" s="507"/>
      <c r="C333" s="507"/>
      <c r="D333" s="507"/>
      <c r="E333" s="507"/>
      <c r="F333" s="507"/>
      <c r="G333" s="507"/>
      <c r="H333" s="507"/>
      <c r="I333" s="507"/>
      <c r="J333" s="507"/>
      <c r="K333" s="507"/>
      <c r="L333" s="507"/>
    </row>
    <row r="334" spans="1:12">
      <c r="A334" s="507"/>
      <c r="B334" s="507"/>
      <c r="C334" s="507"/>
      <c r="D334" s="507"/>
      <c r="E334" s="507"/>
      <c r="F334" s="507"/>
      <c r="G334" s="507"/>
      <c r="H334" s="507"/>
      <c r="I334" s="507"/>
      <c r="J334" s="507"/>
      <c r="K334" s="507"/>
      <c r="L334" s="507"/>
    </row>
    <row r="335" spans="1:12">
      <c r="A335" s="507"/>
      <c r="B335" s="507"/>
      <c r="C335" s="507"/>
      <c r="D335" s="507"/>
      <c r="E335" s="507"/>
      <c r="F335" s="507"/>
      <c r="G335" s="507"/>
      <c r="H335" s="507"/>
      <c r="I335" s="507"/>
      <c r="J335" s="507"/>
      <c r="K335" s="507"/>
      <c r="L335" s="507"/>
    </row>
    <row r="336" spans="1:12">
      <c r="A336" s="507"/>
      <c r="B336" s="507"/>
      <c r="C336" s="507"/>
      <c r="D336" s="507"/>
      <c r="E336" s="507"/>
      <c r="F336" s="507"/>
      <c r="G336" s="507"/>
      <c r="H336" s="507"/>
      <c r="I336" s="507"/>
      <c r="J336" s="507"/>
      <c r="K336" s="507"/>
      <c r="L336" s="507"/>
    </row>
    <row r="337" spans="1:12">
      <c r="A337" s="507"/>
      <c r="B337" s="507"/>
      <c r="C337" s="507"/>
      <c r="D337" s="507"/>
      <c r="E337" s="507"/>
      <c r="F337" s="507"/>
      <c r="G337" s="507"/>
      <c r="H337" s="507"/>
      <c r="I337" s="507"/>
      <c r="J337" s="507"/>
      <c r="K337" s="507"/>
      <c r="L337" s="507"/>
    </row>
    <row r="338" spans="1:12">
      <c r="A338" s="507"/>
      <c r="B338" s="507"/>
      <c r="C338" s="507"/>
      <c r="D338" s="507"/>
      <c r="E338" s="507"/>
      <c r="F338" s="507"/>
      <c r="G338" s="507"/>
      <c r="H338" s="507"/>
      <c r="I338" s="507"/>
      <c r="J338" s="507"/>
      <c r="K338" s="507"/>
      <c r="L338" s="507"/>
    </row>
    <row r="339" spans="1:12">
      <c r="A339" s="507"/>
      <c r="B339" s="507"/>
      <c r="C339" s="507"/>
      <c r="D339" s="507"/>
      <c r="E339" s="507"/>
      <c r="F339" s="507"/>
      <c r="G339" s="507"/>
      <c r="H339" s="507"/>
      <c r="I339" s="507"/>
      <c r="J339" s="507"/>
      <c r="K339" s="507"/>
      <c r="L339" s="507"/>
    </row>
    <row r="340" spans="1:12">
      <c r="A340" s="507"/>
      <c r="B340" s="507"/>
      <c r="C340" s="507"/>
      <c r="D340" s="507"/>
      <c r="E340" s="507"/>
      <c r="F340" s="507"/>
      <c r="G340" s="507"/>
      <c r="H340" s="507"/>
      <c r="I340" s="507"/>
      <c r="J340" s="507"/>
      <c r="K340" s="507"/>
      <c r="L340" s="507"/>
    </row>
    <row r="341" spans="1:12">
      <c r="A341" s="507"/>
      <c r="B341" s="507"/>
      <c r="C341" s="507"/>
      <c r="D341" s="507"/>
      <c r="E341" s="507"/>
      <c r="F341" s="507"/>
      <c r="G341" s="507"/>
      <c r="H341" s="507"/>
      <c r="I341" s="507"/>
      <c r="J341" s="507"/>
      <c r="K341" s="507"/>
      <c r="L341" s="507"/>
    </row>
    <row r="342" spans="1:12">
      <c r="A342" s="507"/>
      <c r="B342" s="507"/>
      <c r="C342" s="507"/>
      <c r="D342" s="507"/>
      <c r="E342" s="507"/>
      <c r="F342" s="507"/>
      <c r="G342" s="507"/>
      <c r="H342" s="507"/>
      <c r="I342" s="507"/>
      <c r="J342" s="507"/>
      <c r="K342" s="507"/>
      <c r="L342" s="507"/>
    </row>
    <row r="343" spans="1:12">
      <c r="A343" s="507"/>
      <c r="B343" s="507"/>
      <c r="C343" s="507"/>
      <c r="D343" s="507"/>
      <c r="E343" s="507"/>
      <c r="F343" s="507"/>
      <c r="G343" s="507"/>
      <c r="H343" s="507"/>
      <c r="I343" s="507"/>
      <c r="J343" s="507"/>
      <c r="K343" s="507"/>
      <c r="L343" s="507"/>
    </row>
    <row r="344" spans="1:12">
      <c r="A344" s="507"/>
      <c r="B344" s="507"/>
      <c r="C344" s="507"/>
      <c r="D344" s="507"/>
      <c r="E344" s="507"/>
      <c r="F344" s="507"/>
      <c r="G344" s="507"/>
      <c r="H344" s="507"/>
      <c r="I344" s="507"/>
      <c r="J344" s="507"/>
      <c r="K344" s="507"/>
      <c r="L344" s="507"/>
    </row>
    <row r="345" spans="1:12">
      <c r="A345" s="507"/>
      <c r="B345" s="507"/>
      <c r="C345" s="507"/>
      <c r="D345" s="507"/>
      <c r="E345" s="507"/>
      <c r="F345" s="507"/>
      <c r="G345" s="507"/>
      <c r="H345" s="507"/>
      <c r="I345" s="507"/>
      <c r="J345" s="507"/>
      <c r="K345" s="507"/>
      <c r="L345" s="507"/>
    </row>
    <row r="346" spans="1:12">
      <c r="A346" s="507"/>
      <c r="B346" s="507"/>
      <c r="C346" s="507"/>
      <c r="D346" s="507"/>
      <c r="E346" s="507"/>
      <c r="F346" s="507"/>
      <c r="G346" s="507"/>
      <c r="H346" s="507"/>
      <c r="I346" s="507"/>
      <c r="J346" s="507"/>
      <c r="K346" s="507"/>
      <c r="L346" s="507"/>
    </row>
    <row r="347" spans="1:12">
      <c r="A347" s="507"/>
      <c r="B347" s="507"/>
      <c r="C347" s="507"/>
      <c r="D347" s="507"/>
      <c r="E347" s="507"/>
      <c r="F347" s="507"/>
      <c r="G347" s="507"/>
      <c r="H347" s="507"/>
      <c r="I347" s="507"/>
      <c r="J347" s="507"/>
      <c r="K347" s="507"/>
      <c r="L347" s="507"/>
    </row>
    <row r="348" spans="1:12">
      <c r="A348" s="507"/>
      <c r="B348" s="507"/>
      <c r="C348" s="507"/>
      <c r="D348" s="507"/>
      <c r="E348" s="507"/>
      <c r="F348" s="507"/>
      <c r="G348" s="507"/>
      <c r="H348" s="507"/>
      <c r="I348" s="507"/>
      <c r="J348" s="507"/>
      <c r="K348" s="507"/>
      <c r="L348" s="507"/>
    </row>
    <row r="349" spans="1:12">
      <c r="A349" s="507"/>
      <c r="B349" s="507"/>
      <c r="C349" s="507"/>
      <c r="D349" s="507"/>
      <c r="E349" s="507"/>
      <c r="F349" s="507"/>
      <c r="G349" s="507"/>
      <c r="H349" s="507"/>
      <c r="I349" s="507"/>
      <c r="J349" s="507"/>
      <c r="K349" s="507"/>
      <c r="L349" s="507"/>
    </row>
    <row r="350" spans="1:12">
      <c r="A350" s="507"/>
      <c r="B350" s="507"/>
      <c r="C350" s="507"/>
      <c r="D350" s="507"/>
      <c r="E350" s="507"/>
      <c r="F350" s="507"/>
      <c r="G350" s="507"/>
      <c r="H350" s="507"/>
      <c r="I350" s="507"/>
      <c r="J350" s="507"/>
      <c r="K350" s="507"/>
      <c r="L350" s="507"/>
    </row>
    <row r="351" spans="1:12">
      <c r="A351" s="507"/>
      <c r="B351" s="507"/>
      <c r="C351" s="507"/>
      <c r="D351" s="507"/>
      <c r="E351" s="507"/>
      <c r="F351" s="507"/>
      <c r="G351" s="507"/>
      <c r="H351" s="507"/>
      <c r="I351" s="507"/>
      <c r="J351" s="507"/>
      <c r="K351" s="507"/>
      <c r="L351" s="507"/>
    </row>
    <row r="352" spans="1:12">
      <c r="A352" s="507"/>
      <c r="B352" s="507"/>
      <c r="C352" s="507"/>
      <c r="D352" s="507"/>
      <c r="E352" s="507"/>
      <c r="F352" s="507"/>
      <c r="G352" s="507"/>
      <c r="H352" s="507"/>
      <c r="I352" s="507"/>
      <c r="J352" s="507"/>
      <c r="K352" s="507"/>
      <c r="L352" s="507"/>
    </row>
    <row r="353" spans="1:12">
      <c r="A353" s="507"/>
      <c r="B353" s="507"/>
      <c r="C353" s="507"/>
      <c r="D353" s="507"/>
      <c r="E353" s="507"/>
      <c r="F353" s="507"/>
      <c r="G353" s="507"/>
      <c r="H353" s="507"/>
      <c r="I353" s="507"/>
      <c r="J353" s="507"/>
      <c r="K353" s="507"/>
      <c r="L353" s="507"/>
    </row>
    <row r="354" spans="1:12">
      <c r="A354" s="507"/>
      <c r="B354" s="507"/>
      <c r="C354" s="507"/>
      <c r="D354" s="507"/>
      <c r="E354" s="507"/>
      <c r="F354" s="507"/>
      <c r="G354" s="507"/>
      <c r="H354" s="507"/>
      <c r="I354" s="507"/>
      <c r="J354" s="507"/>
      <c r="K354" s="507"/>
      <c r="L354" s="507"/>
    </row>
  </sheetData>
  <mergeCells count="55">
    <mergeCell ref="F23:G23"/>
    <mergeCell ref="B6:K6"/>
    <mergeCell ref="B7:K7"/>
    <mergeCell ref="B8:K8"/>
    <mergeCell ref="B10:K10"/>
    <mergeCell ref="B12:K12"/>
    <mergeCell ref="B55:K55"/>
    <mergeCell ref="C25:D25"/>
    <mergeCell ref="B30:K30"/>
    <mergeCell ref="B31:K31"/>
    <mergeCell ref="B33:K33"/>
    <mergeCell ref="B35:K35"/>
    <mergeCell ref="C41:D41"/>
    <mergeCell ref="B48:C48"/>
    <mergeCell ref="G50:H50"/>
    <mergeCell ref="I51:K51"/>
    <mergeCell ref="B52:K52"/>
    <mergeCell ref="B53:K53"/>
    <mergeCell ref="C97:D97"/>
    <mergeCell ref="B57:K57"/>
    <mergeCell ref="B58:K58"/>
    <mergeCell ref="C74:D74"/>
    <mergeCell ref="C77:D77"/>
    <mergeCell ref="C80:D80"/>
    <mergeCell ref="C83:D83"/>
    <mergeCell ref="B85:K85"/>
    <mergeCell ref="B86:K86"/>
    <mergeCell ref="B88:K88"/>
    <mergeCell ref="B90:K90"/>
    <mergeCell ref="C94:D94"/>
    <mergeCell ref="B126:K126"/>
    <mergeCell ref="C100:D100"/>
    <mergeCell ref="C103:D103"/>
    <mergeCell ref="B105:K105"/>
    <mergeCell ref="B106:K106"/>
    <mergeCell ref="B108:K108"/>
    <mergeCell ref="B110:K110"/>
    <mergeCell ref="C114:D114"/>
    <mergeCell ref="C117:D117"/>
    <mergeCell ref="C120:D120"/>
    <mergeCell ref="C123:D123"/>
    <mergeCell ref="B125:K125"/>
    <mergeCell ref="C148:D148"/>
    <mergeCell ref="J148:K148"/>
    <mergeCell ref="B128:K128"/>
    <mergeCell ref="B130:K130"/>
    <mergeCell ref="C133:D133"/>
    <mergeCell ref="H133:I133"/>
    <mergeCell ref="C134:D134"/>
    <mergeCell ref="H134:I134"/>
    <mergeCell ref="C136:D136"/>
    <mergeCell ref="C137:D137"/>
    <mergeCell ref="B144:K144"/>
    <mergeCell ref="C147:D147"/>
    <mergeCell ref="J147:K147"/>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A40"/>
  <sheetViews>
    <sheetView workbookViewId="0"/>
  </sheetViews>
  <sheetFormatPr defaultRowHeight="15"/>
  <cols>
    <col min="1" max="1" width="71.21875" customWidth="1"/>
  </cols>
  <sheetData>
    <row r="1" spans="1:1" ht="16.5">
      <c r="A1" s="508" t="s">
        <v>644</v>
      </c>
    </row>
    <row r="3" spans="1:1" ht="31.5">
      <c r="A3" s="509" t="s">
        <v>645</v>
      </c>
    </row>
    <row r="4" spans="1:1" ht="15.75">
      <c r="A4" s="510" t="s">
        <v>646</v>
      </c>
    </row>
    <row r="7" spans="1:1" ht="31.5">
      <c r="A7" s="509" t="s">
        <v>647</v>
      </c>
    </row>
    <row r="8" spans="1:1" ht="15.75">
      <c r="A8" s="510" t="s">
        <v>648</v>
      </c>
    </row>
    <row r="11" spans="1:1" ht="15.75">
      <c r="A11" s="511" t="s">
        <v>649</v>
      </c>
    </row>
    <row r="12" spans="1:1" ht="15.75">
      <c r="A12" s="510" t="s">
        <v>650</v>
      </c>
    </row>
    <row r="15" spans="1:1" ht="15.75">
      <c r="A15" s="511" t="s">
        <v>651</v>
      </c>
    </row>
    <row r="16" spans="1:1" ht="15.75">
      <c r="A16" s="510" t="s">
        <v>652</v>
      </c>
    </row>
    <row r="19" spans="1:1" ht="15.75">
      <c r="A19" s="511" t="s">
        <v>653</v>
      </c>
    </row>
    <row r="20" spans="1:1" ht="15.75">
      <c r="A20" s="510" t="s">
        <v>654</v>
      </c>
    </row>
    <row r="23" spans="1:1" ht="15.75">
      <c r="A23" s="511" t="s">
        <v>655</v>
      </c>
    </row>
    <row r="24" spans="1:1" ht="15.75">
      <c r="A24" s="510" t="s">
        <v>656</v>
      </c>
    </row>
    <row r="27" spans="1:1" ht="15.75">
      <c r="A27" s="511" t="s">
        <v>657</v>
      </c>
    </row>
    <row r="28" spans="1:1" ht="15.75">
      <c r="A28" s="510" t="s">
        <v>658</v>
      </c>
    </row>
    <row r="31" spans="1:1" ht="15.75">
      <c r="A31" s="511" t="s">
        <v>659</v>
      </c>
    </row>
    <row r="32" spans="1:1" ht="15.75">
      <c r="A32" s="510" t="s">
        <v>660</v>
      </c>
    </row>
    <row r="35" spans="1:1" ht="15.75">
      <c r="A35" s="511" t="s">
        <v>661</v>
      </c>
    </row>
    <row r="36" spans="1:1" ht="15.75">
      <c r="A36" s="510" t="s">
        <v>662</v>
      </c>
    </row>
    <row r="39" spans="1:1" ht="15.75">
      <c r="A39" s="511" t="s">
        <v>663</v>
      </c>
    </row>
    <row r="40" spans="1:1" ht="15.75">
      <c r="A40" s="510" t="s">
        <v>664</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A113"/>
  <sheetViews>
    <sheetView workbookViewId="0">
      <selection activeCell="C9" sqref="C9"/>
    </sheetView>
  </sheetViews>
  <sheetFormatPr defaultRowHeight="15.75"/>
  <cols>
    <col min="1" max="1" width="68.6640625" style="92" customWidth="1"/>
    <col min="2" max="2" width="14.5546875" style="92" customWidth="1"/>
    <col min="3" max="3" width="14.21875" style="92" customWidth="1"/>
    <col min="4" max="16384" width="8.88671875" style="92"/>
  </cols>
  <sheetData>
    <row r="1" spans="1:1">
      <c r="A1" s="371" t="s">
        <v>727</v>
      </c>
    </row>
    <row r="2" spans="1:1">
      <c r="A2" s="570" t="s">
        <v>728</v>
      </c>
    </row>
    <row r="3" spans="1:1">
      <c r="A3" s="570" t="s">
        <v>729</v>
      </c>
    </row>
    <row r="5" spans="1:1">
      <c r="A5" s="371" t="s">
        <v>681</v>
      </c>
    </row>
    <row r="6" spans="1:1">
      <c r="A6" s="570" t="s">
        <v>682</v>
      </c>
    </row>
    <row r="7" spans="1:1">
      <c r="A7" s="570" t="s">
        <v>683</v>
      </c>
    </row>
    <row r="8" spans="1:1" ht="31.5">
      <c r="A8" s="571" t="s">
        <v>723</v>
      </c>
    </row>
    <row r="9" spans="1:1">
      <c r="A9" s="570" t="s">
        <v>684</v>
      </c>
    </row>
    <row r="10" spans="1:1">
      <c r="A10" s="570" t="s">
        <v>685</v>
      </c>
    </row>
    <row r="11" spans="1:1">
      <c r="A11" s="570" t="s">
        <v>686</v>
      </c>
    </row>
    <row r="12" spans="1:1">
      <c r="A12" s="570" t="s">
        <v>687</v>
      </c>
    </row>
    <row r="13" spans="1:1">
      <c r="A13" s="570" t="s">
        <v>688</v>
      </c>
    </row>
    <row r="14" spans="1:1">
      <c r="A14" s="570" t="s">
        <v>689</v>
      </c>
    </row>
    <row r="15" spans="1:1">
      <c r="A15" s="570" t="s">
        <v>690</v>
      </c>
    </row>
    <row r="16" spans="1:1">
      <c r="A16" s="570" t="s">
        <v>691</v>
      </c>
    </row>
    <row r="17" spans="1:1">
      <c r="A17" s="570" t="s">
        <v>692</v>
      </c>
    </row>
    <row r="18" spans="1:1">
      <c r="A18" s="570" t="s">
        <v>693</v>
      </c>
    </row>
    <row r="19" spans="1:1">
      <c r="A19" s="570" t="s">
        <v>694</v>
      </c>
    </row>
    <row r="20" spans="1:1">
      <c r="A20" s="570" t="s">
        <v>695</v>
      </c>
    </row>
    <row r="21" spans="1:1">
      <c r="A21" s="570" t="s">
        <v>696</v>
      </c>
    </row>
    <row r="22" spans="1:1">
      <c r="A22" s="570" t="s">
        <v>697</v>
      </c>
    </row>
    <row r="23" spans="1:1">
      <c r="A23" s="570" t="s">
        <v>698</v>
      </c>
    </row>
    <row r="24" spans="1:1">
      <c r="A24" s="570" t="s">
        <v>699</v>
      </c>
    </row>
    <row r="25" spans="1:1">
      <c r="A25" s="570" t="s">
        <v>700</v>
      </c>
    </row>
    <row r="26" spans="1:1">
      <c r="A26" s="570" t="s">
        <v>701</v>
      </c>
    </row>
    <row r="27" spans="1:1">
      <c r="A27" s="570" t="s">
        <v>702</v>
      </c>
    </row>
    <row r="28" spans="1:1">
      <c r="A28" s="570" t="s">
        <v>724</v>
      </c>
    </row>
    <row r="30" spans="1:1">
      <c r="A30" s="371" t="s">
        <v>565</v>
      </c>
    </row>
    <row r="31" spans="1:1">
      <c r="A31" s="92" t="s">
        <v>568</v>
      </c>
    </row>
    <row r="32" spans="1:1">
      <c r="A32" s="92" t="s">
        <v>566</v>
      </c>
    </row>
    <row r="33" spans="1:1">
      <c r="A33" s="92" t="s">
        <v>567</v>
      </c>
    </row>
    <row r="35" spans="1:1">
      <c r="A35" s="384" t="s">
        <v>557</v>
      </c>
    </row>
    <row r="36" spans="1:1">
      <c r="A36" s="92" t="s">
        <v>564</v>
      </c>
    </row>
    <row r="38" spans="1:1">
      <c r="A38" s="371" t="s">
        <v>330</v>
      </c>
    </row>
    <row r="39" spans="1:1">
      <c r="A39" s="372" t="s">
        <v>331</v>
      </c>
    </row>
    <row r="40" spans="1:1">
      <c r="A40" s="372" t="s">
        <v>332</v>
      </c>
    </row>
    <row r="41" spans="1:1">
      <c r="A41" s="372" t="s">
        <v>333</v>
      </c>
    </row>
    <row r="42" spans="1:1">
      <c r="A42" s="92" t="s">
        <v>334</v>
      </c>
    </row>
    <row r="44" spans="1:1">
      <c r="A44" s="330" t="s">
        <v>286</v>
      </c>
    </row>
    <row r="45" spans="1:1">
      <c r="A45" s="92" t="s">
        <v>277</v>
      </c>
    </row>
    <row r="46" spans="1:1">
      <c r="A46" s="92" t="s">
        <v>278</v>
      </c>
    </row>
    <row r="47" spans="1:1">
      <c r="A47" s="92" t="s">
        <v>279</v>
      </c>
    </row>
    <row r="48" spans="1:1">
      <c r="A48" s="92" t="s">
        <v>280</v>
      </c>
    </row>
    <row r="49" spans="1:1">
      <c r="A49" s="92" t="s">
        <v>281</v>
      </c>
    </row>
    <row r="50" spans="1:1">
      <c r="A50" s="92" t="s">
        <v>282</v>
      </c>
    </row>
    <row r="51" spans="1:1">
      <c r="A51" s="92" t="s">
        <v>299</v>
      </c>
    </row>
    <row r="52" spans="1:1">
      <c r="A52" s="92" t="s">
        <v>300</v>
      </c>
    </row>
    <row r="53" spans="1:1">
      <c r="A53" s="92" t="s">
        <v>301</v>
      </c>
    </row>
    <row r="54" spans="1:1">
      <c r="A54" s="92" t="s">
        <v>302</v>
      </c>
    </row>
    <row r="55" spans="1:1">
      <c r="A55" s="92" t="s">
        <v>303</v>
      </c>
    </row>
    <row r="56" spans="1:1">
      <c r="A56" s="92" t="s">
        <v>304</v>
      </c>
    </row>
    <row r="58" spans="1:1">
      <c r="A58" s="330" t="s">
        <v>272</v>
      </c>
    </row>
    <row r="59" spans="1:1">
      <c r="A59" s="92" t="s">
        <v>283</v>
      </c>
    </row>
    <row r="60" spans="1:1">
      <c r="A60" s="92" t="s">
        <v>273</v>
      </c>
    </row>
    <row r="61" spans="1:1">
      <c r="A61" s="92" t="s">
        <v>274</v>
      </c>
    </row>
    <row r="63" spans="1:1">
      <c r="A63" s="330" t="s">
        <v>268</v>
      </c>
    </row>
    <row r="64" spans="1:1">
      <c r="A64" s="92" t="s">
        <v>269</v>
      </c>
    </row>
    <row r="65" spans="1:1">
      <c r="A65" s="92" t="s">
        <v>270</v>
      </c>
    </row>
    <row r="67" spans="1:1">
      <c r="A67" s="330" t="s">
        <v>249</v>
      </c>
    </row>
    <row r="68" spans="1:1">
      <c r="A68" s="92" t="s">
        <v>250</v>
      </c>
    </row>
    <row r="69" spans="1:1" ht="36" customHeight="1">
      <c r="A69" s="331" t="s">
        <v>251</v>
      </c>
    </row>
    <row r="70" spans="1:1">
      <c r="A70" s="92" t="s">
        <v>252</v>
      </c>
    </row>
    <row r="71" spans="1:1" ht="18.75" customHeight="1">
      <c r="A71" s="92" t="s">
        <v>253</v>
      </c>
    </row>
    <row r="72" spans="1:1">
      <c r="A72" s="92" t="s">
        <v>254</v>
      </c>
    </row>
    <row r="73" spans="1:1" ht="24.75" customHeight="1">
      <c r="A73" s="92" t="s">
        <v>255</v>
      </c>
    </row>
    <row r="74" spans="1:1" ht="39" customHeight="1">
      <c r="A74" s="331" t="s">
        <v>256</v>
      </c>
    </row>
    <row r="75" spans="1:1" ht="38.25" customHeight="1">
      <c r="A75" s="331" t="s">
        <v>257</v>
      </c>
    </row>
    <row r="76" spans="1:1" ht="37.5" customHeight="1">
      <c r="A76" s="331" t="s">
        <v>258</v>
      </c>
    </row>
    <row r="77" spans="1:1" ht="21" customHeight="1">
      <c r="A77" s="331" t="s">
        <v>259</v>
      </c>
    </row>
    <row r="78" spans="1:1" ht="35.25" customHeight="1">
      <c r="A78" s="331" t="s">
        <v>260</v>
      </c>
    </row>
    <row r="79" spans="1:1">
      <c r="A79" s="92" t="s">
        <v>261</v>
      </c>
    </row>
    <row r="80" spans="1:1">
      <c r="A80" s="92" t="s">
        <v>262</v>
      </c>
    </row>
    <row r="81" spans="1:1">
      <c r="A81" s="92" t="s">
        <v>263</v>
      </c>
    </row>
    <row r="82" spans="1:1">
      <c r="A82" s="92" t="s">
        <v>264</v>
      </c>
    </row>
    <row r="83" spans="1:1">
      <c r="A83" s="92" t="s">
        <v>265</v>
      </c>
    </row>
    <row r="86" spans="1:1">
      <c r="A86" s="330" t="s">
        <v>172</v>
      </c>
    </row>
    <row r="87" spans="1:1">
      <c r="A87" s="92" t="s">
        <v>181</v>
      </c>
    </row>
    <row r="88" spans="1:1">
      <c r="A88" s="92" t="s">
        <v>182</v>
      </c>
    </row>
    <row r="89" spans="1:1">
      <c r="A89" s="92" t="s">
        <v>183</v>
      </c>
    </row>
    <row r="90" spans="1:1">
      <c r="A90" s="92" t="s">
        <v>196</v>
      </c>
    </row>
    <row r="91" spans="1:1">
      <c r="A91" s="92" t="s">
        <v>184</v>
      </c>
    </row>
    <row r="92" spans="1:1">
      <c r="A92" s="92" t="s">
        <v>185</v>
      </c>
    </row>
    <row r="93" spans="1:1">
      <c r="A93" s="92" t="s">
        <v>186</v>
      </c>
    </row>
    <row r="94" spans="1:1">
      <c r="A94" s="92" t="s">
        <v>187</v>
      </c>
    </row>
    <row r="95" spans="1:1">
      <c r="A95" s="92" t="s">
        <v>197</v>
      </c>
    </row>
    <row r="96" spans="1:1">
      <c r="A96" s="92" t="s">
        <v>188</v>
      </c>
    </row>
    <row r="97" spans="1:1">
      <c r="A97" s="92" t="s">
        <v>189</v>
      </c>
    </row>
    <row r="98" spans="1:1">
      <c r="A98" s="92" t="s">
        <v>190</v>
      </c>
    </row>
    <row r="99" spans="1:1">
      <c r="A99" s="92" t="s">
        <v>198</v>
      </c>
    </row>
    <row r="100" spans="1:1">
      <c r="A100" s="92" t="s">
        <v>199</v>
      </c>
    </row>
    <row r="101" spans="1:1">
      <c r="A101" s="92" t="s">
        <v>205</v>
      </c>
    </row>
    <row r="102" spans="1:1">
      <c r="A102" s="92" t="s">
        <v>284</v>
      </c>
    </row>
    <row r="103" spans="1:1">
      <c r="A103" s="92" t="s">
        <v>0</v>
      </c>
    </row>
    <row r="104" spans="1:1">
      <c r="A104" s="92" t="s">
        <v>1</v>
      </c>
    </row>
    <row r="105" spans="1:1">
      <c r="A105" s="92" t="s">
        <v>2</v>
      </c>
    </row>
    <row r="106" spans="1:1">
      <c r="A106" s="92" t="s">
        <v>285</v>
      </c>
    </row>
    <row r="107" spans="1:1">
      <c r="A107" s="92" t="s">
        <v>214</v>
      </c>
    </row>
    <row r="108" spans="1:1">
      <c r="A108" s="92" t="s">
        <v>215</v>
      </c>
    </row>
    <row r="109" spans="1:1">
      <c r="A109" s="92" t="s">
        <v>3</v>
      </c>
    </row>
    <row r="110" spans="1:1">
      <c r="A110" s="92" t="s">
        <v>4</v>
      </c>
    </row>
    <row r="111" spans="1:1">
      <c r="A111" s="92" t="s">
        <v>223</v>
      </c>
    </row>
    <row r="112" spans="1:1">
      <c r="A112" s="92" t="s">
        <v>224</v>
      </c>
    </row>
    <row r="113" spans="1:1">
      <c r="A113" s="92" t="s">
        <v>229</v>
      </c>
    </row>
  </sheetData>
  <sheetProtection sheet="1"/>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7"/>
  <sheetViews>
    <sheetView workbookViewId="0">
      <selection activeCell="E7" sqref="E7"/>
    </sheetView>
  </sheetViews>
  <sheetFormatPr defaultRowHeight="15"/>
  <cols>
    <col min="1" max="1" width="15.77734375" style="57" customWidth="1"/>
    <col min="2" max="2" width="20.77734375" style="57" customWidth="1"/>
    <col min="3" max="3" width="10.77734375" style="57" customWidth="1"/>
    <col min="4" max="4" width="15.6640625" style="57" customWidth="1"/>
    <col min="5" max="5" width="14.21875" style="57" customWidth="1"/>
    <col min="6" max="16384" width="8.88671875" style="57"/>
  </cols>
  <sheetData>
    <row r="1" spans="1:5" ht="15.75">
      <c r="A1" s="56" t="str">
        <f>inputPrYr!D3</f>
        <v>Antioch Cemetery</v>
      </c>
      <c r="B1" s="56"/>
      <c r="C1" s="56"/>
      <c r="D1" s="56"/>
      <c r="E1" s="56">
        <f>inputPrYr!D6</f>
        <v>2013</v>
      </c>
    </row>
    <row r="2" spans="1:5" ht="15.75">
      <c r="A2" s="56" t="str">
        <f>inputPrYr!D4</f>
        <v>Franklin County</v>
      </c>
      <c r="B2" s="56"/>
      <c r="C2" s="56"/>
      <c r="D2" s="56"/>
      <c r="E2" s="56"/>
    </row>
    <row r="3" spans="1:5">
      <c r="A3" s="58"/>
      <c r="B3" s="58"/>
      <c r="C3" s="58"/>
      <c r="D3" s="58"/>
      <c r="E3" s="58"/>
    </row>
    <row r="4" spans="1:5" ht="15.75">
      <c r="A4" s="575" t="s">
        <v>191</v>
      </c>
      <c r="B4" s="576"/>
      <c r="C4" s="576"/>
      <c r="D4" s="576"/>
      <c r="E4" s="576"/>
    </row>
    <row r="5" spans="1:5">
      <c r="A5" s="58"/>
      <c r="B5" s="58"/>
      <c r="C5" s="58"/>
      <c r="D5" s="58"/>
      <c r="E5" s="58"/>
    </row>
    <row r="6" spans="1:5" ht="15.75">
      <c r="A6" s="59" t="str">
        <f>CONCATENATE("From the County Clerks ",E1," Budget Information:")</f>
        <v>From the County Clerks 2013 Budget Information:</v>
      </c>
      <c r="B6" s="60"/>
      <c r="C6" s="60"/>
      <c r="D6" s="18"/>
      <c r="E6" s="39"/>
    </row>
    <row r="7" spans="1:5" ht="15.75">
      <c r="A7" s="61" t="str">
        <f>CONCATENATE("Total Assessed Valuation for ",inputPrYr!D6-1,"")</f>
        <v>Total Assessed Valuation for 2012</v>
      </c>
      <c r="B7" s="42"/>
      <c r="C7" s="42"/>
      <c r="D7" s="42"/>
      <c r="E7" s="52">
        <v>5377282</v>
      </c>
    </row>
    <row r="8" spans="1:5" ht="15.75">
      <c r="A8" s="62" t="str">
        <f>CONCATENATE("New Improvements for ",inputPrYr!D6-1,"")</f>
        <v>New Improvements for 2012</v>
      </c>
      <c r="B8" s="63"/>
      <c r="C8" s="63"/>
      <c r="D8" s="63"/>
      <c r="E8" s="64">
        <v>116352</v>
      </c>
    </row>
    <row r="9" spans="1:5" ht="15.75">
      <c r="A9" s="62" t="str">
        <f>CONCATENATE("Personal Property excluding oil, gas, and mobile homes- ",inputPrYr!D6-1,"")</f>
        <v>Personal Property excluding oil, gas, and mobile homes- 2012</v>
      </c>
      <c r="B9" s="63"/>
      <c r="C9" s="63"/>
      <c r="D9" s="63"/>
      <c r="E9" s="64">
        <v>185805</v>
      </c>
    </row>
    <row r="10" spans="1:5" ht="15.75">
      <c r="A10" s="62" t="str">
        <f>CONCATENATE("Property that has changed in use for ",inputPrYr!D6-1,"")</f>
        <v>Property that has changed in use for 2012</v>
      </c>
      <c r="B10" s="63"/>
      <c r="C10" s="63"/>
      <c r="D10" s="63"/>
      <c r="E10" s="64">
        <v>37569</v>
      </c>
    </row>
    <row r="11" spans="1:5" ht="15.75">
      <c r="A11" s="61" t="str">
        <f>CONCATENATE("Personal Property excluding oil, gas, and mobile homes- ",inputPrYr!D6-2,"")</f>
        <v>Personal Property excluding oil, gas, and mobile homes- 2011</v>
      </c>
      <c r="B11" s="42"/>
      <c r="C11" s="42"/>
      <c r="D11" s="42"/>
      <c r="E11" s="64">
        <v>195480</v>
      </c>
    </row>
    <row r="12" spans="1:5" ht="15.75">
      <c r="A12" s="62" t="str">
        <f>CONCATENATE("Neighborhood Revitalization - ",E1,"")</f>
        <v>Neighborhood Revitalization - 2013</v>
      </c>
      <c r="B12" s="63"/>
      <c r="C12" s="63"/>
      <c r="D12" s="63"/>
      <c r="E12" s="64"/>
    </row>
    <row r="13" spans="1:5" ht="15.75">
      <c r="A13" s="45"/>
      <c r="B13" s="65"/>
      <c r="C13" s="65"/>
      <c r="D13" s="65"/>
      <c r="E13" s="66"/>
    </row>
    <row r="14" spans="1:5" ht="15.75">
      <c r="A14" s="67" t="str">
        <f>CONCATENATE("Actual Tax Rates for the ",E1-1," Budget:")</f>
        <v>Actual Tax Rates for the 2012 Budget:</v>
      </c>
      <c r="B14" s="65"/>
      <c r="C14" s="65"/>
      <c r="D14" s="65"/>
      <c r="E14" s="68"/>
    </row>
    <row r="15" spans="1:5" ht="15.75">
      <c r="A15" s="585" t="s">
        <v>26</v>
      </c>
      <c r="B15" s="580"/>
      <c r="C15" s="58"/>
      <c r="D15" s="69" t="s">
        <v>60</v>
      </c>
      <c r="E15" s="68"/>
    </row>
    <row r="16" spans="1:5" ht="15.75">
      <c r="A16" s="61" t="s">
        <v>10</v>
      </c>
      <c r="B16" s="42"/>
      <c r="C16" s="65"/>
      <c r="D16" s="70">
        <v>1.91</v>
      </c>
      <c r="E16" s="68"/>
    </row>
    <row r="17" spans="1:5" ht="15.75">
      <c r="A17" s="62"/>
      <c r="B17" s="63"/>
      <c r="C17" s="65"/>
      <c r="D17" s="71"/>
      <c r="E17" s="68"/>
    </row>
    <row r="18" spans="1:5" ht="15.75">
      <c r="A18" s="62"/>
      <c r="B18" s="63"/>
      <c r="C18" s="65"/>
      <c r="D18" s="71"/>
      <c r="E18" s="68"/>
    </row>
    <row r="19" spans="1:5" ht="15.75">
      <c r="A19" s="62"/>
      <c r="B19" s="63"/>
      <c r="C19" s="65"/>
      <c r="D19" s="71"/>
      <c r="E19" s="68"/>
    </row>
    <row r="20" spans="1:5" ht="15.75">
      <c r="A20" s="62"/>
      <c r="B20" s="63"/>
      <c r="C20" s="65"/>
      <c r="D20" s="71"/>
      <c r="E20" s="68"/>
    </row>
    <row r="21" spans="1:5" ht="15.75">
      <c r="A21" s="62"/>
      <c r="B21" s="63"/>
      <c r="C21" s="65"/>
      <c r="D21" s="72"/>
      <c r="E21" s="68"/>
    </row>
    <row r="22" spans="1:5" ht="15.75">
      <c r="A22" s="73"/>
      <c r="B22" s="42" t="s">
        <v>201</v>
      </c>
      <c r="C22" s="74"/>
      <c r="D22" s="75">
        <f>SUM(D16:D21)</f>
        <v>1.91</v>
      </c>
      <c r="E22" s="73"/>
    </row>
    <row r="23" spans="1:5">
      <c r="A23" s="73"/>
      <c r="B23" s="73"/>
      <c r="C23" s="73"/>
      <c r="D23" s="73"/>
      <c r="E23" s="73"/>
    </row>
    <row r="24" spans="1:5" ht="15.75">
      <c r="A24" s="42" t="str">
        <f>CONCATENATE("Final Assessed Valuation from the November 1, ",E1-2," Abstract")</f>
        <v>Final Assessed Valuation from the November 1, 2011 Abstract</v>
      </c>
      <c r="B24" s="76"/>
      <c r="C24" s="76"/>
      <c r="D24" s="76"/>
      <c r="E24" s="55">
        <v>5201069</v>
      </c>
    </row>
    <row r="25" spans="1:5">
      <c r="A25" s="73"/>
      <c r="B25" s="73"/>
      <c r="C25" s="73"/>
      <c r="D25" s="73"/>
      <c r="E25" s="73"/>
    </row>
    <row r="26" spans="1:5" ht="15.75">
      <c r="A26" s="77" t="str">
        <f>CONCATENATE("From the County Treasurer's Budget Information - ",E1," Budget Year Estimates:")</f>
        <v>From the County Treasurer's Budget Information - 2013 Budget Year Estimates:</v>
      </c>
      <c r="B26" s="29"/>
      <c r="C26" s="29"/>
      <c r="D26" s="78"/>
      <c r="E26" s="39"/>
    </row>
    <row r="27" spans="1:5" ht="15.75">
      <c r="A27" s="61" t="s">
        <v>14</v>
      </c>
      <c r="B27" s="42"/>
      <c r="C27" s="42"/>
      <c r="D27" s="79"/>
      <c r="E27" s="37">
        <v>1556</v>
      </c>
    </row>
    <row r="28" spans="1:5" ht="15.75">
      <c r="A28" s="62" t="s">
        <v>15</v>
      </c>
      <c r="B28" s="63"/>
      <c r="C28" s="63"/>
      <c r="D28" s="80"/>
      <c r="E28" s="37">
        <v>44</v>
      </c>
    </row>
    <row r="29" spans="1:5" ht="15.75">
      <c r="A29" s="62" t="s">
        <v>166</v>
      </c>
      <c r="B29" s="63"/>
      <c r="C29" s="63"/>
      <c r="D29" s="80"/>
      <c r="E29" s="37">
        <v>39</v>
      </c>
    </row>
    <row r="30" spans="1:5" ht="15.75">
      <c r="A30" s="62" t="s">
        <v>154</v>
      </c>
      <c r="B30" s="63"/>
      <c r="C30" s="63"/>
      <c r="D30" s="80"/>
      <c r="E30" s="37"/>
    </row>
    <row r="31" spans="1:5" ht="15.75">
      <c r="A31" s="62" t="s">
        <v>155</v>
      </c>
      <c r="B31" s="63"/>
      <c r="C31" s="63"/>
      <c r="D31" s="80"/>
      <c r="E31" s="37"/>
    </row>
    <row r="32" spans="1:5" ht="15.75">
      <c r="A32" s="61"/>
      <c r="B32" s="42"/>
      <c r="C32" s="42"/>
      <c r="D32" s="79"/>
      <c r="E32" s="37"/>
    </row>
    <row r="33" spans="1:5" ht="15.75">
      <c r="A33" s="18" t="s">
        <v>167</v>
      </c>
      <c r="B33" s="18"/>
      <c r="C33" s="18"/>
      <c r="D33" s="18"/>
      <c r="E33" s="18"/>
    </row>
    <row r="34" spans="1:5" ht="15.75">
      <c r="A34" s="81" t="s">
        <v>110</v>
      </c>
      <c r="B34" s="26"/>
      <c r="C34" s="26"/>
      <c r="D34" s="18"/>
      <c r="E34" s="18"/>
    </row>
    <row r="35" spans="1:5" ht="15.75">
      <c r="A35" s="82" t="str">
        <f>CONCATENATE("Actual Delinquency for ",E1-3," Tax (round to three decimal places)")</f>
        <v>Actual Delinquency for 2010 Tax (round to three decimal places)</v>
      </c>
      <c r="B35" s="65"/>
      <c r="C35" s="18"/>
      <c r="D35" s="18"/>
      <c r="E35" s="83"/>
    </row>
    <row r="36" spans="1:5" ht="15.75">
      <c r="A36" s="82" t="s">
        <v>202</v>
      </c>
      <c r="B36" s="82"/>
      <c r="C36" s="65"/>
      <c r="D36" s="65"/>
      <c r="E36" s="403"/>
    </row>
    <row r="37" spans="1:5" ht="15.75">
      <c r="A37" s="84" t="s">
        <v>168</v>
      </c>
      <c r="B37" s="84"/>
      <c r="C37" s="85"/>
      <c r="D37" s="85"/>
      <c r="E37" s="86"/>
    </row>
    <row r="38" spans="1:5">
      <c r="A38" s="58"/>
      <c r="B38" s="58"/>
      <c r="C38" s="58"/>
      <c r="D38" s="58"/>
      <c r="E38" s="58"/>
    </row>
    <row r="39" spans="1:5" ht="15.75">
      <c r="A39" s="586" t="str">
        <f>CONCATENATE("From the ",E1-2," Budget Certificate Page")</f>
        <v>From the 2011 Budget Certificate Page</v>
      </c>
      <c r="B39" s="587"/>
      <c r="C39" s="58"/>
      <c r="D39" s="58"/>
      <c r="E39" s="58"/>
    </row>
    <row r="40" spans="1:5" ht="15.75">
      <c r="A40" s="87"/>
      <c r="B40" s="87" t="str">
        <f>CONCATENATE("",E1-2," Expenditure Amounts")</f>
        <v>2011 Expenditure Amounts</v>
      </c>
      <c r="C40" s="588" t="str">
        <f>CONCATENATE("Note: If the ",E1-2," budget was amended, then the")</f>
        <v>Note: If the 2011 budget was amended, then the</v>
      </c>
      <c r="D40" s="589"/>
      <c r="E40" s="589"/>
    </row>
    <row r="41" spans="1:5" ht="15.75">
      <c r="A41" s="88" t="s">
        <v>210</v>
      </c>
      <c r="B41" s="88" t="s">
        <v>211</v>
      </c>
      <c r="C41" s="89" t="s">
        <v>212</v>
      </c>
      <c r="D41" s="90"/>
      <c r="E41" s="90"/>
    </row>
    <row r="42" spans="1:5" ht="15.75">
      <c r="A42" s="91" t="str">
        <f>inputPrYr!B19</f>
        <v>General</v>
      </c>
      <c r="B42" s="55">
        <v>24074</v>
      </c>
      <c r="C42" s="89" t="s">
        <v>213</v>
      </c>
      <c r="D42" s="90"/>
      <c r="E42" s="90"/>
    </row>
    <row r="43" spans="1:5" ht="15.75">
      <c r="A43" s="91">
        <f>inputPrYr!B20</f>
        <v>0</v>
      </c>
      <c r="B43" s="55"/>
      <c r="C43" s="89"/>
      <c r="D43" s="90"/>
      <c r="E43" s="90"/>
    </row>
    <row r="44" spans="1:5" ht="15.75">
      <c r="A44" s="91">
        <f>inputPrYr!B22</f>
        <v>0</v>
      </c>
      <c r="B44" s="55"/>
      <c r="C44" s="58"/>
      <c r="D44" s="58"/>
      <c r="E44" s="58"/>
    </row>
    <row r="45" spans="1:5" ht="15.75">
      <c r="A45" s="91">
        <f>inputPrYr!B23</f>
        <v>0</v>
      </c>
      <c r="B45" s="55"/>
      <c r="C45" s="58"/>
      <c r="D45" s="58"/>
      <c r="E45" s="58"/>
    </row>
    <row r="46" spans="1:5" ht="15.75">
      <c r="A46" s="91">
        <f>inputPrYr!B26</f>
        <v>0</v>
      </c>
      <c r="B46" s="55"/>
      <c r="C46" s="58"/>
      <c r="D46" s="58"/>
      <c r="E46" s="58"/>
    </row>
    <row r="47" spans="1:5" ht="15.75">
      <c r="A47" s="91">
        <f>inputPrYr!B27</f>
        <v>0</v>
      </c>
      <c r="B47" s="55"/>
      <c r="C47" s="58"/>
      <c r="D47" s="58"/>
      <c r="E47" s="58"/>
    </row>
  </sheetData>
  <sheetProtection sheet="1" objects="1" scenarios="1"/>
  <mergeCells count="4">
    <mergeCell ref="A15:B15"/>
    <mergeCell ref="A4:E4"/>
    <mergeCell ref="A39:B39"/>
    <mergeCell ref="C40:E40"/>
  </mergeCells>
  <phoneticPr fontId="15" type="noConversion"/>
  <pageMargins left="0.75" right="0.75" top="1" bottom="1" header="0.5" footer="0.5"/>
  <pageSetup scale="86" orientation="portrait" blackAndWhite="1" r:id="rId1"/>
  <headerFooter alignWithMargins="0"/>
</worksheet>
</file>

<file path=xl/worksheets/sheet4.xml><?xml version="1.0" encoding="utf-8"?>
<worksheet xmlns="http://schemas.openxmlformats.org/spreadsheetml/2006/main" xmlns:r="http://schemas.openxmlformats.org/officeDocument/2006/relationships">
  <dimension ref="A2:F23"/>
  <sheetViews>
    <sheetView workbookViewId="0">
      <selection activeCell="B7" sqref="B7"/>
    </sheetView>
  </sheetViews>
  <sheetFormatPr defaultRowHeight="15"/>
  <cols>
    <col min="1" max="1" width="13.77734375" customWidth="1"/>
    <col min="2" max="2" width="16.109375" customWidth="1"/>
  </cols>
  <sheetData>
    <row r="2" spans="1:6" ht="54" customHeight="1">
      <c r="A2" s="590" t="s">
        <v>319</v>
      </c>
      <c r="B2" s="591"/>
      <c r="C2" s="591"/>
      <c r="D2" s="591"/>
      <c r="E2" s="591"/>
      <c r="F2" s="591"/>
    </row>
    <row r="4" spans="1:6" ht="15.75">
      <c r="A4" s="356"/>
      <c r="B4" s="356"/>
      <c r="C4" s="356"/>
      <c r="D4" s="357"/>
      <c r="E4" s="356"/>
      <c r="F4" s="356"/>
    </row>
    <row r="5" spans="1:6" ht="15.75">
      <c r="A5" s="358" t="s">
        <v>320</v>
      </c>
      <c r="B5" s="359" t="s">
        <v>743</v>
      </c>
      <c r="C5" s="360"/>
      <c r="D5" s="358" t="s">
        <v>726</v>
      </c>
      <c r="E5" s="356"/>
      <c r="F5" s="356"/>
    </row>
    <row r="6" spans="1:6" ht="15.75">
      <c r="A6" s="358"/>
      <c r="B6" s="361"/>
      <c r="C6" s="362"/>
      <c r="D6" s="358" t="s">
        <v>725</v>
      </c>
      <c r="E6" s="356"/>
      <c r="F6" s="356"/>
    </row>
    <row r="7" spans="1:6" ht="15.75">
      <c r="A7" s="358" t="s">
        <v>321</v>
      </c>
      <c r="B7" s="359" t="s">
        <v>736</v>
      </c>
      <c r="C7" s="363"/>
      <c r="D7" s="358"/>
      <c r="E7" s="356"/>
      <c r="F7" s="356"/>
    </row>
    <row r="8" spans="1:6" ht="15.75">
      <c r="A8" s="358"/>
      <c r="B8" s="358"/>
      <c r="C8" s="358"/>
      <c r="D8" s="358"/>
      <c r="E8" s="356"/>
      <c r="F8" s="356"/>
    </row>
    <row r="9" spans="1:6" ht="15.75">
      <c r="A9" s="358" t="s">
        <v>322</v>
      </c>
      <c r="B9" s="364" t="s">
        <v>737</v>
      </c>
      <c r="C9" s="364"/>
      <c r="D9" s="364"/>
      <c r="E9" s="365"/>
      <c r="F9" s="356"/>
    </row>
    <row r="10" spans="1:6" ht="15.75">
      <c r="A10" s="358"/>
      <c r="B10" s="358"/>
      <c r="C10" s="358"/>
      <c r="D10" s="358"/>
      <c r="E10" s="356"/>
      <c r="F10" s="356"/>
    </row>
    <row r="11" spans="1:6" ht="15.75">
      <c r="A11" s="358"/>
      <c r="B11" s="358"/>
      <c r="C11" s="358"/>
      <c r="D11" s="358"/>
      <c r="E11" s="356"/>
      <c r="F11" s="356"/>
    </row>
    <row r="12" spans="1:6" ht="15.75">
      <c r="A12" s="358" t="s">
        <v>323</v>
      </c>
      <c r="B12" s="364" t="s">
        <v>731</v>
      </c>
      <c r="C12" s="364"/>
      <c r="D12" s="364"/>
      <c r="E12" s="365"/>
      <c r="F12" s="356"/>
    </row>
    <row r="15" spans="1:6" ht="15.75">
      <c r="A15" s="592" t="s">
        <v>324</v>
      </c>
      <c r="B15" s="592"/>
      <c r="C15" s="358"/>
      <c r="D15" s="358"/>
      <c r="E15" s="358"/>
      <c r="F15" s="356"/>
    </row>
    <row r="16" spans="1:6" ht="15.75">
      <c r="A16" s="358"/>
      <c r="B16" s="358"/>
      <c r="C16" s="358"/>
      <c r="D16" s="358"/>
      <c r="E16" s="358"/>
      <c r="F16" s="356"/>
    </row>
    <row r="17" spans="1:5" ht="15.75">
      <c r="A17" s="358" t="s">
        <v>320</v>
      </c>
      <c r="B17" s="361" t="s">
        <v>325</v>
      </c>
      <c r="C17" s="358"/>
      <c r="D17" s="358"/>
      <c r="E17" s="358"/>
    </row>
    <row r="18" spans="1:5" ht="15.75">
      <c r="A18" s="358"/>
      <c r="B18" s="358"/>
      <c r="C18" s="358"/>
      <c r="D18" s="358"/>
      <c r="E18" s="358"/>
    </row>
    <row r="19" spans="1:5" ht="15.75">
      <c r="A19" s="358" t="s">
        <v>321</v>
      </c>
      <c r="B19" s="358" t="s">
        <v>326</v>
      </c>
      <c r="C19" s="358"/>
      <c r="D19" s="358"/>
      <c r="E19" s="358"/>
    </row>
    <row r="20" spans="1:5" ht="15.75">
      <c r="A20" s="358"/>
      <c r="B20" s="358"/>
      <c r="C20" s="358"/>
      <c r="D20" s="358"/>
      <c r="E20" s="358"/>
    </row>
    <row r="21" spans="1:5" ht="15.75">
      <c r="A21" s="358" t="s">
        <v>322</v>
      </c>
      <c r="B21" s="358" t="s">
        <v>328</v>
      </c>
      <c r="C21" s="358"/>
      <c r="D21" s="358"/>
      <c r="E21" s="358"/>
    </row>
    <row r="22" spans="1:5" ht="15.75">
      <c r="A22" s="358"/>
      <c r="B22" s="358"/>
      <c r="C22" s="358"/>
      <c r="D22" s="358"/>
      <c r="E22" s="358"/>
    </row>
    <row r="23" spans="1:5" ht="15.75">
      <c r="A23" s="358" t="s">
        <v>323</v>
      </c>
      <c r="B23" s="358" t="s">
        <v>327</v>
      </c>
      <c r="C23" s="358"/>
      <c r="D23" s="358"/>
      <c r="E23" s="358"/>
    </row>
  </sheetData>
  <sheetProtection sheet="1"/>
  <mergeCells count="2">
    <mergeCell ref="A2:F2"/>
    <mergeCell ref="A15:B15"/>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sheetPr>
    <pageSetUpPr fitToPage="1"/>
  </sheetPr>
  <dimension ref="A1:H64"/>
  <sheetViews>
    <sheetView tabSelected="1" workbookViewId="0">
      <selection activeCell="G24" sqref="G24"/>
    </sheetView>
  </sheetViews>
  <sheetFormatPr defaultRowHeight="15.75"/>
  <cols>
    <col min="1" max="1" width="11.77734375" style="92" customWidth="1"/>
    <col min="2" max="3" width="9.77734375" style="92" customWidth="1"/>
    <col min="4" max="4" width="8.77734375" style="92" customWidth="1"/>
    <col min="5" max="7" width="14.77734375" style="92" customWidth="1"/>
    <col min="8" max="8" width="2.6640625" style="92" customWidth="1"/>
    <col min="9" max="9" width="3.21875" style="92" customWidth="1"/>
    <col min="10" max="16384" width="8.88671875" style="92"/>
  </cols>
  <sheetData>
    <row r="1" spans="1:8">
      <c r="A1" s="56"/>
      <c r="B1" s="56"/>
      <c r="C1" s="56"/>
      <c r="D1" s="56"/>
      <c r="E1" s="56"/>
      <c r="F1" s="56"/>
      <c r="G1" s="56"/>
    </row>
    <row r="2" spans="1:8">
      <c r="A2" s="596" t="s">
        <v>78</v>
      </c>
      <c r="B2" s="596"/>
      <c r="C2" s="596"/>
      <c r="D2" s="596"/>
      <c r="E2" s="596"/>
      <c r="F2" s="596"/>
      <c r="G2" s="596"/>
    </row>
    <row r="3" spans="1:8">
      <c r="A3" s="18"/>
      <c r="B3" s="18"/>
      <c r="C3" s="18"/>
      <c r="D3" s="18"/>
      <c r="E3" s="18"/>
      <c r="F3" s="18"/>
      <c r="G3" s="56">
        <f>inputPrYr!D6</f>
        <v>2013</v>
      </c>
    </row>
    <row r="4" spans="1:8">
      <c r="A4" s="597" t="str">
        <f>CONCATENATE("To the Clerk of ",inputPrYr!D4,", State of Kansas")</f>
        <v>To the Clerk of Franklin County, State of Kansas</v>
      </c>
      <c r="B4" s="597"/>
      <c r="C4" s="597"/>
      <c r="D4" s="597"/>
      <c r="E4" s="597"/>
      <c r="F4" s="597"/>
      <c r="G4" s="597"/>
    </row>
    <row r="5" spans="1:8">
      <c r="A5" s="94" t="s">
        <v>151</v>
      </c>
      <c r="B5" s="26"/>
      <c r="C5" s="26"/>
      <c r="D5" s="26"/>
      <c r="E5" s="26"/>
      <c r="F5" s="26"/>
      <c r="G5" s="26"/>
    </row>
    <row r="6" spans="1:8">
      <c r="A6" s="577" t="str">
        <f>inputPrYr!D3</f>
        <v>Antioch Cemetery</v>
      </c>
      <c r="B6" s="577"/>
      <c r="C6" s="577"/>
      <c r="D6" s="577"/>
      <c r="E6" s="577"/>
      <c r="F6" s="577"/>
      <c r="G6" s="577"/>
    </row>
    <row r="7" spans="1:8">
      <c r="A7" s="18"/>
      <c r="B7" s="18"/>
      <c r="C7" s="18"/>
      <c r="D7" s="18"/>
      <c r="E7" s="18"/>
      <c r="F7" s="18"/>
      <c r="G7" s="18"/>
    </row>
    <row r="8" spans="1:8">
      <c r="A8" s="94" t="s">
        <v>16</v>
      </c>
      <c r="B8" s="26"/>
      <c r="C8" s="26"/>
      <c r="D8" s="26"/>
      <c r="E8" s="26"/>
      <c r="F8" s="26"/>
      <c r="G8" s="26"/>
    </row>
    <row r="9" spans="1:8">
      <c r="A9" s="94" t="s">
        <v>17</v>
      </c>
      <c r="B9" s="26"/>
      <c r="C9" s="26"/>
      <c r="D9" s="26"/>
      <c r="E9" s="26"/>
      <c r="F9" s="26"/>
      <c r="G9" s="26"/>
    </row>
    <row r="10" spans="1:8">
      <c r="A10" s="94" t="str">
        <f>CONCATENATE("maximum expenditures for the various funds for the year ",G3,"; and (3) the")</f>
        <v>maximum expenditures for the various funds for the year 2013; and (3) the</v>
      </c>
      <c r="B10" s="26"/>
      <c r="C10" s="26"/>
      <c r="D10" s="26"/>
      <c r="E10" s="26"/>
      <c r="F10" s="26"/>
      <c r="G10" s="26"/>
    </row>
    <row r="11" spans="1:8">
      <c r="A11" s="94" t="str">
        <f>CONCATENATE("Amount(s) of ",G3-1," Ad Valorem Tax are within statutory  limitations for the ",G3," Budget.")</f>
        <v>Amount(s) of 2012 Ad Valorem Tax are within statutory  limitations for the 2013 Budget.</v>
      </c>
      <c r="B11" s="26"/>
      <c r="C11" s="26"/>
      <c r="D11" s="26"/>
      <c r="E11" s="26"/>
      <c r="F11" s="26"/>
      <c r="G11" s="26"/>
    </row>
    <row r="12" spans="1:8">
      <c r="A12" s="17"/>
      <c r="B12" s="18"/>
      <c r="C12" s="18"/>
      <c r="D12" s="95"/>
      <c r="E12" s="96"/>
      <c r="F12" s="96"/>
      <c r="G12" s="96"/>
    </row>
    <row r="13" spans="1:8">
      <c r="A13" s="18"/>
      <c r="B13" s="18"/>
      <c r="C13" s="18"/>
      <c r="D13" s="18"/>
      <c r="E13" s="598" t="str">
        <f>CONCATENATE("",G3," Adopted Budget")</f>
        <v>2013 Adopted Budget</v>
      </c>
      <c r="F13" s="599"/>
      <c r="G13" s="600"/>
    </row>
    <row r="14" spans="1:8">
      <c r="A14" s="17"/>
      <c r="B14" s="18"/>
      <c r="C14" s="18"/>
      <c r="D14" s="42"/>
      <c r="E14" s="97" t="s">
        <v>18</v>
      </c>
      <c r="F14" s="98"/>
      <c r="G14" s="99" t="s">
        <v>19</v>
      </c>
      <c r="H14" s="100"/>
    </row>
    <row r="15" spans="1:8">
      <c r="A15" s="18"/>
      <c r="B15" s="18"/>
      <c r="C15" s="18"/>
      <c r="D15" s="98" t="s">
        <v>20</v>
      </c>
      <c r="E15" s="101" t="s">
        <v>211</v>
      </c>
      <c r="F15" s="601" t="str">
        <f>CONCATENATE("Amount of ",G3-1," Ad Valorem Tax")</f>
        <v>Amount of 2012 Ad Valorem Tax</v>
      </c>
      <c r="G15" s="99" t="s">
        <v>21</v>
      </c>
    </row>
    <row r="16" spans="1:8">
      <c r="A16" s="17" t="s">
        <v>22</v>
      </c>
      <c r="B16" s="18"/>
      <c r="C16" s="18"/>
      <c r="D16" s="101" t="s">
        <v>23</v>
      </c>
      <c r="E16" s="101" t="s">
        <v>569</v>
      </c>
      <c r="F16" s="601"/>
      <c r="G16" s="99" t="s">
        <v>25</v>
      </c>
    </row>
    <row r="17" spans="1:7" ht="4.5" customHeight="1">
      <c r="A17" s="102"/>
      <c r="B17" s="102"/>
      <c r="C17" s="102"/>
      <c r="D17" s="103"/>
      <c r="E17" s="103"/>
      <c r="F17" s="104"/>
      <c r="G17" s="105"/>
    </row>
    <row r="18" spans="1:7">
      <c r="A18" s="106" t="str">
        <f>CONCATENATE("Computation to Determine Limit for ",G3,"")</f>
        <v>Computation to Determine Limit for 2013</v>
      </c>
      <c r="B18" s="102"/>
      <c r="C18" s="102"/>
      <c r="D18" s="107">
        <v>2</v>
      </c>
      <c r="E18" s="96"/>
      <c r="F18" s="96"/>
      <c r="G18" s="108"/>
    </row>
    <row r="19" spans="1:7">
      <c r="A19" s="109" t="s">
        <v>207</v>
      </c>
      <c r="B19" s="102"/>
      <c r="C19" s="102"/>
      <c r="D19" s="107">
        <v>3</v>
      </c>
      <c r="E19" s="96"/>
      <c r="F19" s="96"/>
      <c r="G19" s="108"/>
    </row>
    <row r="20" spans="1:7">
      <c r="A20" s="109" t="s">
        <v>143</v>
      </c>
      <c r="B20" s="102"/>
      <c r="C20" s="102"/>
      <c r="D20" s="110">
        <v>4</v>
      </c>
      <c r="E20" s="96"/>
      <c r="F20" s="96"/>
      <c r="G20" s="108"/>
    </row>
    <row r="21" spans="1:7">
      <c r="A21" s="106" t="s">
        <v>142</v>
      </c>
      <c r="B21" s="102"/>
      <c r="C21" s="102"/>
      <c r="D21" s="110">
        <v>5</v>
      </c>
      <c r="E21" s="96"/>
      <c r="F21" s="96"/>
      <c r="G21" s="108"/>
    </row>
    <row r="22" spans="1:7">
      <c r="A22" s="111" t="s">
        <v>26</v>
      </c>
      <c r="B22" s="112"/>
      <c r="C22" s="113" t="s">
        <v>27</v>
      </c>
      <c r="D22" s="107"/>
      <c r="E22" s="114"/>
      <c r="F22" s="42"/>
      <c r="G22" s="46"/>
    </row>
    <row r="23" spans="1:7">
      <c r="A23" s="115" t="s">
        <v>10</v>
      </c>
      <c r="B23" s="112"/>
      <c r="C23" s="107" t="str">
        <f>inputPrYr!C19</f>
        <v>17-1330</v>
      </c>
      <c r="D23" s="116">
        <v>6</v>
      </c>
      <c r="E23" s="117">
        <f>IF(gen!$E$50&lt;&gt;0,gen!$E$50,"  ")</f>
        <v>28650</v>
      </c>
      <c r="F23" s="117">
        <f>IF(gen!$E$57&lt;&gt;0,gen!$E$57,"  ")</f>
        <v>4027</v>
      </c>
      <c r="G23" s="118">
        <v>0.75</v>
      </c>
    </row>
    <row r="24" spans="1:7">
      <c r="A24" s="119" t="str">
        <f>IF(inputPrYr!$B$22&gt;"  ",inputPrYr!$B$22,"  ")</f>
        <v xml:space="preserve">  </v>
      </c>
      <c r="B24" s="112"/>
      <c r="C24" s="107" t="str">
        <f>IF(inputPrYr!C22&gt;0,inputPrYr!C22,"  ")</f>
        <v xml:space="preserve">  </v>
      </c>
      <c r="D24" s="116" t="str">
        <f>IF(levypage8!C80&gt;0,levypage8!C80," ")</f>
        <v xml:space="preserve"> </v>
      </c>
      <c r="E24" s="47" t="str">
        <f>IF(levypage8!$E$33&lt;&gt;0,levypage8!$E$33,"  ")</f>
        <v xml:space="preserve">  </v>
      </c>
      <c r="F24" s="47" t="str">
        <f>IF(levypage8!$E$40&lt;&gt;0,levypage8!$E$40,"  ")</f>
        <v xml:space="preserve">  </v>
      </c>
      <c r="G24" s="118" t="str">
        <f>IF(AND(levypage8!E40=0,$G$31&gt;=0)," ",IF(AND(F24&gt;0,$G$31=0)," ",IF(AND(F24&gt;0,$G$31&gt;0),ROUND(F24/$G$31*1000,3))))</f>
        <v xml:space="preserve"> </v>
      </c>
    </row>
    <row r="25" spans="1:7">
      <c r="A25" s="119" t="str">
        <f>IF(inputPrYr!$B$23&gt;"  ",inputPrYr!$B$23,"  ")</f>
        <v xml:space="preserve">  </v>
      </c>
      <c r="B25" s="112"/>
      <c r="C25" s="107" t="str">
        <f>IF(inputPrYr!C23&gt;0,inputPrYr!C23,"  ")</f>
        <v xml:space="preserve">  </v>
      </c>
      <c r="D25" s="116" t="str">
        <f>IF(levypage8!C80&gt;0,levypage8!C80," ")</f>
        <v xml:space="preserve"> </v>
      </c>
      <c r="E25" s="47" t="str">
        <f>IF(levypage8!$E$71&lt;&gt;0,levypage8!$E$71,"  ")</f>
        <v xml:space="preserve">  </v>
      </c>
      <c r="F25" s="47" t="str">
        <f>IF(levypage8!$E$78&lt;&gt;0,levypage8!$E$78,"  ")</f>
        <v xml:space="preserve">  </v>
      </c>
      <c r="G25" s="118" t="str">
        <f>IF(AND(levypage8!E78=0,$G$31&gt;=0)," ",IF(AND(F25&gt;0,$G$31=0)," ",IF(AND(F25&gt;0,$G$31&gt;0),ROUND(F25/$G$31*1000,3))))</f>
        <v xml:space="preserve"> </v>
      </c>
    </row>
    <row r="26" spans="1:7">
      <c r="A26" s="119" t="str">
        <f>IF(inputPrYr!$B$26&gt;"  ",inputPrYr!$B$26,"  ")</f>
        <v xml:space="preserve">  </v>
      </c>
      <c r="B26" s="63"/>
      <c r="C26" s="120"/>
      <c r="D26" s="116" t="str">
        <f>IF(nolevypage9!C70&gt;0,nolevypage9!C70," ")</f>
        <v xml:space="preserve"> </v>
      </c>
      <c r="E26" s="47" t="str">
        <f>IF(nolevypage9!$E$31&lt;&gt;0,nolevypage9!$E$31,"  ")</f>
        <v xml:space="preserve">  </v>
      </c>
      <c r="F26" s="121"/>
      <c r="G26" s="118"/>
    </row>
    <row r="27" spans="1:7">
      <c r="A27" s="122" t="str">
        <f>IF(inputPrYr!$B$27&gt;"  ",inputPrYr!$B$27,"  ")</f>
        <v xml:space="preserve">  </v>
      </c>
      <c r="B27" s="123"/>
      <c r="C27" s="120"/>
      <c r="D27" s="116" t="str">
        <f>IF(nolevypage9!C70&gt;0,nolevypage9!C70," ")</f>
        <v xml:space="preserve"> </v>
      </c>
      <c r="E27" s="47" t="str">
        <f>IF(nolevypage9!$E$64&lt;&gt;0,nolevypage9!$E$64,"  ")</f>
        <v xml:space="preserve">  </v>
      </c>
      <c r="F27" s="121"/>
      <c r="G27" s="118"/>
    </row>
    <row r="28" spans="1:7">
      <c r="A28" s="122" t="str">
        <f>IF((inputPrYr!$B$30&gt;" "),(NonBud!$A$3),"")</f>
        <v/>
      </c>
      <c r="B28" s="123"/>
      <c r="C28" s="99"/>
      <c r="D28" s="116" t="str">
        <f>IF(NonBud!F33&gt;0,NonBud!F33,"")</f>
        <v/>
      </c>
      <c r="E28" s="124"/>
      <c r="F28" s="125"/>
      <c r="G28" s="126"/>
    </row>
    <row r="29" spans="1:7">
      <c r="A29" s="127" t="s">
        <v>133</v>
      </c>
      <c r="B29" s="63"/>
      <c r="C29" s="112"/>
      <c r="D29" s="128" t="s">
        <v>28</v>
      </c>
      <c r="E29" s="404">
        <f>SUM(E23:E27)</f>
        <v>28650</v>
      </c>
      <c r="F29" s="405">
        <f>SUM(F23:F27)</f>
        <v>4027</v>
      </c>
      <c r="G29" s="409">
        <v>0.75</v>
      </c>
    </row>
    <row r="30" spans="1:7">
      <c r="A30" s="115" t="s">
        <v>200</v>
      </c>
      <c r="B30" s="63"/>
      <c r="C30" s="112"/>
      <c r="D30" s="131">
        <f>summ!E25</f>
        <v>7</v>
      </c>
      <c r="E30" s="135" t="s">
        <v>195</v>
      </c>
      <c r="F30" s="408" t="str">
        <f>IF(F29&gt;computation!J34,"Yes","No")</f>
        <v>No</v>
      </c>
      <c r="G30" s="410" t="s">
        <v>134</v>
      </c>
    </row>
    <row r="31" spans="1:7">
      <c r="A31" s="115" t="s">
        <v>218</v>
      </c>
      <c r="B31" s="133"/>
      <c r="C31" s="134"/>
      <c r="D31" s="131" t="str">
        <f>IF(Nhood!C35=0,"",Nhood!C35)</f>
        <v/>
      </c>
      <c r="E31" s="406"/>
      <c r="F31" s="65"/>
      <c r="G31" s="140">
        <v>5374929</v>
      </c>
    </row>
    <row r="32" spans="1:7">
      <c r="A32" s="136" t="s">
        <v>194</v>
      </c>
      <c r="B32" s="63"/>
      <c r="C32" s="112"/>
      <c r="D32" s="131" t="str">
        <f>IF(Resolution!E45=0,"",Resolution!E45)</f>
        <v/>
      </c>
      <c r="E32" s="56"/>
      <c r="F32" s="65"/>
      <c r="G32" s="602" t="str">
        <f>CONCATENATE("Nov. 1, ",G3," Total Assessed Valuation")</f>
        <v>Nov. 1, 2013 Total Assessed Valuation</v>
      </c>
    </row>
    <row r="33" spans="1:7">
      <c r="A33" s="21"/>
      <c r="B33" s="65"/>
      <c r="C33" s="18"/>
      <c r="D33" s="137"/>
      <c r="E33" s="56"/>
      <c r="F33" s="65"/>
      <c r="G33" s="603"/>
    </row>
    <row r="34" spans="1:7">
      <c r="A34" s="138" t="s">
        <v>572</v>
      </c>
      <c r="B34" s="65"/>
      <c r="C34" s="65"/>
      <c r="D34" s="65"/>
      <c r="E34" s="132"/>
      <c r="F34" s="65"/>
      <c r="G34" s="18"/>
    </row>
    <row r="35" spans="1:7">
      <c r="A35" s="419" t="s">
        <v>731</v>
      </c>
      <c r="B35" s="419"/>
      <c r="C35" s="65"/>
      <c r="D35" s="65"/>
      <c r="E35" s="139"/>
      <c r="F35" s="65"/>
      <c r="G35" s="18"/>
    </row>
    <row r="36" spans="1:7">
      <c r="A36" s="420"/>
      <c r="B36" s="421"/>
      <c r="C36" s="65"/>
      <c r="D36" s="65"/>
      <c r="E36" s="424"/>
      <c r="F36" s="65"/>
      <c r="G36" s="18"/>
    </row>
    <row r="37" spans="1:7">
      <c r="A37" s="141" t="s">
        <v>573</v>
      </c>
      <c r="B37" s="65"/>
      <c r="C37" s="65"/>
      <c r="D37" s="123"/>
      <c r="E37" s="425"/>
      <c r="F37" s="123"/>
      <c r="G37" s="123"/>
    </row>
    <row r="38" spans="1:7">
      <c r="A38" s="419" t="s">
        <v>732</v>
      </c>
      <c r="B38" s="419"/>
      <c r="C38" s="65"/>
      <c r="D38" s="42"/>
      <c r="E38" s="412"/>
      <c r="F38" s="412"/>
      <c r="G38" s="42"/>
    </row>
    <row r="39" spans="1:7">
      <c r="A39" s="421" t="s">
        <v>733</v>
      </c>
      <c r="B39" s="422"/>
      <c r="C39" s="54"/>
      <c r="D39" s="18"/>
      <c r="E39" s="142"/>
      <c r="F39" s="142"/>
      <c r="G39" s="18"/>
    </row>
    <row r="40" spans="1:7">
      <c r="A40" s="421"/>
      <c r="B40" s="421"/>
      <c r="C40" s="18"/>
      <c r="D40" s="42"/>
      <c r="E40" s="274"/>
      <c r="F40" s="42"/>
      <c r="G40" s="42"/>
    </row>
    <row r="41" spans="1:7">
      <c r="A41" s="423"/>
      <c r="B41" s="421"/>
      <c r="C41" s="17"/>
      <c r="D41" s="407"/>
      <c r="E41" s="143"/>
      <c r="F41" s="18"/>
      <c r="G41" s="18"/>
    </row>
    <row r="42" spans="1:7">
      <c r="A42" s="21"/>
      <c r="B42" s="65"/>
      <c r="C42" s="65"/>
      <c r="D42" s="411"/>
      <c r="E42" s="411"/>
      <c r="F42" s="144"/>
      <c r="G42" s="144"/>
    </row>
    <row r="43" spans="1:7">
      <c r="A43" s="21"/>
      <c r="B43" s="96"/>
      <c r="C43" s="65"/>
      <c r="D43" s="143"/>
      <c r="E43" s="143"/>
      <c r="F43" s="54"/>
      <c r="G43" s="54"/>
    </row>
    <row r="44" spans="1:7">
      <c r="A44" s="21"/>
      <c r="B44" s="65"/>
      <c r="C44" s="65"/>
      <c r="D44" s="411"/>
      <c r="E44" s="411"/>
      <c r="F44" s="144"/>
      <c r="G44" s="144"/>
    </row>
    <row r="45" spans="1:7">
      <c r="A45" s="65"/>
      <c r="B45" s="65"/>
      <c r="C45" s="65"/>
      <c r="D45" s="54"/>
      <c r="E45" s="54"/>
      <c r="F45" s="54"/>
      <c r="G45" s="54"/>
    </row>
    <row r="46" spans="1:7">
      <c r="A46" s="17" t="s">
        <v>192</v>
      </c>
      <c r="B46" s="18"/>
      <c r="C46" s="17">
        <f>G3-1</f>
        <v>2012</v>
      </c>
      <c r="D46" s="42"/>
      <c r="E46" s="42"/>
      <c r="F46" s="144"/>
      <c r="G46" s="144"/>
    </row>
    <row r="47" spans="1:7">
      <c r="A47" s="143"/>
      <c r="B47" s="65"/>
      <c r="C47" s="17"/>
      <c r="D47" s="18"/>
      <c r="E47" s="18"/>
      <c r="F47" s="26"/>
      <c r="G47" s="26"/>
    </row>
    <row r="48" spans="1:7">
      <c r="A48" s="604"/>
      <c r="B48" s="605"/>
      <c r="C48" s="18"/>
      <c r="D48" s="42"/>
      <c r="E48" s="42"/>
      <c r="F48" s="42"/>
      <c r="G48" s="42"/>
    </row>
    <row r="49" spans="1:7">
      <c r="A49" s="26" t="s">
        <v>30</v>
      </c>
      <c r="B49" s="26"/>
      <c r="C49" s="18"/>
      <c r="D49" s="606" t="s">
        <v>29</v>
      </c>
      <c r="E49" s="607"/>
      <c r="F49" s="607"/>
      <c r="G49" s="607"/>
    </row>
    <row r="50" spans="1:7">
      <c r="A50" s="593"/>
      <c r="B50" s="593"/>
      <c r="C50" s="593"/>
      <c r="D50" s="593"/>
      <c r="E50" s="593"/>
      <c r="F50" s="593"/>
      <c r="G50" s="593"/>
    </row>
    <row r="51" spans="1:7">
      <c r="A51" s="594"/>
      <c r="B51" s="594"/>
      <c r="C51" s="594"/>
      <c r="D51" s="594"/>
      <c r="E51" s="594"/>
      <c r="F51" s="594"/>
      <c r="G51" s="594"/>
    </row>
    <row r="52" spans="1:7">
      <c r="A52" s="16"/>
      <c r="B52" s="16"/>
      <c r="C52" s="16"/>
      <c r="D52" s="16"/>
      <c r="E52" s="16"/>
      <c r="F52" s="16"/>
      <c r="G52" s="595"/>
    </row>
    <row r="53" spans="1:7">
      <c r="A53" s="16"/>
      <c r="B53" s="16"/>
      <c r="C53" s="16"/>
      <c r="D53" s="16"/>
      <c r="E53" s="16"/>
      <c r="F53" s="16"/>
      <c r="G53" s="595"/>
    </row>
    <row r="54" spans="1:7">
      <c r="A54" s="16"/>
      <c r="B54" s="16"/>
      <c r="C54" s="16"/>
      <c r="D54" s="16"/>
      <c r="E54" s="16"/>
      <c r="F54" s="16"/>
      <c r="G54" s="595"/>
    </row>
    <row r="55" spans="1:7">
      <c r="A55" s="16"/>
      <c r="B55" s="16"/>
      <c r="C55" s="16"/>
      <c r="D55" s="16"/>
      <c r="E55" s="16"/>
      <c r="F55" s="16"/>
      <c r="G55" s="595"/>
    </row>
    <row r="56" spans="1:7">
      <c r="A56" s="16"/>
      <c r="B56" s="16"/>
      <c r="C56" s="16"/>
      <c r="D56" s="145"/>
      <c r="E56" s="16"/>
      <c r="F56" s="16"/>
      <c r="G56" s="595"/>
    </row>
    <row r="57" spans="1:7">
      <c r="G57" s="595"/>
    </row>
    <row r="58" spans="1:7">
      <c r="G58" s="595"/>
    </row>
    <row r="59" spans="1:7">
      <c r="G59" s="595"/>
    </row>
    <row r="60" spans="1:7">
      <c r="G60" s="595"/>
    </row>
    <row r="61" spans="1:7">
      <c r="G61" s="595"/>
    </row>
    <row r="62" spans="1:7">
      <c r="G62" s="595"/>
    </row>
    <row r="63" spans="1:7">
      <c r="G63" s="595"/>
    </row>
    <row r="64" spans="1:7">
      <c r="G64" s="595"/>
    </row>
  </sheetData>
  <sheetProtection sheet="1" objects="1" scenarios="1"/>
  <mergeCells count="16">
    <mergeCell ref="F50:F51"/>
    <mergeCell ref="G52:G64"/>
    <mergeCell ref="A2:G2"/>
    <mergeCell ref="A4:G4"/>
    <mergeCell ref="A6:G6"/>
    <mergeCell ref="E13:G13"/>
    <mergeCell ref="F15:F16"/>
    <mergeCell ref="G32:G33"/>
    <mergeCell ref="A48:B48"/>
    <mergeCell ref="D49:G49"/>
    <mergeCell ref="G50:G51"/>
    <mergeCell ref="A50:A51"/>
    <mergeCell ref="B50:B51"/>
    <mergeCell ref="C50:C51"/>
    <mergeCell ref="D50:D51"/>
    <mergeCell ref="E50:E51"/>
  </mergeCells>
  <phoneticPr fontId="0" type="noConversion"/>
  <pageMargins left="1.25" right="0.5" top="0" bottom="0.5" header="0" footer="0.5"/>
  <pageSetup scale="79" orientation="portrait" blackAndWhite="1" horizontalDpi="120" verticalDpi="144" r:id="rId1"/>
  <headerFooter alignWithMargins="0">
    <oddHeader xml:space="preserve">&amp;RState of Kansas
Special District
</oddHeader>
    <oddFooter>&amp;CPage No. 1</oddFooter>
  </headerFooter>
</worksheet>
</file>

<file path=xl/worksheets/sheet6.xml><?xml version="1.0" encoding="utf-8"?>
<worksheet xmlns="http://schemas.openxmlformats.org/spreadsheetml/2006/main" xmlns:r="http://schemas.openxmlformats.org/officeDocument/2006/relationships">
  <dimension ref="A1"/>
  <sheetViews>
    <sheetView workbookViewId="0">
      <selection activeCell="A55" sqref="A55"/>
    </sheetView>
  </sheetViews>
  <sheetFormatPr defaultRowHeight="1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pageSetUpPr fitToPage="1"/>
  </sheetPr>
  <dimension ref="A1:J37"/>
  <sheetViews>
    <sheetView topLeftCell="A13" zoomScale="85" workbookViewId="0">
      <selection activeCell="J32" sqref="J32"/>
    </sheetView>
  </sheetViews>
  <sheetFormatPr defaultRowHeight="15.95" customHeight="1"/>
  <cols>
    <col min="1" max="2" width="3.33203125" style="146" customWidth="1"/>
    <col min="3" max="3" width="31.33203125" style="146" customWidth="1"/>
    <col min="4" max="4" width="2.33203125" style="146" customWidth="1"/>
    <col min="5" max="5" width="15.77734375" style="146" customWidth="1"/>
    <col min="6" max="6" width="2" style="146" customWidth="1"/>
    <col min="7" max="7" width="15.77734375" style="146" customWidth="1"/>
    <col min="8" max="8" width="1.88671875" style="146" customWidth="1"/>
    <col min="9" max="9" width="1.77734375" style="146" customWidth="1"/>
    <col min="10" max="10" width="15.77734375" style="146" customWidth="1"/>
    <col min="11" max="16384" width="8.88671875" style="146"/>
  </cols>
  <sheetData>
    <row r="1" spans="1:10" ht="15.95" customHeight="1">
      <c r="A1" s="18"/>
      <c r="B1" s="18"/>
      <c r="C1" s="18" t="str">
        <f>inputPrYr!D3</f>
        <v>Antioch Cemetery</v>
      </c>
      <c r="D1" s="18"/>
      <c r="E1" s="18"/>
      <c r="F1" s="18"/>
      <c r="G1" s="18"/>
      <c r="H1" s="18"/>
      <c r="I1" s="18"/>
      <c r="J1" s="18">
        <f>inputPrYr!D6</f>
        <v>2013</v>
      </c>
    </row>
    <row r="2" spans="1:10" ht="15.95" customHeight="1">
      <c r="A2" s="18"/>
      <c r="B2" s="18"/>
      <c r="C2" s="18" t="str">
        <f>inputPrYr!D4</f>
        <v>Franklin County</v>
      </c>
      <c r="D2" s="18"/>
      <c r="E2" s="18"/>
      <c r="F2" s="18"/>
      <c r="G2" s="18"/>
      <c r="H2" s="18"/>
      <c r="I2" s="18"/>
      <c r="J2" s="18"/>
    </row>
    <row r="3" spans="1:10" ht="15.75">
      <c r="A3" s="579" t="str">
        <f>CONCATENATE("Computation to Determine Limit for ",J1,"")</f>
        <v>Computation to Determine Limit for 2013</v>
      </c>
      <c r="B3" s="596"/>
      <c r="C3" s="596"/>
      <c r="D3" s="596"/>
      <c r="E3" s="596"/>
      <c r="F3" s="596"/>
      <c r="G3" s="596"/>
      <c r="H3" s="596"/>
      <c r="I3" s="596"/>
      <c r="J3" s="596"/>
    </row>
    <row r="4" spans="1:10" ht="15.75">
      <c r="A4" s="18"/>
      <c r="B4" s="18"/>
      <c r="C4" s="18"/>
      <c r="D4" s="18"/>
      <c r="E4" s="596"/>
      <c r="F4" s="596"/>
      <c r="G4" s="596"/>
      <c r="H4" s="93"/>
      <c r="I4" s="18"/>
      <c r="J4" s="147" t="s">
        <v>89</v>
      </c>
    </row>
    <row r="5" spans="1:10" ht="15.75">
      <c r="A5" s="148" t="s">
        <v>90</v>
      </c>
      <c r="B5" s="18" t="str">
        <f>CONCATENATE("Total Tax Levy Amount in ",J1-1," Budget")</f>
        <v>Total Tax Levy Amount in 2012 Budget</v>
      </c>
      <c r="C5" s="18"/>
      <c r="D5" s="18"/>
      <c r="E5" s="39"/>
      <c r="F5" s="39"/>
      <c r="G5" s="39"/>
      <c r="H5" s="149" t="s">
        <v>91</v>
      </c>
      <c r="I5" s="39" t="s">
        <v>92</v>
      </c>
      <c r="J5" s="382">
        <f>inputPrYr!E24</f>
        <v>9934</v>
      </c>
    </row>
    <row r="6" spans="1:10" ht="15.75">
      <c r="A6" s="148" t="s">
        <v>93</v>
      </c>
      <c r="B6" s="18" t="str">
        <f>CONCATENATE("Debt Service Levy in ",J1-1," Budget")</f>
        <v>Debt Service Levy in 2012 Budget</v>
      </c>
      <c r="C6" s="18"/>
      <c r="D6" s="18"/>
      <c r="E6" s="39"/>
      <c r="F6" s="39"/>
      <c r="G6" s="39"/>
      <c r="H6" s="149" t="s">
        <v>94</v>
      </c>
      <c r="I6" s="39" t="s">
        <v>92</v>
      </c>
      <c r="J6" s="150">
        <f>inputPrYr!E20</f>
        <v>0</v>
      </c>
    </row>
    <row r="7" spans="1:10" ht="15.75">
      <c r="A7" s="148" t="s">
        <v>118</v>
      </c>
      <c r="B7" s="27" t="s">
        <v>112</v>
      </c>
      <c r="C7" s="18"/>
      <c r="D7" s="18"/>
      <c r="E7" s="39"/>
      <c r="F7" s="39"/>
      <c r="G7" s="39"/>
      <c r="H7" s="39"/>
      <c r="I7" s="39" t="s">
        <v>92</v>
      </c>
      <c r="J7" s="43">
        <f>J5-J6</f>
        <v>9934</v>
      </c>
    </row>
    <row r="8" spans="1:10" ht="15.75">
      <c r="A8" s="18"/>
      <c r="B8" s="18"/>
      <c r="C8" s="18"/>
      <c r="D8" s="18"/>
      <c r="E8" s="39"/>
      <c r="F8" s="39"/>
      <c r="G8" s="39"/>
      <c r="H8" s="39"/>
      <c r="I8" s="39"/>
      <c r="J8" s="39"/>
    </row>
    <row r="9" spans="1:10" ht="15.75">
      <c r="A9" s="18"/>
      <c r="B9" s="27" t="str">
        <f>CONCATENATE("",J1-1," Valuation Information for Valuation Adjustments:")</f>
        <v>2012 Valuation Information for Valuation Adjustments:</v>
      </c>
      <c r="C9" s="18"/>
      <c r="D9" s="18"/>
      <c r="E9" s="39"/>
      <c r="F9" s="39"/>
      <c r="G9" s="39"/>
      <c r="H9" s="39"/>
      <c r="I9" s="39"/>
      <c r="J9" s="39"/>
    </row>
    <row r="10" spans="1:10" ht="15.75">
      <c r="A10" s="18"/>
      <c r="B10" s="18"/>
      <c r="C10" s="27"/>
      <c r="D10" s="18"/>
      <c r="E10" s="39"/>
      <c r="F10" s="39"/>
      <c r="G10" s="39"/>
      <c r="H10" s="39"/>
      <c r="I10" s="39"/>
      <c r="J10" s="39"/>
    </row>
    <row r="11" spans="1:10" ht="15.75">
      <c r="A11" s="148" t="s">
        <v>95</v>
      </c>
      <c r="B11" s="27" t="str">
        <f>CONCATENATE("New Improvements for ",J1-1,":")</f>
        <v>New Improvements for 2012:</v>
      </c>
      <c r="C11" s="18"/>
      <c r="D11" s="18"/>
      <c r="E11" s="149"/>
      <c r="F11" s="149" t="s">
        <v>91</v>
      </c>
      <c r="G11" s="151">
        <f>inputOth!E8</f>
        <v>116352</v>
      </c>
      <c r="H11" s="152"/>
      <c r="I11" s="39"/>
      <c r="J11" s="39"/>
    </row>
    <row r="12" spans="1:10" ht="15.75">
      <c r="A12" s="148"/>
      <c r="B12" s="148"/>
      <c r="C12" s="18"/>
      <c r="D12" s="18"/>
      <c r="E12" s="149"/>
      <c r="F12" s="149"/>
      <c r="G12" s="152"/>
      <c r="H12" s="152"/>
      <c r="I12" s="39"/>
      <c r="J12" s="39"/>
    </row>
    <row r="13" spans="1:10" ht="15.75">
      <c r="A13" s="148" t="s">
        <v>96</v>
      </c>
      <c r="B13" s="27" t="str">
        <f>CONCATENATE("Increase in Personal Property for ",J1-1,":")</f>
        <v>Increase in Personal Property for 2012:</v>
      </c>
      <c r="C13" s="18"/>
      <c r="D13" s="18"/>
      <c r="E13" s="149"/>
      <c r="F13" s="149"/>
      <c r="G13" s="152"/>
      <c r="H13" s="152"/>
      <c r="I13" s="39"/>
      <c r="J13" s="39"/>
    </row>
    <row r="14" spans="1:10" ht="15.75">
      <c r="A14" s="18"/>
      <c r="B14" s="18" t="s">
        <v>97</v>
      </c>
      <c r="C14" s="18" t="str">
        <f>CONCATENATE("Personal Property ",J1-1,"")</f>
        <v>Personal Property 2012</v>
      </c>
      <c r="D14" s="148" t="s">
        <v>91</v>
      </c>
      <c r="E14" s="151">
        <f>inputOth!E9</f>
        <v>185805</v>
      </c>
      <c r="F14" s="149"/>
      <c r="G14" s="39"/>
      <c r="H14" s="39"/>
      <c r="I14" s="152"/>
      <c r="J14" s="39"/>
    </row>
    <row r="15" spans="1:10" ht="15.75">
      <c r="A15" s="148"/>
      <c r="B15" s="18" t="s">
        <v>98</v>
      </c>
      <c r="C15" s="18" t="str">
        <f>CONCATENATE("Personal Property ",J1-2,"")</f>
        <v>Personal Property 2011</v>
      </c>
      <c r="D15" s="148" t="s">
        <v>94</v>
      </c>
      <c r="E15" s="43">
        <f>inputOth!E11</f>
        <v>195480</v>
      </c>
      <c r="F15" s="149"/>
      <c r="G15" s="152"/>
      <c r="H15" s="152"/>
      <c r="I15" s="39"/>
      <c r="J15" s="39"/>
    </row>
    <row r="16" spans="1:10" ht="15.75">
      <c r="A16" s="148"/>
      <c r="B16" s="18" t="s">
        <v>99</v>
      </c>
      <c r="C16" s="18" t="s">
        <v>113</v>
      </c>
      <c r="D16" s="18"/>
      <c r="E16" s="39"/>
      <c r="F16" s="39" t="s">
        <v>91</v>
      </c>
      <c r="G16" s="151">
        <f>IF(E14&gt;E15,E14-E15,0)</f>
        <v>0</v>
      </c>
      <c r="H16" s="152"/>
      <c r="I16" s="39"/>
      <c r="J16" s="39"/>
    </row>
    <row r="17" spans="1:10" ht="15.75">
      <c r="A17" s="148"/>
      <c r="B17" s="148"/>
      <c r="C17" s="18"/>
      <c r="D17" s="18"/>
      <c r="E17" s="39"/>
      <c r="F17" s="39"/>
      <c r="G17" s="152" t="s">
        <v>107</v>
      </c>
      <c r="H17" s="152"/>
      <c r="I17" s="39"/>
      <c r="J17" s="39"/>
    </row>
    <row r="18" spans="1:10" ht="15.75">
      <c r="A18" s="148" t="s">
        <v>100</v>
      </c>
      <c r="B18" s="27" t="str">
        <f>CONCATENATE("Valuation of Property that has Changed in Use during ",J1-1,":")</f>
        <v>Valuation of Property that has Changed in Use during 2012:</v>
      </c>
      <c r="C18" s="18"/>
      <c r="D18" s="148"/>
      <c r="E18" s="39"/>
      <c r="F18" s="39"/>
      <c r="G18" s="39">
        <f>inputOth!E10</f>
        <v>37569</v>
      </c>
      <c r="H18" s="39"/>
      <c r="I18" s="39"/>
      <c r="J18" s="39"/>
    </row>
    <row r="19" spans="1:10" ht="15.75">
      <c r="A19" s="18" t="s">
        <v>18</v>
      </c>
      <c r="B19" s="18"/>
      <c r="C19" s="18"/>
      <c r="D19" s="18"/>
      <c r="E19" s="152"/>
      <c r="F19" s="39"/>
      <c r="G19" s="153"/>
      <c r="H19" s="152"/>
      <c r="I19" s="39"/>
      <c r="J19" s="39"/>
    </row>
    <row r="20" spans="1:10" ht="15.75">
      <c r="A20" s="148" t="s">
        <v>101</v>
      </c>
      <c r="B20" s="27" t="s">
        <v>114</v>
      </c>
      <c r="C20" s="18"/>
      <c r="D20" s="148"/>
      <c r="E20" s="39"/>
      <c r="F20" s="39"/>
      <c r="G20" s="151">
        <f>G11+G16+G18</f>
        <v>153921</v>
      </c>
      <c r="H20" s="152"/>
      <c r="I20" s="39"/>
      <c r="J20" s="39"/>
    </row>
    <row r="21" spans="1:10" ht="15.75">
      <c r="A21" s="148"/>
      <c r="B21" s="148"/>
      <c r="C21" s="27"/>
      <c r="D21" s="18"/>
      <c r="E21" s="39"/>
      <c r="F21" s="39"/>
      <c r="G21" s="152"/>
      <c r="H21" s="152"/>
      <c r="I21" s="39"/>
      <c r="J21" s="39"/>
    </row>
    <row r="22" spans="1:10" ht="15.75">
      <c r="A22" s="148" t="s">
        <v>102</v>
      </c>
      <c r="B22" s="18" t="str">
        <f>CONCATENATE("Total Estimated Valuation July, 1,",J1-1,"")</f>
        <v>Total Estimated Valuation July, 1,2012</v>
      </c>
      <c r="C22" s="18"/>
      <c r="D22" s="18"/>
      <c r="E22" s="151">
        <f>inputOth!E7</f>
        <v>5377282</v>
      </c>
      <c r="F22" s="39"/>
      <c r="G22" s="39"/>
      <c r="H22" s="39"/>
      <c r="I22" s="149"/>
      <c r="J22" s="39"/>
    </row>
    <row r="23" spans="1:10" ht="15.75">
      <c r="A23" s="148"/>
      <c r="B23" s="148"/>
      <c r="C23" s="18"/>
      <c r="D23" s="18"/>
      <c r="E23" s="152"/>
      <c r="F23" s="39"/>
      <c r="G23" s="39"/>
      <c r="H23" s="39"/>
      <c r="I23" s="149"/>
      <c r="J23" s="39"/>
    </row>
    <row r="24" spans="1:10" ht="15.75">
      <c r="A24" s="148" t="s">
        <v>103</v>
      </c>
      <c r="B24" s="27" t="s">
        <v>115</v>
      </c>
      <c r="C24" s="18"/>
      <c r="D24" s="18"/>
      <c r="E24" s="39"/>
      <c r="F24" s="39"/>
      <c r="G24" s="151">
        <f>E22-G20</f>
        <v>5223361</v>
      </c>
      <c r="H24" s="152"/>
      <c r="I24" s="149"/>
      <c r="J24" s="39"/>
    </row>
    <row r="25" spans="1:10" ht="15.75">
      <c r="A25" s="148"/>
      <c r="B25" s="148"/>
      <c r="C25" s="27"/>
      <c r="D25" s="18"/>
      <c r="E25" s="39"/>
      <c r="F25" s="39"/>
      <c r="G25" s="153"/>
      <c r="H25" s="152"/>
      <c r="I25" s="149"/>
      <c r="J25" s="39"/>
    </row>
    <row r="26" spans="1:10" ht="15.75">
      <c r="A26" s="148" t="s">
        <v>104</v>
      </c>
      <c r="B26" s="18" t="s">
        <v>116</v>
      </c>
      <c r="C26" s="18"/>
      <c r="D26" s="18"/>
      <c r="E26" s="18"/>
      <c r="F26" s="18"/>
      <c r="G26" s="154">
        <f>IF(G20&gt;0,G20/G24,0)</f>
        <v>2.9467808179446147E-2</v>
      </c>
      <c r="H26" s="65"/>
      <c r="I26" s="18"/>
      <c r="J26" s="18"/>
    </row>
    <row r="27" spans="1:10" ht="15.75">
      <c r="A27" s="148"/>
      <c r="B27" s="148"/>
      <c r="C27" s="18"/>
      <c r="D27" s="18"/>
      <c r="E27" s="18"/>
      <c r="F27" s="18"/>
      <c r="G27" s="65"/>
      <c r="H27" s="65"/>
      <c r="I27" s="18"/>
      <c r="J27" s="18"/>
    </row>
    <row r="28" spans="1:10" ht="15.75">
      <c r="A28" s="148" t="s">
        <v>105</v>
      </c>
      <c r="B28" s="18" t="s">
        <v>117</v>
      </c>
      <c r="C28" s="18"/>
      <c r="D28" s="18"/>
      <c r="E28" s="18"/>
      <c r="F28" s="18"/>
      <c r="G28" s="65"/>
      <c r="H28" s="155" t="s">
        <v>91</v>
      </c>
      <c r="I28" s="18" t="s">
        <v>92</v>
      </c>
      <c r="J28" s="151">
        <f>ROUND(G26*J7,0)</f>
        <v>293</v>
      </c>
    </row>
    <row r="29" spans="1:10" ht="15.75">
      <c r="A29" s="148"/>
      <c r="B29" s="148"/>
      <c r="C29" s="18"/>
      <c r="D29" s="18"/>
      <c r="E29" s="18"/>
      <c r="F29" s="18"/>
      <c r="G29" s="65"/>
      <c r="H29" s="155"/>
      <c r="I29" s="18"/>
      <c r="J29" s="152"/>
    </row>
    <row r="30" spans="1:10" ht="16.5" thickBot="1">
      <c r="A30" s="148" t="s">
        <v>106</v>
      </c>
      <c r="B30" s="27" t="s">
        <v>122</v>
      </c>
      <c r="C30" s="18"/>
      <c r="D30" s="18"/>
      <c r="E30" s="18"/>
      <c r="F30" s="18"/>
      <c r="G30" s="18"/>
      <c r="H30" s="18"/>
      <c r="I30" s="18" t="s">
        <v>92</v>
      </c>
      <c r="J30" s="156">
        <f>J7+J28</f>
        <v>10227</v>
      </c>
    </row>
    <row r="31" spans="1:10" ht="16.5" thickTop="1">
      <c r="A31" s="148"/>
      <c r="B31" s="27"/>
      <c r="C31" s="18"/>
      <c r="D31" s="18"/>
      <c r="E31" s="18"/>
      <c r="F31" s="18"/>
      <c r="G31" s="18"/>
      <c r="H31" s="18"/>
      <c r="I31" s="18"/>
      <c r="J31" s="18"/>
    </row>
    <row r="32" spans="1:10" ht="15.75">
      <c r="A32" s="148" t="s">
        <v>120</v>
      </c>
      <c r="B32" s="27" t="str">
        <f>CONCATENATE("Debt Service Levy in this ",J1," Budget")</f>
        <v>Debt Service Levy in this 2013 Budget</v>
      </c>
      <c r="C32" s="18"/>
      <c r="D32" s="18"/>
      <c r="E32" s="18"/>
      <c r="F32" s="18"/>
      <c r="G32" s="18"/>
      <c r="H32" s="18"/>
      <c r="I32" s="18"/>
      <c r="J32" s="157">
        <f>DebtService!E61</f>
        <v>0</v>
      </c>
    </row>
    <row r="33" spans="1:10" ht="15.75">
      <c r="A33" s="148"/>
      <c r="B33" s="27"/>
      <c r="C33" s="18"/>
      <c r="D33" s="18"/>
      <c r="E33" s="18"/>
      <c r="F33" s="18"/>
      <c r="G33" s="18"/>
      <c r="H33" s="18"/>
      <c r="I33" s="18"/>
      <c r="J33" s="65"/>
    </row>
    <row r="34" spans="1:10" ht="16.5" thickBot="1">
      <c r="A34" s="148" t="s">
        <v>121</v>
      </c>
      <c r="B34" s="27" t="s">
        <v>123</v>
      </c>
      <c r="C34" s="18"/>
      <c r="D34" s="18"/>
      <c r="E34" s="18"/>
      <c r="F34" s="18"/>
      <c r="G34" s="18"/>
      <c r="H34" s="18"/>
      <c r="I34" s="18"/>
      <c r="J34" s="156">
        <f>J30+J32</f>
        <v>10227</v>
      </c>
    </row>
    <row r="35" spans="1:10" ht="16.5" thickTop="1">
      <c r="A35" s="18"/>
      <c r="B35" s="18"/>
      <c r="C35" s="18"/>
      <c r="D35" s="18"/>
      <c r="E35" s="18"/>
      <c r="F35" s="18"/>
      <c r="G35" s="18"/>
      <c r="H35" s="18"/>
      <c r="I35" s="18"/>
      <c r="J35" s="18"/>
    </row>
    <row r="36" spans="1:10" ht="15.75">
      <c r="A36" s="608" t="str">
        <f>CONCATENATE("If the ",J1," budget includes tax levies exceeding the total on line 14, you must")</f>
        <v>If the 2013 budget includes tax levies exceeding the total on line 14, you must</v>
      </c>
      <c r="B36" s="608"/>
      <c r="C36" s="608"/>
      <c r="D36" s="608"/>
      <c r="E36" s="608"/>
      <c r="F36" s="608"/>
      <c r="G36" s="608"/>
      <c r="H36" s="608"/>
      <c r="I36" s="608"/>
      <c r="J36" s="608"/>
    </row>
    <row r="37" spans="1:10" ht="15.75">
      <c r="A37" s="608" t="s">
        <v>119</v>
      </c>
      <c r="B37" s="608"/>
      <c r="C37" s="608"/>
      <c r="D37" s="608"/>
      <c r="E37" s="608"/>
      <c r="F37" s="608"/>
      <c r="G37" s="608"/>
      <c r="H37" s="608"/>
      <c r="I37" s="608"/>
      <c r="J37" s="608"/>
    </row>
  </sheetData>
  <mergeCells count="4">
    <mergeCell ref="A36:J36"/>
    <mergeCell ref="A37:J37"/>
    <mergeCell ref="A3:J3"/>
    <mergeCell ref="E4:G4"/>
  </mergeCells>
  <phoneticPr fontId="0" type="noConversion"/>
  <pageMargins left="0.5" right="0.5" top="0.75" bottom="0.5" header="0.5" footer="0.5"/>
  <pageSetup scale="80" orientation="portrait" blackAndWhite="1" r:id="rId1"/>
  <headerFooter alignWithMargins="0">
    <oddHeader xml:space="preserve">&amp;RState of Kansas
Special District
</oddHeader>
    <oddFooter>&amp;CPage No. 2</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J33"/>
  <sheetViews>
    <sheetView topLeftCell="B1" workbookViewId="0">
      <selection activeCell="C11" sqref="C11"/>
    </sheetView>
  </sheetViews>
  <sheetFormatPr defaultRowHeight="15.75"/>
  <cols>
    <col min="1" max="1" width="8.88671875" style="167"/>
    <col min="2" max="2" width="17.77734375" style="16" customWidth="1"/>
    <col min="3" max="3" width="15.77734375" style="16" customWidth="1"/>
    <col min="4" max="4" width="11.77734375" style="16" customWidth="1"/>
    <col min="5" max="5" width="12.33203125" style="16" customWidth="1"/>
    <col min="6" max="6" width="11.77734375" style="16" customWidth="1"/>
    <col min="7" max="10" width="10.77734375" style="16" customWidth="1"/>
    <col min="11" max="16384" width="8.88671875" style="16"/>
  </cols>
  <sheetData>
    <row r="1" spans="1:10">
      <c r="A1" s="18"/>
      <c r="B1" s="18" t="str">
        <f>inputPrYr!D3</f>
        <v>Antioch Cemetery</v>
      </c>
      <c r="C1" s="18"/>
      <c r="D1" s="18"/>
      <c r="E1" s="18"/>
      <c r="F1" s="18"/>
      <c r="G1" s="18"/>
      <c r="H1" s="18"/>
      <c r="I1" s="158"/>
      <c r="J1" s="18"/>
    </row>
    <row r="2" spans="1:10">
      <c r="A2" s="18"/>
      <c r="B2" s="18" t="str">
        <f>inputPrYr!D4</f>
        <v>Franklin County</v>
      </c>
      <c r="C2" s="18"/>
      <c r="D2" s="18"/>
      <c r="E2" s="18"/>
      <c r="F2" s="18"/>
      <c r="G2" s="18"/>
      <c r="H2" s="18"/>
      <c r="I2" s="138"/>
      <c r="J2" s="18">
        <f>inputPrYr!D6</f>
        <v>2013</v>
      </c>
    </row>
    <row r="3" spans="1:10">
      <c r="A3" s="18"/>
      <c r="B3" s="18"/>
      <c r="C3" s="159"/>
      <c r="D3" s="159"/>
      <c r="E3" s="159"/>
      <c r="F3" s="159"/>
      <c r="G3" s="159"/>
      <c r="H3" s="159"/>
      <c r="I3" s="159"/>
      <c r="J3" s="18"/>
    </row>
    <row r="4" spans="1:10">
      <c r="A4" s="54"/>
      <c r="B4" s="18"/>
      <c r="C4" s="18"/>
      <c r="D4" s="18"/>
      <c r="E4" s="18"/>
      <c r="F4" s="18"/>
      <c r="G4" s="18"/>
      <c r="H4" s="18"/>
      <c r="I4" s="159"/>
      <c r="J4" s="18"/>
    </row>
    <row r="5" spans="1:10">
      <c r="A5" s="54"/>
      <c r="B5" s="18"/>
      <c r="C5" s="26"/>
      <c r="D5" s="26"/>
      <c r="E5" s="26"/>
      <c r="F5" s="18"/>
      <c r="G5" s="18"/>
      <c r="H5" s="18"/>
      <c r="I5" s="18"/>
      <c r="J5" s="18"/>
    </row>
    <row r="6" spans="1:10">
      <c r="A6" s="54"/>
      <c r="B6" s="609" t="s">
        <v>228</v>
      </c>
      <c r="C6" s="609"/>
      <c r="D6" s="609"/>
      <c r="E6" s="609"/>
      <c r="F6" s="609"/>
      <c r="G6" s="18"/>
      <c r="H6" s="18"/>
      <c r="I6" s="18"/>
      <c r="J6" s="18"/>
    </row>
    <row r="7" spans="1:10">
      <c r="A7" s="54"/>
      <c r="B7" s="160"/>
      <c r="C7" s="160"/>
      <c r="D7" s="160"/>
      <c r="E7" s="160"/>
      <c r="F7" s="160"/>
      <c r="G7" s="18"/>
      <c r="H7" s="18"/>
      <c r="I7" s="18"/>
      <c r="J7" s="18"/>
    </row>
    <row r="8" spans="1:10">
      <c r="A8" s="18"/>
      <c r="B8" s="18"/>
      <c r="C8" s="18"/>
      <c r="D8" s="18"/>
      <c r="E8" s="18"/>
      <c r="F8" s="18"/>
      <c r="G8" s="18"/>
      <c r="H8" s="18"/>
      <c r="I8" s="18"/>
      <c r="J8" s="18"/>
    </row>
    <row r="9" spans="1:10">
      <c r="A9" s="18"/>
      <c r="B9" s="612" t="str">
        <f>CONCATENATE("",J2-1,"                    Budgeted Funds")</f>
        <v>2012                    Budgeted Funds</v>
      </c>
      <c r="C9" s="610" t="str">
        <f>CONCATENATE("Tax Levy Amount in ",J2-2," Budget")</f>
        <v>Tax Levy Amount in 2011 Budget</v>
      </c>
      <c r="D9" s="598" t="str">
        <f>CONCATENATE("Allocation for Year ",J2,"")</f>
        <v>Allocation for Year 2013</v>
      </c>
      <c r="E9" s="613"/>
      <c r="F9" s="613"/>
      <c r="G9" s="600"/>
      <c r="H9" s="18"/>
      <c r="I9" s="18"/>
      <c r="J9" s="18"/>
    </row>
    <row r="10" spans="1:10">
      <c r="A10" s="18"/>
      <c r="B10" s="611"/>
      <c r="C10" s="611"/>
      <c r="D10" s="110" t="s">
        <v>45</v>
      </c>
      <c r="E10" s="110" t="s">
        <v>46</v>
      </c>
      <c r="F10" s="110" t="s">
        <v>86</v>
      </c>
      <c r="G10" s="107" t="s">
        <v>155</v>
      </c>
      <c r="H10" s="18"/>
      <c r="I10" s="18"/>
      <c r="J10" s="18"/>
    </row>
    <row r="11" spans="1:10">
      <c r="A11" s="18"/>
      <c r="B11" s="38" t="str">
        <f>inputPrYr!B19</f>
        <v>General</v>
      </c>
      <c r="C11" s="121">
        <f>inputPrYr!E19</f>
        <v>9934</v>
      </c>
      <c r="D11" s="121">
        <f>IF(E17=0,0,E17-D12-D13-D14)</f>
        <v>1556</v>
      </c>
      <c r="E11" s="121">
        <f>IF(E19=0,0,E19-E12-E13-E14)</f>
        <v>44</v>
      </c>
      <c r="F11" s="121">
        <f>IF(E21=0,0,E21-F12-F13-F14)</f>
        <v>39</v>
      </c>
      <c r="G11" s="121">
        <f>IF(E23=0,0,E23-G12-G13-G14)</f>
        <v>0</v>
      </c>
      <c r="H11" s="18"/>
      <c r="I11" s="18"/>
      <c r="J11" s="18"/>
    </row>
    <row r="12" spans="1:10">
      <c r="A12" s="18"/>
      <c r="B12" s="38">
        <f>inputPrYr!B20</f>
        <v>0</v>
      </c>
      <c r="C12" s="121">
        <f>inputPrYr!E20</f>
        <v>0</v>
      </c>
      <c r="D12" s="121">
        <f>IF($E$17=0,0,ROUND(C12*$C$25,0))</f>
        <v>0</v>
      </c>
      <c r="E12" s="121">
        <f>IF($E$19=0,0,ROUND(C12*$D$27,0))</f>
        <v>0</v>
      </c>
      <c r="F12" s="121">
        <f>IF($E21=0,0,ROUND(C12*$E$29,0))</f>
        <v>0</v>
      </c>
      <c r="G12" s="121">
        <f>IF($E23=0,0,ROUND(C12*$F$31,0))</f>
        <v>0</v>
      </c>
      <c r="H12" s="18"/>
      <c r="I12" s="18"/>
      <c r="J12" s="18"/>
    </row>
    <row r="13" spans="1:10">
      <c r="A13" s="18"/>
      <c r="B13" s="38" t="str">
        <f>IF(inputPrYr!$B$22&gt;"  ",inputPrYr!$B$22,"  ")</f>
        <v xml:space="preserve">  </v>
      </c>
      <c r="C13" s="121">
        <f>inputPrYr!E22</f>
        <v>0</v>
      </c>
      <c r="D13" s="121">
        <f>IF($E$17=0,0,ROUND(C13*$C$25,0))</f>
        <v>0</v>
      </c>
      <c r="E13" s="121">
        <f>IF($E$19=0,0,ROUND(C13*$D$27,0))</f>
        <v>0</v>
      </c>
      <c r="F13" s="121">
        <f>IF($E21=0,0,ROUND(C13*$E$29,0))</f>
        <v>0</v>
      </c>
      <c r="G13" s="121">
        <f>IF($E23=0,0,ROUND(C13*$F$31,0))</f>
        <v>0</v>
      </c>
      <c r="H13" s="95"/>
      <c r="I13" s="95"/>
      <c r="J13" s="18"/>
    </row>
    <row r="14" spans="1:10">
      <c r="A14" s="18"/>
      <c r="B14" s="38" t="str">
        <f>IF(inputPrYr!$B$23&gt;"  ",inputPrYr!$B$23,"  ")</f>
        <v xml:space="preserve">  </v>
      </c>
      <c r="C14" s="121">
        <f>inputPrYr!E23</f>
        <v>0</v>
      </c>
      <c r="D14" s="121">
        <f>IF($E$17=0,0,ROUND(C14*$C$25,0))</f>
        <v>0</v>
      </c>
      <c r="E14" s="121">
        <f>IF($E$19=0,0,ROUND(C14*$D$27,0))</f>
        <v>0</v>
      </c>
      <c r="F14" s="121">
        <f>IF($E21=0,0,ROUND(C14*$E$29,0))</f>
        <v>0</v>
      </c>
      <c r="G14" s="121">
        <f>IF($E23=0,0,ROUND(C14*$F$31,0))</f>
        <v>0</v>
      </c>
      <c r="H14" s="18"/>
      <c r="I14" s="18"/>
      <c r="J14" s="18"/>
    </row>
    <row r="15" spans="1:10" ht="16.5" thickBot="1">
      <c r="A15" s="18"/>
      <c r="B15" s="35" t="s">
        <v>13</v>
      </c>
      <c r="C15" s="130">
        <f>SUM(C11:C14)</f>
        <v>9934</v>
      </c>
      <c r="D15" s="130">
        <f>SUM(D11:D14)</f>
        <v>1556</v>
      </c>
      <c r="E15" s="130">
        <f>SUM(E11:E14)</f>
        <v>44</v>
      </c>
      <c r="F15" s="130">
        <f>SUM(F11:F14)</f>
        <v>39</v>
      </c>
      <c r="G15" s="129">
        <f>SUM(G11:G14)</f>
        <v>0</v>
      </c>
      <c r="H15" s="18"/>
      <c r="I15" s="18"/>
      <c r="J15" s="18"/>
    </row>
    <row r="16" spans="1:10" ht="16.5" thickTop="1">
      <c r="A16" s="18"/>
      <c r="B16" s="18"/>
      <c r="C16" s="18"/>
      <c r="D16" s="18"/>
      <c r="E16" s="18"/>
      <c r="F16" s="18"/>
      <c r="G16" s="18"/>
      <c r="H16" s="18"/>
      <c r="I16" s="18"/>
      <c r="J16" s="18"/>
    </row>
    <row r="17" spans="1:10">
      <c r="A17" s="18"/>
      <c r="B17" s="17" t="s">
        <v>47</v>
      </c>
      <c r="C17" s="18"/>
      <c r="D17" s="18"/>
      <c r="E17" s="162">
        <f>inputOth!E27</f>
        <v>1556</v>
      </c>
      <c r="F17" s="18"/>
      <c r="G17" s="18"/>
      <c r="H17" s="18"/>
      <c r="I17" s="18"/>
      <c r="J17" s="18"/>
    </row>
    <row r="18" spans="1:10">
      <c r="A18" s="18"/>
      <c r="B18" s="18"/>
      <c r="C18" s="18"/>
      <c r="D18" s="159"/>
      <c r="E18" s="159"/>
      <c r="F18" s="18"/>
      <c r="G18" s="18"/>
      <c r="H18" s="18"/>
      <c r="I18" s="18"/>
      <c r="J18" s="18"/>
    </row>
    <row r="19" spans="1:10">
      <c r="A19" s="18"/>
      <c r="B19" s="17" t="s">
        <v>48</v>
      </c>
      <c r="C19" s="18"/>
      <c r="D19" s="159"/>
      <c r="E19" s="162">
        <f>inputOth!E28</f>
        <v>44</v>
      </c>
      <c r="F19" s="18"/>
      <c r="G19" s="18"/>
      <c r="H19" s="18"/>
      <c r="I19" s="18"/>
      <c r="J19" s="18"/>
    </row>
    <row r="20" spans="1:10">
      <c r="A20" s="18"/>
      <c r="B20" s="18"/>
      <c r="C20" s="18"/>
      <c r="D20" s="18"/>
      <c r="E20" s="18"/>
      <c r="F20" s="18"/>
      <c r="G20" s="18"/>
      <c r="H20" s="18"/>
      <c r="I20" s="18"/>
      <c r="J20" s="18"/>
    </row>
    <row r="21" spans="1:10">
      <c r="A21" s="18"/>
      <c r="B21" s="17" t="s">
        <v>87</v>
      </c>
      <c r="C21" s="18"/>
      <c r="D21" s="18"/>
      <c r="E21" s="162">
        <f>inputOth!E29</f>
        <v>39</v>
      </c>
      <c r="F21" s="18"/>
      <c r="G21" s="18"/>
      <c r="H21" s="18"/>
      <c r="I21" s="18"/>
      <c r="J21" s="18"/>
    </row>
    <row r="22" spans="1:10">
      <c r="A22" s="18"/>
      <c r="B22" s="18"/>
      <c r="C22" s="18"/>
      <c r="D22" s="18"/>
      <c r="E22" s="18"/>
      <c r="F22" s="18"/>
      <c r="G22" s="18"/>
      <c r="H22" s="18"/>
      <c r="I22" s="18"/>
      <c r="J22" s="18"/>
    </row>
    <row r="23" spans="1:10">
      <c r="A23" s="18"/>
      <c r="B23" s="18" t="s">
        <v>208</v>
      </c>
      <c r="C23" s="18"/>
      <c r="D23" s="18"/>
      <c r="E23" s="151">
        <f>inputOth!E31</f>
        <v>0</v>
      </c>
      <c r="F23" s="18"/>
      <c r="G23" s="18"/>
      <c r="H23" s="18"/>
      <c r="I23" s="18"/>
      <c r="J23" s="18"/>
    </row>
    <row r="24" spans="1:10">
      <c r="A24" s="18"/>
      <c r="B24" s="18"/>
      <c r="C24" s="18"/>
      <c r="D24" s="18"/>
      <c r="E24" s="18"/>
      <c r="F24" s="18"/>
      <c r="G24" s="18"/>
      <c r="H24" s="18"/>
      <c r="I24" s="18"/>
      <c r="J24" s="18"/>
    </row>
    <row r="25" spans="1:10">
      <c r="A25" s="18"/>
      <c r="B25" s="138" t="s">
        <v>49</v>
      </c>
      <c r="C25" s="163">
        <f>IF(C15=0,0,E17/C15)</f>
        <v>0.15663378296758607</v>
      </c>
      <c r="D25" s="18"/>
      <c r="E25" s="18"/>
      <c r="F25" s="18"/>
      <c r="G25" s="18"/>
      <c r="H25" s="18"/>
      <c r="I25" s="18"/>
      <c r="J25" s="18"/>
    </row>
    <row r="26" spans="1:10">
      <c r="A26" s="18"/>
      <c r="B26" s="17"/>
      <c r="C26" s="164"/>
      <c r="D26" s="18"/>
      <c r="E26" s="18"/>
      <c r="F26" s="18"/>
      <c r="G26" s="18"/>
      <c r="H26" s="18"/>
      <c r="I26" s="18"/>
      <c r="J26" s="18"/>
    </row>
    <row r="27" spans="1:10">
      <c r="A27" s="18"/>
      <c r="B27" s="18"/>
      <c r="C27" s="138" t="s">
        <v>50</v>
      </c>
      <c r="D27" s="165">
        <f>IF(C15=0,0,E19/C15)</f>
        <v>4.4292329373867524E-3</v>
      </c>
      <c r="E27" s="18"/>
      <c r="F27" s="18"/>
      <c r="G27" s="18"/>
      <c r="H27" s="18"/>
      <c r="I27" s="18"/>
      <c r="J27" s="18"/>
    </row>
    <row r="28" spans="1:10">
      <c r="A28" s="18"/>
      <c r="B28" s="18"/>
      <c r="C28" s="17"/>
      <c r="D28" s="166"/>
      <c r="E28" s="18"/>
      <c r="F28" s="18"/>
      <c r="G28" s="18"/>
      <c r="H28" s="18"/>
      <c r="I28" s="18"/>
      <c r="J28" s="18"/>
    </row>
    <row r="29" spans="1:10">
      <c r="A29" s="18"/>
      <c r="B29" s="18"/>
      <c r="C29" s="18"/>
      <c r="D29" s="138" t="s">
        <v>88</v>
      </c>
      <c r="E29" s="165">
        <f>IF(C15=0,0,E21/C15)</f>
        <v>3.9259110126837124E-3</v>
      </c>
      <c r="F29" s="18"/>
      <c r="G29" s="18"/>
      <c r="H29" s="18"/>
      <c r="I29" s="18"/>
      <c r="J29" s="18"/>
    </row>
    <row r="30" spans="1:10">
      <c r="A30" s="18"/>
      <c r="B30" s="18"/>
      <c r="C30" s="18"/>
      <c r="D30" s="18"/>
      <c r="E30" s="18"/>
      <c r="F30" s="18"/>
      <c r="G30" s="18"/>
      <c r="H30" s="18"/>
      <c r="I30" s="18"/>
      <c r="J30" s="18"/>
    </row>
    <row r="31" spans="1:10">
      <c r="A31" s="18"/>
      <c r="B31" s="18"/>
      <c r="C31" s="54"/>
      <c r="D31" s="54"/>
      <c r="E31" s="54" t="s">
        <v>209</v>
      </c>
      <c r="F31" s="165">
        <f>IF(C15=0,0,E23/C15)</f>
        <v>0</v>
      </c>
      <c r="G31" s="54"/>
      <c r="H31" s="54"/>
      <c r="I31" s="18"/>
      <c r="J31" s="18"/>
    </row>
    <row r="32" spans="1:10">
      <c r="A32" s="18"/>
      <c r="B32" s="18"/>
      <c r="C32" s="54"/>
      <c r="D32" s="54"/>
      <c r="E32" s="54"/>
      <c r="F32" s="54"/>
      <c r="G32" s="54"/>
      <c r="H32" s="54"/>
      <c r="I32" s="18"/>
      <c r="J32" s="18"/>
    </row>
    <row r="33" spans="1:10">
      <c r="A33" s="18"/>
      <c r="B33" s="18"/>
      <c r="C33" s="54"/>
      <c r="D33" s="54"/>
      <c r="E33" s="54"/>
      <c r="F33" s="54"/>
      <c r="G33" s="54"/>
      <c r="H33" s="54"/>
      <c r="I33" s="18"/>
      <c r="J33" s="18"/>
    </row>
  </sheetData>
  <mergeCells count="4">
    <mergeCell ref="B6:F6"/>
    <mergeCell ref="C9:C10"/>
    <mergeCell ref="B9:B10"/>
    <mergeCell ref="D9:G9"/>
  </mergeCells>
  <phoneticPr fontId="0" type="noConversion"/>
  <pageMargins left="0.5" right="0.5" top="1" bottom="0.5" header="0.5" footer="0.5"/>
  <pageSetup scale="88" orientation="landscape" blackAndWhite="1" horizontalDpi="120" verticalDpi="144" r:id="rId1"/>
  <headerFooter alignWithMargins="0">
    <oddHeader xml:space="preserve">&amp;RState of Kansas
Special District
</oddHeader>
    <oddFooter>&amp;CPage No. 3</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G30"/>
  <sheetViews>
    <sheetView workbookViewId="0">
      <selection activeCell="C22" sqref="C22:E22"/>
    </sheetView>
  </sheetViews>
  <sheetFormatPr defaultRowHeight="15.75"/>
  <cols>
    <col min="1" max="2" width="17.77734375" style="16" customWidth="1"/>
    <col min="3" max="6" width="12.77734375" style="16" customWidth="1"/>
    <col min="7" max="16384" width="8.88671875" style="16"/>
  </cols>
  <sheetData>
    <row r="1" spans="1:6">
      <c r="A1" s="159"/>
      <c r="B1" s="18"/>
      <c r="C1" s="18"/>
      <c r="D1" s="18"/>
      <c r="E1" s="158"/>
      <c r="F1" s="18">
        <f>inputPrYr!D6</f>
        <v>2013</v>
      </c>
    </row>
    <row r="2" spans="1:6">
      <c r="A2" s="168" t="str">
        <f>inputPrYr!D3</f>
        <v>Antioch Cemetery</v>
      </c>
      <c r="B2" s="168"/>
      <c r="C2" s="18"/>
      <c r="D2" s="18"/>
      <c r="E2" s="158"/>
      <c r="F2" s="18"/>
    </row>
    <row r="3" spans="1:6">
      <c r="A3" s="168" t="str">
        <f>inputPrYr!D4</f>
        <v>Franklin County</v>
      </c>
      <c r="B3" s="168"/>
      <c r="C3" s="18"/>
      <c r="D3" s="18"/>
      <c r="E3" s="158"/>
      <c r="F3" s="18"/>
    </row>
    <row r="4" spans="1:6">
      <c r="A4" s="159"/>
      <c r="B4" s="18"/>
      <c r="C4" s="18"/>
      <c r="D4" s="18"/>
      <c r="E4" s="158"/>
      <c r="F4" s="18"/>
    </row>
    <row r="5" spans="1:6" ht="15" customHeight="1">
      <c r="A5" s="596" t="s">
        <v>143</v>
      </c>
      <c r="B5" s="596"/>
      <c r="C5" s="596"/>
      <c r="D5" s="596"/>
      <c r="E5" s="596"/>
      <c r="F5" s="596"/>
    </row>
    <row r="6" spans="1:6" ht="14.25" customHeight="1">
      <c r="A6" s="93"/>
      <c r="B6" s="169"/>
      <c r="C6" s="169"/>
      <c r="D6" s="169"/>
      <c r="E6" s="169"/>
      <c r="F6" s="169"/>
    </row>
    <row r="7" spans="1:6" ht="17.25" customHeight="1">
      <c r="A7" s="170" t="s">
        <v>24</v>
      </c>
      <c r="B7" s="170" t="s">
        <v>560</v>
      </c>
      <c r="C7" s="170" t="s">
        <v>51</v>
      </c>
      <c r="D7" s="170" t="s">
        <v>144</v>
      </c>
      <c r="E7" s="170" t="s">
        <v>145</v>
      </c>
      <c r="F7" s="170" t="s">
        <v>156</v>
      </c>
    </row>
    <row r="8" spans="1:6" ht="17.25" customHeight="1">
      <c r="A8" s="171" t="s">
        <v>561</v>
      </c>
      <c r="B8" s="171" t="s">
        <v>562</v>
      </c>
      <c r="C8" s="171" t="s">
        <v>157</v>
      </c>
      <c r="D8" s="171" t="s">
        <v>157</v>
      </c>
      <c r="E8" s="171" t="s">
        <v>157</v>
      </c>
      <c r="F8" s="171" t="s">
        <v>158</v>
      </c>
    </row>
    <row r="9" spans="1:6" s="174" customFormat="1" ht="18" customHeight="1">
      <c r="A9" s="172" t="s">
        <v>159</v>
      </c>
      <c r="B9" s="172" t="s">
        <v>160</v>
      </c>
      <c r="C9" s="173">
        <f>F1-2</f>
        <v>2011</v>
      </c>
      <c r="D9" s="173">
        <f>F1-1</f>
        <v>2012</v>
      </c>
      <c r="E9" s="173">
        <f>F1</f>
        <v>2013</v>
      </c>
      <c r="F9" s="172" t="s">
        <v>161</v>
      </c>
    </row>
    <row r="10" spans="1:6" ht="15" customHeight="1">
      <c r="A10" s="175"/>
      <c r="B10" s="175"/>
      <c r="C10" s="176"/>
      <c r="D10" s="176"/>
      <c r="E10" s="176"/>
      <c r="F10" s="175"/>
    </row>
    <row r="11" spans="1:6" ht="15" customHeight="1">
      <c r="A11" s="48"/>
      <c r="B11" s="48"/>
      <c r="C11" s="140"/>
      <c r="D11" s="140"/>
      <c r="E11" s="140"/>
      <c r="F11" s="48"/>
    </row>
    <row r="12" spans="1:6" ht="15" customHeight="1">
      <c r="A12" s="48"/>
      <c r="B12" s="48"/>
      <c r="C12" s="140"/>
      <c r="D12" s="140"/>
      <c r="E12" s="140"/>
      <c r="F12" s="48"/>
    </row>
    <row r="13" spans="1:6" ht="15" customHeight="1">
      <c r="A13" s="48"/>
      <c r="B13" s="48"/>
      <c r="C13" s="140"/>
      <c r="D13" s="140"/>
      <c r="E13" s="140"/>
      <c r="F13" s="48"/>
    </row>
    <row r="14" spans="1:6" ht="15" customHeight="1">
      <c r="A14" s="48"/>
      <c r="B14" s="48"/>
      <c r="C14" s="140"/>
      <c r="D14" s="140"/>
      <c r="E14" s="140"/>
      <c r="F14" s="48"/>
    </row>
    <row r="15" spans="1:6" ht="15" customHeight="1">
      <c r="A15" s="48"/>
      <c r="B15" s="48"/>
      <c r="C15" s="140"/>
      <c r="D15" s="140"/>
      <c r="E15" s="140"/>
      <c r="F15" s="48"/>
    </row>
    <row r="16" spans="1:6" ht="15" customHeight="1">
      <c r="A16" s="48"/>
      <c r="B16" s="177"/>
      <c r="C16" s="140"/>
      <c r="D16" s="140"/>
      <c r="E16" s="140"/>
      <c r="F16" s="48"/>
    </row>
    <row r="17" spans="1:7" ht="15" customHeight="1">
      <c r="A17" s="48"/>
      <c r="B17" s="48"/>
      <c r="C17" s="140"/>
      <c r="D17" s="140"/>
      <c r="E17" s="140"/>
      <c r="F17" s="48"/>
    </row>
    <row r="18" spans="1:7" ht="15" customHeight="1">
      <c r="A18" s="48"/>
      <c r="B18" s="48"/>
      <c r="C18" s="140"/>
      <c r="D18" s="140"/>
      <c r="E18" s="140"/>
      <c r="F18" s="48"/>
    </row>
    <row r="19" spans="1:7" ht="15" customHeight="1">
      <c r="A19" s="48"/>
      <c r="B19" s="48"/>
      <c r="C19" s="140"/>
      <c r="D19" s="140"/>
      <c r="E19" s="140"/>
      <c r="F19" s="48"/>
    </row>
    <row r="20" spans="1:7" ht="15" customHeight="1">
      <c r="A20" s="48"/>
      <c r="B20" s="48"/>
      <c r="C20" s="140"/>
      <c r="D20" s="140"/>
      <c r="E20" s="140"/>
      <c r="F20" s="48"/>
    </row>
    <row r="21" spans="1:7" ht="15" customHeight="1">
      <c r="A21" s="48"/>
      <c r="B21" s="48"/>
      <c r="C21" s="140"/>
      <c r="D21" s="140"/>
      <c r="E21" s="140"/>
      <c r="F21" s="48"/>
    </row>
    <row r="22" spans="1:7" ht="15" customHeight="1">
      <c r="A22" s="48"/>
      <c r="B22" s="48"/>
      <c r="C22" s="140"/>
      <c r="D22" s="140"/>
      <c r="E22" s="140"/>
      <c r="F22" s="48"/>
    </row>
    <row r="23" spans="1:7" ht="15" customHeight="1">
      <c r="A23" s="48"/>
      <c r="B23" s="48"/>
      <c r="C23" s="140"/>
      <c r="D23" s="140"/>
      <c r="E23" s="140"/>
      <c r="F23" s="48"/>
    </row>
    <row r="24" spans="1:7">
      <c r="A24" s="32"/>
      <c r="B24" s="178" t="s">
        <v>133</v>
      </c>
      <c r="C24" s="179">
        <f>SUM(C10:C23)</f>
        <v>0</v>
      </c>
      <c r="D24" s="179">
        <f>SUM(D10:D23)</f>
        <v>0</v>
      </c>
      <c r="E24" s="179">
        <f>SUM(E10:E23)</f>
        <v>0</v>
      </c>
      <c r="F24" s="180"/>
      <c r="G24" s="57"/>
    </row>
    <row r="25" spans="1:7">
      <c r="A25" s="32"/>
      <c r="B25" s="181" t="s">
        <v>559</v>
      </c>
      <c r="C25" s="182"/>
      <c r="D25" s="183"/>
      <c r="E25" s="183"/>
      <c r="F25" s="180"/>
      <c r="G25" s="57"/>
    </row>
    <row r="26" spans="1:7">
      <c r="A26" s="32"/>
      <c r="B26" s="178" t="s">
        <v>162</v>
      </c>
      <c r="C26" s="179">
        <f>C24</f>
        <v>0</v>
      </c>
      <c r="D26" s="179">
        <f>SUM(D24-D25)</f>
        <v>0</v>
      </c>
      <c r="E26" s="179">
        <f>SUM(E24-E25)</f>
        <v>0</v>
      </c>
      <c r="F26" s="180"/>
      <c r="G26" s="57"/>
    </row>
    <row r="27" spans="1:7">
      <c r="A27" s="18"/>
      <c r="B27" s="18"/>
      <c r="C27" s="18"/>
      <c r="D27" s="54"/>
      <c r="E27" s="54"/>
      <c r="F27" s="54"/>
      <c r="G27" s="57"/>
    </row>
    <row r="28" spans="1:7">
      <c r="A28" s="18"/>
      <c r="B28" s="18"/>
      <c r="C28" s="18"/>
      <c r="D28" s="54"/>
      <c r="E28" s="54"/>
      <c r="F28" s="54"/>
      <c r="G28" s="57"/>
    </row>
    <row r="29" spans="1:7">
      <c r="A29" s="385" t="s">
        <v>563</v>
      </c>
      <c r="B29" s="386" t="str">
        <f>CONCATENATE("Adjustments are required only if the transfer is being made in ",D9," and/or ",E9," from a non-budgeted fund.")</f>
        <v>Adjustments are required only if the transfer is being made in 2012 and/or 2013 from a non-budgeted fund.</v>
      </c>
      <c r="C29" s="54"/>
      <c r="D29" s="54"/>
      <c r="E29" s="54"/>
      <c r="F29" s="54"/>
      <c r="G29" s="57"/>
    </row>
    <row r="30" spans="1:7">
      <c r="A30" s="57"/>
      <c r="B30" s="57"/>
      <c r="C30" s="57"/>
      <c r="D30" s="57"/>
      <c r="E30" s="57"/>
      <c r="F30" s="57"/>
      <c r="G30" s="57"/>
    </row>
  </sheetData>
  <sheetProtection sheet="1"/>
  <mergeCells count="1">
    <mergeCell ref="A5:F5"/>
  </mergeCells>
  <phoneticPr fontId="15" type="noConversion"/>
  <pageMargins left="0.75" right="0.75" top="1" bottom="1" header="0.5" footer="0.5"/>
  <pageSetup scale="78" orientation="portrait" blackAndWhite="1" r:id="rId1"/>
  <headerFooter alignWithMargins="0">
    <oddHeader>&amp;RState of Kansas
Special District</oddHeader>
    <oddFooter>&amp;CPage No.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4</vt:i4>
      </vt:variant>
    </vt:vector>
  </HeadingPairs>
  <TitlesOfParts>
    <vt:vector size="32" baseType="lpstr">
      <vt:lpstr>instructions</vt:lpstr>
      <vt:lpstr>inputPrYr</vt:lpstr>
      <vt:lpstr>inputOth</vt:lpstr>
      <vt:lpstr>inputBudSum</vt:lpstr>
      <vt:lpstr>cert</vt:lpstr>
      <vt:lpstr>CertPub</vt:lpstr>
      <vt:lpstr>computation</vt:lpstr>
      <vt:lpstr>mvalloc</vt:lpstr>
      <vt:lpstr>transfers</vt:lpstr>
      <vt:lpstr>TransferFunds</vt:lpstr>
      <vt:lpstr>debt</vt:lpstr>
      <vt:lpstr>gen</vt:lpstr>
      <vt:lpstr>DebtService</vt:lpstr>
      <vt:lpstr>levypage8</vt:lpstr>
      <vt:lpstr>nolevypage9</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DebtService!Print_Area</vt:lpstr>
      <vt:lpstr>gen!Print_Area</vt:lpstr>
      <vt:lpstr>inputPrYr!Print_Area</vt:lpstr>
      <vt:lpstr>instructions!Print_Area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 district</dc:title>
  <dc:creator>Valued Customer of</dc:creator>
  <cp:lastModifiedBy>sperry</cp:lastModifiedBy>
  <cp:lastPrinted>2012-07-19T18:09:04Z</cp:lastPrinted>
  <dcterms:created xsi:type="dcterms:W3CDTF">1999-08-06T13:59:57Z</dcterms:created>
  <dcterms:modified xsi:type="dcterms:W3CDTF">2012-11-08T21:04:21Z</dcterms:modified>
</cp:coreProperties>
</file>