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C23" i="3"/>
  <c r="E23"/>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c r="C66"/>
  <c r="D66"/>
  <c r="C64"/>
  <c r="C52"/>
  <c r="C53"/>
  <c r="C65"/>
  <c r="D64"/>
  <c r="D67"/>
  <c r="E64"/>
  <c r="D52"/>
  <c r="E52"/>
  <c r="C31"/>
  <c r="C19"/>
  <c r="C20"/>
  <c r="D31"/>
  <c r="D19"/>
  <c r="E19"/>
  <c r="E31"/>
  <c r="D52" i="4"/>
  <c r="D50"/>
  <c r="D49" s="1"/>
  <c r="D56" i="15"/>
  <c r="C56"/>
  <c r="C69" s="1"/>
  <c r="B56"/>
  <c r="G11" i="7"/>
  <c r="E15" i="4"/>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A10" s="1"/>
  <c r="A37" i="2"/>
  <c r="A15"/>
  <c r="E20" i="9"/>
  <c r="E16"/>
  <c r="E12"/>
  <c r="K20"/>
  <c r="J20"/>
  <c r="I20"/>
  <c r="H20"/>
  <c r="K16"/>
  <c r="J16"/>
  <c r="I16"/>
  <c r="H16"/>
  <c r="K12"/>
  <c r="K21"/>
  <c r="J12"/>
  <c r="J21"/>
  <c r="I12"/>
  <c r="I21"/>
  <c r="H12"/>
  <c r="H21"/>
  <c r="K1"/>
  <c r="E8" s="1"/>
  <c r="F28" s="1"/>
  <c r="F21" i="8"/>
  <c r="M14" s="1"/>
  <c r="E16"/>
  <c r="B39" i="2"/>
  <c r="B21" i="8"/>
  <c r="A10" i="14"/>
  <c r="A8"/>
  <c r="A7"/>
  <c r="B5" i="12"/>
  <c r="B27"/>
  <c r="B31"/>
  <c r="B10"/>
  <c r="B9"/>
  <c r="B19"/>
  <c r="B23"/>
  <c r="D21" i="8"/>
  <c r="E24" i="13"/>
  <c r="E26"/>
  <c r="F18" i="8"/>
  <c r="D16"/>
  <c r="D24" i="13"/>
  <c r="D26"/>
  <c r="D18" i="8"/>
  <c r="B16"/>
  <c r="C24" i="13"/>
  <c r="C26"/>
  <c r="B18" i="8"/>
  <c r="F1" i="13"/>
  <c r="E9" s="1"/>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s="1"/>
  <c r="A11" i="3"/>
  <c r="B18" i="17"/>
  <c r="B35" i="5"/>
  <c r="B29" i="17"/>
  <c r="B30"/>
  <c r="K18"/>
  <c r="C30" i="6"/>
  <c r="C9" i="13"/>
  <c r="J7" i="9"/>
  <c r="H28"/>
  <c r="A36" i="10"/>
  <c r="A26" i="14"/>
  <c r="B40"/>
  <c r="D6" i="4"/>
  <c r="E13" i="3"/>
  <c r="F15"/>
  <c r="A10"/>
  <c r="D13" i="8"/>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D70"/>
  <c r="C70"/>
  <c r="E6"/>
  <c r="E14" i="5"/>
  <c r="A14" i="14"/>
  <c r="E47" i="4"/>
  <c r="E50"/>
  <c r="E54" s="1"/>
  <c r="E13" i="16"/>
  <c r="C67" i="6"/>
  <c r="C35"/>
  <c r="C87" i="5"/>
  <c r="B37" s="1"/>
  <c r="E17" i="8"/>
  <c r="M20" s="1"/>
  <c r="C17"/>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F16" i="8"/>
  <c r="F53" i="4"/>
  <c r="E49"/>
  <c r="J12" i="8"/>
  <c r="E40" i="6"/>
  <c r="E53"/>
  <c r="E65"/>
  <c r="E66"/>
  <c r="D68"/>
  <c r="J59" i="4"/>
  <c r="J58"/>
  <c r="J17" i="8" l="1"/>
  <c r="J16"/>
  <c r="G14"/>
  <c r="F13"/>
  <c r="B13"/>
  <c r="J20"/>
  <c r="J19"/>
  <c r="A11"/>
  <c r="C51" i="4"/>
  <c r="C71" s="1"/>
  <c r="B54"/>
  <c r="E13" i="15"/>
  <c r="F11" i="7"/>
  <c r="E13" i="4" s="1"/>
  <c r="E12" i="5"/>
  <c r="E11" i="7"/>
  <c r="D13"/>
  <c r="D11" s="1"/>
  <c r="F74" i="5"/>
  <c r="E25" i="3"/>
  <c r="E29" s="1"/>
  <c r="E70" i="5"/>
  <c r="E75"/>
  <c r="D9" i="13"/>
  <c r="G16" i="10"/>
  <c r="G20" s="1"/>
  <c r="G24" s="1"/>
  <c r="D17" i="8"/>
  <c r="D19" s="1"/>
  <c r="E45" i="5"/>
  <c r="D90"/>
  <c r="B76" s="1"/>
  <c r="D29" i="15"/>
  <c r="D31"/>
  <c r="D55" s="1"/>
  <c r="B17" i="8"/>
  <c r="B19" s="1"/>
  <c r="E30" i="15"/>
  <c r="G55" s="1"/>
  <c r="B29" i="13"/>
  <c r="A12" i="14"/>
  <c r="B58" i="15"/>
  <c r="D70"/>
  <c r="B59" s="1"/>
  <c r="E7"/>
  <c r="E11" i="5"/>
  <c r="E21" s="1"/>
  <c r="D88"/>
  <c r="B38" s="1"/>
  <c r="E7"/>
  <c r="D27" i="4"/>
  <c r="F57" i="15"/>
  <c r="E58"/>
  <c r="F17" i="8"/>
  <c r="F19" s="1"/>
  <c r="E53" i="15"/>
  <c r="E59" i="5"/>
  <c r="E60" s="1"/>
  <c r="E76" s="1"/>
  <c r="E78" s="1"/>
  <c r="F15" i="7"/>
  <c r="D7" i="4" l="1"/>
  <c r="D29" s="1"/>
  <c r="D51" s="1"/>
  <c r="G45" s="1"/>
  <c r="E12"/>
  <c r="E15" i="7"/>
  <c r="E11" i="4"/>
  <c r="E28" s="1"/>
  <c r="D15" i="7"/>
  <c r="E22" i="5"/>
  <c r="E38" s="1"/>
  <c r="E40" s="1"/>
  <c r="G26" i="10"/>
  <c r="J28" s="1"/>
  <c r="J30" s="1"/>
  <c r="E31" i="15"/>
  <c r="E59" s="1"/>
  <c r="E61" s="1"/>
  <c r="G62" s="1"/>
  <c r="G25" i="3"/>
  <c r="F25"/>
  <c r="G46" i="4"/>
  <c r="F24" i="3"/>
  <c r="G24"/>
  <c r="E20" i="5"/>
  <c r="E58"/>
  <c r="E7" i="4" l="1"/>
  <c r="E29" s="1"/>
  <c r="E55" s="1"/>
  <c r="E57" s="1"/>
  <c r="G53" s="1"/>
  <c r="D71"/>
  <c r="B55" s="1"/>
  <c r="E29" i="15"/>
  <c r="J32" i="10"/>
  <c r="J34" s="1"/>
  <c r="G56" i="15"/>
  <c r="G57" s="1"/>
  <c r="G60" s="1"/>
  <c r="F23" i="3" l="1"/>
  <c r="F29" s="1"/>
  <c r="F30" s="1"/>
  <c r="G16" i="8"/>
  <c r="G17" s="1"/>
  <c r="M19" s="1"/>
  <c r="M21" s="1"/>
  <c r="G23" i="3"/>
  <c r="E27" i="4"/>
  <c r="G47"/>
  <c r="G48" s="1"/>
  <c r="G51" s="1"/>
  <c r="H16" i="8" l="1"/>
  <c r="H17" s="1"/>
</calcChain>
</file>

<file path=xl/sharedStrings.xml><?xml version="1.0" encoding="utf-8"?>
<sst xmlns="http://schemas.openxmlformats.org/spreadsheetml/2006/main" count="1100" uniqueCount="743">
  <si>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</si>
  <si>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</si>
  <si>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</si>
  <si>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</si>
  <si>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</si>
  <si>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</si>
  <si>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</si>
  <si>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</si>
  <si>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</si>
  <si>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</si>
  <si>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</si>
  <si>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</si>
  <si>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</si>
  <si>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</si>
  <si>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</si>
  <si>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</si>
  <si>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</si>
  <si>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</si>
  <si>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</si>
  <si>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</si>
  <si>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</si>
  <si>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</si>
  <si>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</si>
  <si>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</si>
  <si>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</si>
  <si>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</si>
  <si>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</si>
  <si>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</si>
  <si>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</si>
  <si>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</si>
  <si>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</si>
  <si>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</si>
  <si>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</si>
  <si>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</si>
  <si>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</si>
  <si>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</si>
  <si>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</si>
  <si>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</si>
  <si>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</si>
  <si>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</si>
  <si>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</si>
  <si>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</si>
  <si>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</si>
  <si>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</si>
  <si>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</si>
  <si>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</si>
  <si>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</si>
  <si>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</si>
  <si>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</si>
  <si>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</si>
  <si>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</si>
  <si>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</si>
  <si>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</si>
  <si>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</si>
  <si>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</si>
  <si>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</si>
  <si>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</si>
  <si>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</si>
  <si>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</si>
  <si>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</si>
  <si>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</si>
  <si>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</si>
  <si>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</si>
  <si>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</si>
  <si>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</si>
  <si>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</si>
  <si>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</si>
  <si>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</si>
  <si>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</si>
  <si>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</si>
  <si>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</si>
  <si>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</si>
  <si>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</si>
  <si>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</si>
  <si>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</si>
  <si>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</si>
  <si>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</si>
  <si>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</si>
  <si>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</si>
  <si>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</si>
  <si>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</si>
  <si>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</si>
  <si>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</si>
  <si>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</si>
  <si>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</si>
  <si>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</si>
  <si>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</si>
  <si>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</si>
  <si>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</si>
  <si>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</si>
  <si>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</si>
  <si>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</si>
  <si>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</si>
  <si>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</si>
  <si>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</si>
  <si>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</si>
  <si>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</si>
  <si>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</si>
  <si>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</si>
  <si>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</si>
  <si>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</si>
  <si>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</si>
  <si>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</si>
  <si>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</si>
  <si>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</si>
  <si>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</si>
  <si>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</si>
  <si>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</si>
  <si>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</si>
  <si>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</si>
  <si>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</si>
  <si>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</si>
  <si>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</si>
  <si>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</si>
  <si>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</si>
  <si>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</si>
  <si>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</si>
  <si>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</si>
  <si>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</si>
  <si>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</si>
  <si>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</si>
  <si>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</si>
  <si>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</si>
  <si>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</si>
  <si>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</si>
  <si>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</si>
  <si>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</si>
  <si>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</si>
  <si>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</si>
  <si>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</si>
  <si>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</si>
  <si>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</si>
  <si>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</si>
  <si>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</si>
  <si>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</si>
  <si>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</si>
  <si>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</si>
  <si>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</si>
  <si>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</si>
  <si>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</si>
  <si>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</si>
  <si>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</si>
  <si>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</si>
  <si>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</si>
  <si>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</si>
  <si>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</si>
  <si>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</si>
  <si>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</si>
  <si>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</si>
  <si>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</si>
  <si>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</si>
  <si>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</si>
  <si>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</si>
  <si>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</si>
  <si>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</si>
  <si>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</si>
  <si>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</si>
  <si>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</si>
  <si>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</si>
  <si>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</si>
  <si>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</si>
  <si>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</si>
  <si>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</si>
  <si>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</si>
  <si>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</si>
  <si>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</si>
  <si>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</si>
  <si>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</si>
  <si>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</si>
  <si>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</si>
  <si>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</si>
  <si>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</si>
  <si>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</si>
  <si>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</si>
  <si>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</si>
  <si>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</si>
  <si>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</si>
  <si>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</si>
  <si>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</si>
  <si>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</si>
  <si>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</si>
  <si>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</si>
  <si>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</si>
  <si>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</si>
  <si>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</si>
  <si>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</si>
  <si>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</si>
  <si>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</si>
  <si>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</si>
  <si>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</si>
  <si>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</si>
  <si>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</si>
  <si>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</si>
  <si>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</si>
  <si>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</si>
  <si>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</si>
  <si>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</si>
  <si>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</si>
  <si>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</si>
  <si>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</si>
  <si>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</si>
  <si>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</si>
  <si>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</si>
  <si>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</si>
  <si>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</si>
  <si>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</si>
  <si>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</si>
  <si>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</si>
  <si>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</si>
  <si>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</si>
  <si>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</si>
  <si>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</si>
  <si>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</si>
  <si>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</si>
  <si>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</si>
  <si>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</si>
  <si>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</si>
  <si>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</si>
  <si>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</si>
  <si>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</si>
  <si>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</si>
  <si>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</si>
  <si>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</si>
  <si>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</si>
  <si>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</si>
  <si>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</si>
  <si>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</si>
  <si>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</si>
  <si>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</si>
  <si>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</si>
  <si>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</si>
  <si>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</si>
  <si>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</si>
  <si>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</si>
  <si>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</si>
  <si>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</si>
  <si>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</si>
  <si>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</si>
  <si>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</si>
  <si>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</si>
  <si>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</si>
  <si>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</si>
  <si>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</si>
  <si>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</si>
  <si>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</si>
  <si>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</si>
  <si>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</si>
  <si>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</si>
  <si>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</si>
  <si>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</si>
  <si>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</si>
  <si>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</si>
  <si>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</si>
  <si>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</si>
  <si>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</si>
  <si>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</si>
  <si>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</si>
  <si>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</si>
  <si>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</si>
  <si>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</si>
  <si>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</si>
  <si>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</si>
  <si>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</si>
  <si>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</si>
  <si>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</si>
  <si>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</si>
  <si>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</si>
  <si>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</si>
  <si>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</si>
  <si>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</si>
  <si>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</si>
  <si>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</si>
  <si>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</si>
  <si>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</si>
  <si>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</si>
  <si>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</si>
  <si>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</si>
  <si>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</si>
  <si>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</si>
  <si>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</si>
  <si>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</si>
  <si>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</si>
  <si>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</si>
  <si>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</si>
  <si>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</si>
  <si>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</si>
  <si>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</si>
  <si>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</si>
  <si>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</si>
  <si>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</si>
  <si>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</si>
  <si>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</si>
  <si>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</si>
  <si>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</si>
  <si>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</si>
  <si>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</si>
  <si>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</si>
  <si>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</si>
  <si>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</si>
  <si>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</si>
  <si>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</si>
  <si>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</si>
  <si>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</si>
  <si>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</si>
  <si>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</si>
  <si>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</si>
  <si>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</si>
  <si>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</si>
  <si>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</si>
  <si>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</si>
  <si>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</si>
  <si>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</si>
  <si>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</si>
  <si>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</si>
  <si>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</si>
  <si>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</si>
  <si>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</si>
  <si>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</si>
  <si>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</si>
  <si>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</si>
  <si>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</si>
  <si>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</si>
  <si>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</si>
  <si>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</si>
  <si>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</si>
  <si>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</si>
  <si>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</si>
  <si>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</si>
  <si>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</si>
  <si>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</si>
  <si>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</si>
  <si>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</si>
  <si>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</si>
  <si>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</si>
  <si>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</si>
  <si>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</si>
  <si>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</si>
  <si>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</si>
  <si>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</si>
  <si>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</si>
  <si>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</si>
  <si>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</si>
  <si>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</si>
  <si>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</si>
  <si>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</si>
  <si>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</si>
  <si>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</si>
  <si>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</si>
  <si>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</si>
  <si>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</si>
  <si>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</si>
  <si>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</si>
  <si>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</si>
  <si>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</si>
  <si>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</si>
  <si>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</si>
  <si>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</si>
  <si>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</si>
  <si>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</si>
  <si>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</si>
  <si>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</si>
  <si>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</si>
  <si>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</si>
  <si>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</si>
  <si>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</si>
  <si>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</si>
  <si>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</si>
  <si>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</si>
  <si>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</si>
  <si>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</si>
  <si>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</si>
  <si>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</si>
  <si>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</si>
  <si>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</si>
  <si>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</si>
  <si>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</si>
  <si>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</si>
  <si>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</si>
  <si>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</si>
  <si>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</si>
  <si>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</si>
  <si>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</si>
  <si>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</si>
  <si>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</si>
  <si>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</si>
  <si>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</si>
  <si>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</si>
  <si>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</si>
  <si>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</si>
  <si>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</si>
  <si>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</si>
  <si>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</si>
  <si>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</si>
  <si>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</si>
  <si>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</si>
  <si>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</si>
  <si>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</si>
  <si>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</si>
  <si>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</si>
  <si>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</si>
  <si>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</si>
  <si>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</si>
  <si>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</si>
  <si>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</si>
  <si>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</si>
  <si>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</si>
  <si>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</si>
  <si>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</si>
  <si>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</si>
  <si>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</si>
  <si>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</si>
  <si>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</si>
  <si>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</si>
  <si>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</si>
  <si>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</si>
  <si>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</si>
  <si>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</si>
  <si>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</si>
  <si>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</si>
  <si>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</si>
  <si>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</si>
  <si>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</si>
  <si>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</si>
  <si>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</si>
  <si>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</si>
  <si>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</si>
  <si>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</si>
  <si>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</si>
  <si>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</si>
  <si>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</si>
  <si>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</si>
  <si>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</si>
  <si>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</si>
  <si>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</si>
  <si>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</si>
  <si>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</si>
  <si>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</si>
  <si>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</si>
  <si>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</si>
  <si>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</si>
  <si>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</si>
  <si>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</si>
  <si>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</si>
  <si>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</si>
  <si>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</si>
  <si>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</si>
  <si>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</si>
  <si>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</si>
  <si>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</si>
  <si>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</si>
  <si>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</si>
  <si>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</si>
  <si>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</si>
  <si>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</si>
  <si>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</si>
  <si>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</si>
  <si>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</si>
  <si>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</si>
  <si>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</si>
  <si>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</si>
  <si>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</si>
  <si>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</si>
  <si>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</si>
  <si>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</si>
  <si>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</si>
  <si>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</si>
  <si>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</si>
  <si>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</si>
  <si>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</si>
  <si>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</si>
  <si>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</si>
  <si>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</si>
  <si>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</si>
  <si>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</si>
  <si>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</si>
  <si>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</si>
  <si>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</si>
  <si>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</si>
  <si>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</si>
  <si>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</si>
  <si>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</si>
  <si>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</si>
  <si>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</si>
  <si>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</si>
  <si>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</si>
  <si>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</si>
  <si>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</si>
  <si>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</si>
  <si>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</si>
  <si>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</si>
  <si>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</si>
  <si>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</si>
  <si>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</si>
  <si>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</si>
  <si>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</si>
  <si>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</si>
  <si>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</si>
  <si>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</si>
  <si>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</si>
  <si>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</si>
  <si>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</si>
  <si>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</si>
  <si>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</si>
  <si>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</si>
  <si>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</si>
  <si>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</si>
  <si>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</si>
  <si>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</si>
  <si>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</si>
  <si>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</si>
  <si>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</si>
  <si>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</si>
  <si>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</si>
  <si>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</si>
  <si>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</si>
  <si>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</si>
  <si>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</si>
  <si>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</si>
  <si>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</si>
  <si>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</si>
  <si>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</si>
  <si>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</si>
  <si>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</si>
  <si>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</si>
  <si>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</si>
  <si>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</si>
  <si>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</si>
  <si>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</si>
  <si>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</si>
  <si>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</si>
  <si>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</si>
  <si>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</si>
  <si>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</si>
  <si>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</si>
  <si>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</si>
  <si>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</si>
  <si>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</si>
  <si>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</si>
  <si>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</si>
  <si>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</si>
  <si>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</si>
  <si>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</si>
  <si>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</si>
  <si>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</si>
  <si>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</si>
  <si>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</si>
  <si>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</si>
  <si>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</si>
  <si>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</si>
  <si>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</si>
  <si>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</si>
  <si>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</si>
  <si>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</si>
  <si>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</si>
  <si>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</si>
  <si>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</si>
  <si>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</si>
  <si>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</si>
  <si>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</si>
  <si>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</si>
  <si>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</si>
  <si>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</si>
  <si>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</si>
  <si>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</si>
  <si>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</si>
  <si>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</si>
  <si>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</si>
  <si>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</si>
  <si>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</si>
  <si>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</si>
  <si>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</si>
  <si>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</si>
  <si>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</si>
  <si>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</si>
  <si>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</si>
  <si>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</si>
  <si>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</si>
  <si>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</si>
  <si>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</si>
  <si>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</si>
  <si>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</si>
  <si>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</si>
  <si>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</si>
  <si>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</si>
  <si>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</si>
  <si>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</si>
  <si>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</si>
  <si>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</si>
  <si>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</si>
  <si>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</si>
  <si>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</si>
  <si>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</si>
  <si>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</si>
  <si>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</si>
  <si>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</si>
  <si>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</si>
  <si>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</si>
  <si>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</si>
  <si>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</si>
  <si>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</si>
  <si>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</si>
  <si>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</si>
  <si>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</si>
  <si>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</si>
  <si>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</si>
  <si>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</si>
  <si>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</si>
  <si>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</si>
  <si>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</si>
  <si>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</si>
  <si>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</si>
  <si>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</si>
  <si>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</si>
  <si>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</si>
  <si>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</si>
  <si>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</si>
  <si>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</si>
  <si>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</si>
  <si>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</si>
  <si>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</si>
  <si>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</si>
  <si>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</si>
  <si>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</si>
  <si>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</si>
  <si>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</si>
  <si>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</si>
  <si>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</si>
  <si>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</si>
  <si>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</si>
  <si>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</si>
  <si>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</si>
  <si>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</si>
  <si>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</si>
  <si>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</si>
  <si>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</si>
  <si>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</si>
  <si>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</si>
  <si>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</si>
  <si>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</si>
  <si>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</si>
  <si>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</si>
  <si>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</si>
  <si>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</si>
  <si>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</si>
  <si>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</si>
  <si>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</si>
  <si>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</si>
  <si>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</si>
  <si>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</si>
  <si>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</si>
  <si>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</si>
  <si>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</si>
  <si>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</si>
  <si>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</si>
  <si>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</si>
  <si>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</si>
  <si>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</si>
  <si>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</si>
  <si>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</si>
  <si>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</si>
  <si>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</si>
  <si>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</si>
  <si>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</si>
  <si>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</si>
  <si>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</si>
  <si>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</si>
  <si>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</si>
  <si>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</si>
  <si>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</si>
  <si>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</si>
  <si>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</si>
  <si>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</si>
  <si>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</si>
  <si>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</si>
  <si>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</si>
  <si>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</si>
  <si>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</si>
  <si>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</si>
  <si>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</si>
  <si>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</si>
  <si>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</si>
  <si>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</si>
  <si>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</si>
  <si>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</si>
  <si>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</si>
  <si>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</si>
  <si>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</si>
  <si>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</si>
  <si>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</si>
  <si>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</si>
  <si>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</si>
  <si>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</si>
  <si>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</si>
  <si>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</si>
  <si>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</si>
  <si>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</si>
  <si>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</si>
  <si>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</si>
  <si>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</si>
  <si>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</si>
  <si>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</si>
  <si>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</si>
  <si>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</si>
  <si>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</si>
  <si>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</si>
  <si>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</si>
  <si>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</si>
  <si>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</si>
  <si>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</si>
  <si>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</si>
  <si>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</si>
  <si>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</si>
  <si>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</si>
  <si>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</si>
  <si>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</si>
  <si>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</si>
  <si>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</si>
  <si>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</si>
  <si>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</si>
  <si>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</si>
  <si>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</si>
  <si>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</si>
  <si>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</si>
  <si>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</si>
  <si>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</si>
  <si>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</si>
  <si>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</si>
  <si>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</si>
  <si>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</si>
  <si>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</si>
  <si>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</si>
  <si>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</si>
  <si>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</si>
  <si>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</si>
  <si>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Mt Olivet Cemetery</t>
  </si>
  <si>
    <t>17-1330</t>
  </si>
  <si>
    <t>6:45 p.m.</t>
  </si>
  <si>
    <t>Williamsburg Community Building</t>
  </si>
  <si>
    <t>Operations</t>
  </si>
  <si>
    <t>Mowing</t>
  </si>
  <si>
    <t>Publication</t>
  </si>
  <si>
    <t>August 15, 2012</t>
  </si>
  <si>
    <t>/s/ Roger Shoemaker</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</si>
</sst>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xf numFmtId="178" fontId="37" fillId="14" borderId="1" xfId="0" applyNumberFormat="1" applyFont="1" applyFill="1" applyBorder="1" applyAlignment="1" applyProtection="1">
      <alignment horizontal="center"/>
      <protection locked="0"/>
    </xf>
    <xf numFmtId="0" fontId="51" fillId="12" borderId="0" xfId="0" applyFont="1" applyFill="1" applyAlignment="1">
      <alignment horizontal="center" wrapText="1"/>
    </xf>
    <xf numFmtId="0" fontId="37" fillId="0" borderId="0" xfId="0" applyFont="1" applyAlignment="1">
      <alignment horizontal="center" wrapText="1"/>
    </xf>
    <xf numFmtId="0" fontId="51" fillId="12" borderId="0" xfId="0" applyFont="1" applyFill="1" applyAlignment="1">
      <alignment horizontal="center" vertical="center"/>
    </xf>
    <xf numFmtId="0" fontId="51" fillId="0" borderId="0" xfId="0" applyFont="1" applyAlignment="1">
      <alignment horizontal="center" vertical="center"/>
    </xf>
    <xf numFmtId="0" fontId="51" fillId="12" borderId="0" xfId="0" applyFont="1" applyFill="1" applyAlignment="1">
      <alignment horizontal="center"/>
    </xf>
    <xf numFmtId="0" fontId="37" fillId="12" borderId="0" xfId="0" applyFont="1" applyFill="1" applyAlignment="1">
      <alignment wrapText="1"/>
    </xf>
    <xf numFmtId="178" fontId="37" fillId="12" borderId="0" xfId="0" applyNumberFormat="1" applyFont="1" applyFill="1" applyAlignment="1"/>
    <xf numFmtId="0" fontId="51" fillId="12" borderId="19" xfId="0" applyFont="1" applyFill="1" applyBorder="1" applyAlignment="1">
      <alignment horizontal="center" vertical="center"/>
    </xf>
    <xf numFmtId="0" fontId="37" fillId="0" borderId="0" xfId="0" applyFont="1" applyAlignment="1">
      <alignment wrapText="1"/>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5" fontId="37" fillId="12" borderId="1" xfId="0" applyNumberFormat="1" applyFont="1" applyFill="1" applyBorder="1" applyAlignment="1">
      <alignment horizont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37" fillId="12" borderId="0" xfId="0" applyFont="1" applyFill="1" applyBorder="1" applyAlignment="1">
      <alignment horizontal="center"/>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Mt Olivet Cemetery</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workbookViewId="0">
      <selection activeCell="B1" sqref="B1"/>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Mt Olivet Cemetery</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1226</v>
      </c>
      <c r="D7" s="394">
        <f>C51</f>
        <v>3496</v>
      </c>
      <c r="E7" s="47">
        <f>D51</f>
        <v>2176</v>
      </c>
    </row>
    <row r="8" spans="2:6">
      <c r="B8" s="239" t="s">
        <v>126</v>
      </c>
      <c r="C8" s="240"/>
      <c r="D8" s="240"/>
      <c r="E8" s="121"/>
    </row>
    <row r="9" spans="2:6">
      <c r="B9" s="115" t="s">
        <v>33</v>
      </c>
      <c r="C9" s="387">
        <v>4870</v>
      </c>
      <c r="D9" s="394">
        <f>inputPrYr!E19</f>
        <v>4649</v>
      </c>
      <c r="E9" s="128" t="s">
        <v>28</v>
      </c>
    </row>
    <row r="10" spans="2:6">
      <c r="B10" s="115" t="s">
        <v>34</v>
      </c>
      <c r="C10" s="387"/>
      <c r="D10" s="387"/>
      <c r="E10" s="202"/>
    </row>
    <row r="11" spans="2:6">
      <c r="B11" s="115" t="s">
        <v>35</v>
      </c>
      <c r="C11" s="387"/>
      <c r="D11" s="387">
        <v>429</v>
      </c>
      <c r="E11" s="47">
        <f>mvalloc!D11</f>
        <v>503</v>
      </c>
    </row>
    <row r="12" spans="2:6">
      <c r="B12" s="115" t="s">
        <v>36</v>
      </c>
      <c r="C12" s="387"/>
      <c r="D12" s="387">
        <v>8</v>
      </c>
      <c r="E12" s="47">
        <f>mvalloc!E11</f>
        <v>5</v>
      </c>
    </row>
    <row r="13" spans="2:6">
      <c r="B13" s="240" t="s">
        <v>108</v>
      </c>
      <c r="C13" s="387"/>
      <c r="D13" s="387">
        <v>54</v>
      </c>
      <c r="E13" s="47">
        <f>mvalloc!F11</f>
        <v>74</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c r="C17" s="387"/>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4870</v>
      </c>
      <c r="D28" s="389">
        <f>SUM(D9:D26)</f>
        <v>5140</v>
      </c>
      <c r="E28" s="247">
        <f>SUM(E9:E26)</f>
        <v>582</v>
      </c>
    </row>
    <row r="29" spans="2:5">
      <c r="B29" s="246" t="s">
        <v>40</v>
      </c>
      <c r="C29" s="389">
        <f>C7+C28</f>
        <v>6096</v>
      </c>
      <c r="D29" s="389">
        <f>D7+D28</f>
        <v>8636</v>
      </c>
      <c r="E29" s="247">
        <f>E7+E28</f>
        <v>2758</v>
      </c>
    </row>
    <row r="30" spans="2:5">
      <c r="B30" s="115" t="s">
        <v>41</v>
      </c>
      <c r="C30" s="119"/>
      <c r="D30" s="119"/>
      <c r="E30" s="38"/>
    </row>
    <row r="31" spans="2:5">
      <c r="B31" s="241" t="s">
        <v>738</v>
      </c>
      <c r="C31" s="387">
        <v>123</v>
      </c>
      <c r="D31" s="387">
        <v>2300</v>
      </c>
      <c r="E31" s="202">
        <v>1293</v>
      </c>
    </row>
    <row r="32" spans="2:5">
      <c r="B32" s="241" t="s">
        <v>739</v>
      </c>
      <c r="C32" s="387">
        <v>2355</v>
      </c>
      <c r="D32" s="387">
        <v>4000</v>
      </c>
      <c r="E32" s="202">
        <v>6000</v>
      </c>
    </row>
    <row r="33" spans="2:10">
      <c r="B33" s="241" t="s">
        <v>740</v>
      </c>
      <c r="C33" s="387">
        <v>122</v>
      </c>
      <c r="D33" s="387">
        <v>160</v>
      </c>
      <c r="E33" s="202">
        <v>160</v>
      </c>
    </row>
    <row r="34" spans="2:10">
      <c r="B34" s="241"/>
      <c r="C34" s="387"/>
      <c r="D34" s="387"/>
      <c r="E34" s="202"/>
    </row>
    <row r="35" spans="2:10">
      <c r="B35" s="241"/>
      <c r="C35" s="387"/>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2176</v>
      </c>
      <c r="H45" s="541" t="str">
        <f>CONCATENATE("",F3-1," Ending Cash Balance (est.)")</f>
        <v>2012 Ending Cash Balance (est.)</v>
      </c>
      <c r="I45" s="533"/>
      <c r="J45" s="534"/>
    </row>
    <row r="46" spans="2:10">
      <c r="B46" s="241"/>
      <c r="C46" s="387"/>
      <c r="D46" s="387"/>
      <c r="E46" s="202"/>
      <c r="G46" s="542">
        <f>E28</f>
        <v>582</v>
      </c>
      <c r="H46" s="533" t="str">
        <f>CONCATENATE("",F3," Non-AV Receipts (est.)")</f>
        <v>2013 Non-AV Receipts (est.)</v>
      </c>
      <c r="I46" s="533"/>
      <c r="J46" s="534"/>
    </row>
    <row r="47" spans="2:10">
      <c r="B47" s="119" t="s">
        <v>218</v>
      </c>
      <c r="C47" s="387"/>
      <c r="D47" s="387"/>
      <c r="E47" s="207" t="str">
        <f>Nhood!E7</f>
        <v/>
      </c>
      <c r="G47" s="532">
        <f>E57</f>
        <v>4695</v>
      </c>
      <c r="H47" s="533" t="str">
        <f>CONCATENATE("",F3," Ad Valorem Tax (est.)")</f>
        <v>2013 Ad Valorem Tax (est.)</v>
      </c>
      <c r="I47" s="533"/>
      <c r="J47" s="534"/>
    </row>
    <row r="48" spans="2:10">
      <c r="B48" s="119" t="s">
        <v>217</v>
      </c>
      <c r="C48" s="387"/>
      <c r="D48" s="387"/>
      <c r="E48" s="37"/>
      <c r="G48" s="542">
        <f>SUM(G45:G47)</f>
        <v>7453</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2600</v>
      </c>
      <c r="D50" s="389">
        <f>SUM(D31:D48)</f>
        <v>6460</v>
      </c>
      <c r="E50" s="247">
        <f>SUM(E31:E48)</f>
        <v>7453</v>
      </c>
      <c r="G50" s="532">
        <f>C50*0.05+C50</f>
        <v>2730</v>
      </c>
      <c r="H50" s="533" t="str">
        <f>CONCATENATE("Less ",F3-2," Expenditures + 5%")</f>
        <v>Less 2011 Expenditures + 5%</v>
      </c>
      <c r="I50" s="533"/>
      <c r="J50" s="534"/>
    </row>
    <row r="51" spans="2:10">
      <c r="B51" s="115" t="s">
        <v>125</v>
      </c>
      <c r="C51" s="390">
        <f>C29-C50</f>
        <v>3496</v>
      </c>
      <c r="D51" s="390">
        <f>D29-D50</f>
        <v>2176</v>
      </c>
      <c r="E51" s="128" t="s">
        <v>28</v>
      </c>
      <c r="G51" s="530">
        <f>G48-G50</f>
        <v>4723</v>
      </c>
      <c r="H51" s="529" t="str">
        <f>CONCATENATE("Projected ",F3+1," Carryover (est.)")</f>
        <v>Projected 2014 Carryover (est.)</v>
      </c>
      <c r="I51" s="515"/>
      <c r="J51" s="528"/>
    </row>
    <row r="52" spans="2:10">
      <c r="B52" s="138" t="str">
        <f>CONCATENATE("",F3-2,"/",F3-1," Budget Authority Amount:")</f>
        <v>2011/2012 Budget Authority Amount:</v>
      </c>
      <c r="C52" s="116">
        <f>inputOth!B42</f>
        <v>4101</v>
      </c>
      <c r="D52" s="415">
        <f>inputPrYr!D19</f>
        <v>6546</v>
      </c>
      <c r="E52" s="128" t="s">
        <v>28</v>
      </c>
      <c r="F52" s="248"/>
      <c r="G52" s="16"/>
      <c r="H52" s="16"/>
      <c r="I52" s="16"/>
      <c r="J52" s="16"/>
    </row>
    <row r="53" spans="2:10">
      <c r="B53" s="138"/>
      <c r="C53" s="616" t="s">
        <v>673</v>
      </c>
      <c r="D53" s="617"/>
      <c r="E53" s="37"/>
      <c r="F53" s="248" t="str">
        <f>IF(E50/0.95-E50&lt;E53,"Exceeds 5%","")</f>
        <v/>
      </c>
      <c r="G53" s="527">
        <f>IF(inputOth!E7=0,"",ROUND(gen!E57/inputOth!E7*1000,3))</f>
        <v>2.6459999999999999</v>
      </c>
      <c r="H53" s="526" t="str">
        <f>CONCATENATE("Projected ",F3-1," Mill Rate (est.)")</f>
        <v>Projected 2012 Mill Rate (est.)</v>
      </c>
      <c r="I53" s="525"/>
      <c r="J53" s="524"/>
    </row>
    <row r="54" spans="2:10">
      <c r="B54" s="413" t="str">
        <f>CONCATENATE(C70,"     ",D70)</f>
        <v xml:space="preserve">     </v>
      </c>
      <c r="C54" s="618" t="s">
        <v>674</v>
      </c>
      <c r="D54" s="619"/>
      <c r="E54" s="47">
        <f>E50+E53</f>
        <v>7453</v>
      </c>
      <c r="G54" s="523"/>
      <c r="H54" s="523"/>
      <c r="I54" s="523"/>
      <c r="J54" s="523"/>
    </row>
    <row r="55" spans="2:10">
      <c r="B55" s="413" t="str">
        <f>CONCATENATE(C71,"     ",D71)</f>
        <v xml:space="preserve">     </v>
      </c>
      <c r="C55" s="547"/>
      <c r="D55" s="546" t="s">
        <v>675</v>
      </c>
      <c r="E55" s="44">
        <f>IF(E54-E29&gt;0,E54-E29,0)</f>
        <v>4695</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4695</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Mt Olivet Cemetery</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Mt Olivet Cemetery</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Mt Olivet Cemetery</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Mt Olivet Cemetery</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workbookViewId="0">
      <selection activeCell="B23" sqref="B23"/>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Mt Olivet Cemetery</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15, 2012 at 6:45 p.m. at Williamsburg Community Building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1774</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2600</v>
      </c>
      <c r="C16" s="118">
        <f>IF(inputPrYr!D38&gt;0,inputPrYr!D38,"  ")</f>
        <v>2.282</v>
      </c>
      <c r="D16" s="121">
        <f>IF(gen!$D$50&lt;&gt;0,gen!$D$50,"  ")</f>
        <v>6460</v>
      </c>
      <c r="E16" s="118">
        <f>IF(inputOth!D16&gt;0,inputOth!D16,"  ")</f>
        <v>2.71</v>
      </c>
      <c r="F16" s="121">
        <f>IF(gen!$E$50&lt;&gt;0,gen!$E$50,"  ")</f>
        <v>7453</v>
      </c>
      <c r="G16" s="121">
        <f>IF(gen!$E$57&lt;&gt;0,gen!$E$57,"  ")</f>
        <v>4695</v>
      </c>
      <c r="H16" s="118">
        <f>IF(gen!E57&gt;0,ROUND(G16/$F$21*1000,3)," ")</f>
        <v>2.6459999999999999</v>
      </c>
      <c r="J16" s="629" t="str">
        <f>CONCATENATE("Want The Mill Rate The Same As For ",I3-1,"?")</f>
        <v>Want The Mill Rate The Same As For 2012?</v>
      </c>
      <c r="K16" s="632"/>
      <c r="L16" s="632"/>
      <c r="M16" s="633"/>
    </row>
    <row r="17" spans="1:13">
      <c r="A17" s="35" t="s">
        <v>133</v>
      </c>
      <c r="B17" s="314">
        <f t="shared" ref="B17:H17" si="0">SUM(B16:B16)</f>
        <v>2600</v>
      </c>
      <c r="C17" s="537">
        <f t="shared" si="0"/>
        <v>2.282</v>
      </c>
      <c r="D17" s="314">
        <f t="shared" si="0"/>
        <v>6460</v>
      </c>
      <c r="E17" s="537">
        <f t="shared" si="0"/>
        <v>2.71</v>
      </c>
      <c r="F17" s="314">
        <f t="shared" si="0"/>
        <v>7453</v>
      </c>
      <c r="G17" s="314">
        <f t="shared" si="0"/>
        <v>4695</v>
      </c>
      <c r="H17" s="537">
        <f t="shared" si="0"/>
        <v>2.6459999999999999</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2600</v>
      </c>
      <c r="C19" s="313"/>
      <c r="D19" s="129">
        <f>SUM(D17-D18)</f>
        <v>6460</v>
      </c>
      <c r="E19" s="313"/>
      <c r="F19" s="536">
        <f>SUM(F17-F18)</f>
        <v>7453</v>
      </c>
      <c r="G19" s="253"/>
      <c r="H19" s="312"/>
      <c r="J19" s="561" t="str">
        <f>CONCATENATE("",I3," Ad Valorem Tax Revenue:")</f>
        <v>2013 Ad Valorem Tax Revenue:</v>
      </c>
      <c r="K19" s="556"/>
      <c r="L19" s="556"/>
      <c r="M19" s="557">
        <f>G17</f>
        <v>4695</v>
      </c>
    </row>
    <row r="20" spans="1:13" ht="16.5" thickTop="1">
      <c r="A20" s="35" t="s">
        <v>54</v>
      </c>
      <c r="B20" s="314">
        <f>inputPrYr!E44</f>
        <v>3786</v>
      </c>
      <c r="C20" s="223"/>
      <c r="D20" s="314">
        <f>inputPrYr!E24</f>
        <v>4649</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1659681</v>
      </c>
      <c r="C21" s="223"/>
      <c r="D21" s="207">
        <f>inputOth!E24</f>
        <v>1715641</v>
      </c>
      <c r="E21" s="223"/>
      <c r="F21" s="207">
        <f>inputOth!E7</f>
        <v>1774379</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742</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5"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Mt Olivet Cemetery</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1774379</v>
      </c>
      <c r="E16" s="18"/>
      <c r="F16" s="54"/>
    </row>
    <row r="17" spans="1:6" ht="15.75">
      <c r="A17" s="18"/>
      <c r="B17" s="18"/>
      <c r="C17" s="18"/>
      <c r="D17" s="18"/>
      <c r="E17" s="18"/>
      <c r="F17" s="54"/>
    </row>
    <row r="18" spans="1:6" ht="15.75">
      <c r="A18" s="18"/>
      <c r="B18" s="644" t="s">
        <v>318</v>
      </c>
      <c r="C18" s="644"/>
      <c r="D18" s="325">
        <f>IF(D16&gt;0,(D16*0.001),"")</f>
        <v>1774.3790000000001</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6546</v>
      </c>
      <c r="E19" s="37">
        <v>4649</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4649</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6546</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2.282</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2.282</v>
      </c>
      <c r="E42" s="39"/>
    </row>
    <row r="43" spans="1:5" ht="16.5" thickTop="1">
      <c r="A43" s="18"/>
      <c r="B43" s="18"/>
      <c r="C43" s="18"/>
      <c r="D43" s="18"/>
      <c r="E43" s="39"/>
    </row>
    <row r="44" spans="1:5">
      <c r="A44" s="51" t="str">
        <f>CONCATENATE("Total Tax Levied (",D6-2," budget column)")</f>
        <v>Total Tax Levied (2011 budget column)</v>
      </c>
      <c r="B44" s="29"/>
      <c r="C44" s="18"/>
      <c r="D44" s="18"/>
      <c r="E44" s="52">
        <v>3786</v>
      </c>
    </row>
    <row r="45" spans="1:5">
      <c r="A45" s="51" t="str">
        <f>CONCATENATE("Assessed Valuation (",D6-2," budget column)")</f>
        <v>Assessed Valuation (2011 budget column)</v>
      </c>
      <c r="B45" s="29"/>
      <c r="C45" s="18"/>
      <c r="D45" s="18"/>
      <c r="E45" s="53">
        <v>1659681</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53" t="s">
        <v>138</v>
      </c>
      <c r="C1" s="653"/>
      <c r="D1" s="653"/>
      <c r="E1" s="653"/>
      <c r="F1" s="653"/>
      <c r="G1" s="653"/>
      <c r="H1" s="653"/>
    </row>
    <row r="2" spans="2:10">
      <c r="B2" s="6"/>
      <c r="C2"/>
      <c r="D2"/>
      <c r="E2"/>
      <c r="F2"/>
      <c r="G2"/>
      <c r="H2"/>
    </row>
    <row r="3" spans="2:10">
      <c r="B3" s="654" t="s">
        <v>135</v>
      </c>
      <c r="C3" s="654"/>
      <c r="D3" s="654"/>
      <c r="E3" s="654"/>
      <c r="F3" s="654"/>
      <c r="G3" s="654"/>
      <c r="H3" s="654"/>
    </row>
    <row r="4" spans="2:10">
      <c r="B4" s="7"/>
      <c r="C4"/>
      <c r="D4"/>
      <c r="E4"/>
      <c r="F4"/>
      <c r="G4"/>
      <c r="H4"/>
    </row>
    <row r="5" spans="2:10">
      <c r="B5" s="646" t="str">
        <f>CONCATENATE("A resolution expressing the property taxation policy of the Board of ",(inputPrYr!D3)," District with respect to financing the ",inputPrYr!D6," annual budget for ", (inputPrYr!D3)," , ",(inputPrYr!D4)," , Kansas.")</f>
        <v>A resolution expressing the property taxation policy of the Board of Mt Olivet Cemetery District with respect to financing the 2013 annual budget for Mt Olivet Cemetery , Franklin County , Kansas.</v>
      </c>
      <c r="C5" s="647"/>
      <c r="D5" s="647"/>
      <c r="E5" s="647"/>
      <c r="F5" s="647"/>
      <c r="G5" s="647"/>
      <c r="H5" s="647"/>
    </row>
    <row r="6" spans="2:10">
      <c r="B6" s="647"/>
      <c r="C6" s="647"/>
      <c r="D6" s="647"/>
      <c r="E6" s="647"/>
      <c r="F6" s="647"/>
      <c r="G6" s="647"/>
      <c r="H6" s="647"/>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Mt Olivet Cemetery district budget exceed the amount levied to finance the</v>
      </c>
      <c r="C9"/>
      <c r="D9"/>
      <c r="E9"/>
      <c r="F9"/>
      <c r="G9"/>
      <c r="H9"/>
    </row>
    <row r="10" spans="2:10">
      <c r="B10" s="12" t="str">
        <f>CONCATENATE("",inputPrYr!D6-1," ",inputPrYr!D3," except with regard to revenue produced and attributable to the")</f>
        <v>2012 Mt Olivet Cemetery except with regard to revenue produced and attributable to the</v>
      </c>
      <c r="C10"/>
      <c r="D10"/>
      <c r="E10"/>
      <c r="F10"/>
      <c r="G10"/>
      <c r="H10"/>
    </row>
    <row r="11" spans="2:10">
      <c r="B11" s="650" t="s">
        <v>171</v>
      </c>
      <c r="C11" s="655"/>
      <c r="D11" s="655"/>
      <c r="E11" s="655"/>
      <c r="F11" s="655"/>
      <c r="G11" s="655"/>
      <c r="H11" s="655"/>
    </row>
    <row r="12" spans="2:10">
      <c r="B12" s="655"/>
      <c r="C12" s="655"/>
      <c r="D12" s="655"/>
      <c r="E12" s="655"/>
      <c r="F12" s="655"/>
      <c r="G12" s="655"/>
      <c r="H12" s="655"/>
    </row>
    <row r="13" spans="2:10">
      <c r="B13" s="655"/>
      <c r="C13" s="655"/>
      <c r="D13" s="655"/>
      <c r="E13" s="655"/>
      <c r="F13" s="655"/>
      <c r="G13" s="655"/>
      <c r="H13" s="655"/>
    </row>
    <row r="14" spans="2:10">
      <c r="B14" s="655"/>
      <c r="C14" s="655"/>
      <c r="D14" s="655"/>
      <c r="E14" s="655"/>
      <c r="F14" s="655"/>
      <c r="G14" s="655"/>
      <c r="H14" s="655"/>
    </row>
    <row r="15" spans="2:10">
      <c r="B15" s="1"/>
      <c r="C15" s="1"/>
      <c r="D15" s="1"/>
      <c r="E15" s="1"/>
      <c r="F15" s="1"/>
      <c r="G15" s="1"/>
      <c r="H15" s="1"/>
    </row>
    <row r="16" spans="2:10">
      <c r="B16" s="648" t="s">
        <v>147</v>
      </c>
      <c r="C16" s="649"/>
      <c r="D16" s="649"/>
      <c r="E16" s="649"/>
      <c r="F16" s="649"/>
      <c r="G16" s="649"/>
      <c r="H16" s="649"/>
    </row>
    <row r="17" spans="2:8">
      <c r="B17" s="649"/>
      <c r="C17" s="649"/>
      <c r="D17" s="649"/>
      <c r="E17" s="649"/>
      <c r="F17" s="649"/>
      <c r="G17" s="649"/>
      <c r="H17" s="649"/>
    </row>
    <row r="18" spans="2:8">
      <c r="B18" s="12"/>
      <c r="C18"/>
      <c r="D18"/>
      <c r="E18"/>
      <c r="F18"/>
      <c r="G18"/>
      <c r="H18"/>
    </row>
    <row r="19" spans="2:8">
      <c r="B19" s="12" t="str">
        <f>CONCATENATE("Whereas, ",(inputPrYr!D3)," provides essential services to district residents; and")</f>
        <v>Whereas, Mt Olivet Cemetery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50"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Mt Olivet Cemetery that is our desire to notify the public of the possibility of increased property taxes to finance the 2013 Mt Olivet Cemetery  budget as defined above.</v>
      </c>
      <c r="C23" s="651"/>
      <c r="D23" s="651"/>
      <c r="E23" s="651"/>
      <c r="F23" s="651"/>
      <c r="G23" s="651"/>
      <c r="H23" s="651"/>
    </row>
    <row r="24" spans="2:8">
      <c r="B24" s="651"/>
      <c r="C24" s="651"/>
      <c r="D24" s="651"/>
      <c r="E24" s="651"/>
      <c r="F24" s="651"/>
      <c r="G24" s="651"/>
      <c r="H24" s="651"/>
    </row>
    <row r="25" spans="2:8">
      <c r="B25" s="651"/>
      <c r="C25" s="651"/>
      <c r="D25" s="651"/>
      <c r="E25" s="651"/>
      <c r="F25" s="651"/>
      <c r="G25" s="651"/>
      <c r="H25" s="651"/>
    </row>
    <row r="26" spans="2:8">
      <c r="B26" s="12"/>
      <c r="C26"/>
      <c r="D26"/>
      <c r="E26"/>
      <c r="F26"/>
      <c r="G26"/>
      <c r="H26"/>
    </row>
    <row r="27" spans="2:8">
      <c r="B27" s="648" t="str">
        <f>CONCATENATE("Adopted this _________ day of ___________, ",inputPrYr!D6-1," by the ",(inputPrYr!D3)," District Board, ",(inputPrYr!D4),", Kansas.")</f>
        <v>Adopted this _________ day of ___________, 2012 by the Mt Olivet Cemetery District Board, Franklin County, Kansas.</v>
      </c>
      <c r="C27" s="647"/>
      <c r="D27" s="647"/>
      <c r="E27" s="647"/>
      <c r="F27" s="647"/>
      <c r="G27" s="647"/>
      <c r="H27" s="647"/>
    </row>
    <row r="28" spans="2:8">
      <c r="B28" s="647"/>
      <c r="C28" s="647"/>
      <c r="D28" s="647"/>
      <c r="E28" s="647"/>
      <c r="F28" s="647"/>
      <c r="G28" s="647"/>
      <c r="H28" s="647"/>
    </row>
    <row r="29" spans="2:8">
      <c r="B29" s="8"/>
      <c r="C29"/>
      <c r="D29"/>
      <c r="E29"/>
      <c r="F29"/>
      <c r="G29"/>
      <c r="H29"/>
    </row>
    <row r="30" spans="2:8">
      <c r="B30" s="8"/>
      <c r="C30"/>
      <c r="D30"/>
      <c r="E30"/>
      <c r="F30"/>
      <c r="G30"/>
      <c r="H30"/>
    </row>
    <row r="31" spans="2:8">
      <c r="B31" s="9" t="str">
        <f>CONCATENATE(" ",(inputPrYr!D3)," District Board")</f>
        <v xml:space="preserve"> Mt Olivet Cemetery District Board</v>
      </c>
      <c r="C31"/>
      <c r="D31"/>
      <c r="E31"/>
      <c r="F31"/>
      <c r="G31"/>
      <c r="H31"/>
    </row>
    <row r="32" spans="2:8">
      <c r="B32" s="8"/>
      <c r="C32"/>
      <c r="D32"/>
      <c r="E32"/>
      <c r="F32"/>
      <c r="G32"/>
      <c r="H32"/>
    </row>
    <row r="33" spans="2:8">
      <c r="B33"/>
      <c r="C33"/>
      <c r="D33"/>
      <c r="E33" s="652" t="s">
        <v>136</v>
      </c>
      <c r="F33" s="652"/>
      <c r="G33" s="652"/>
      <c r="H33" s="652"/>
    </row>
    <row r="34" spans="2:8">
      <c r="B34"/>
      <c r="C34"/>
      <c r="D34"/>
      <c r="E34" s="652" t="s">
        <v>139</v>
      </c>
      <c r="F34" s="652"/>
      <c r="G34" s="652"/>
      <c r="H34" s="652"/>
    </row>
    <row r="35" spans="2:8">
      <c r="B35" s="8"/>
      <c r="C35"/>
      <c r="D35"/>
      <c r="E35" s="652"/>
      <c r="F35" s="652"/>
      <c r="G35" s="652"/>
      <c r="H35" s="652"/>
    </row>
    <row r="36" spans="2:8">
      <c r="B36"/>
      <c r="C36"/>
      <c r="D36"/>
      <c r="E36" s="652" t="s">
        <v>136</v>
      </c>
      <c r="F36" s="652"/>
      <c r="G36" s="652"/>
      <c r="H36" s="652"/>
    </row>
    <row r="37" spans="2:8">
      <c r="B37"/>
      <c r="C37"/>
      <c r="D37"/>
      <c r="E37" s="652" t="s">
        <v>140</v>
      </c>
      <c r="F37" s="652"/>
      <c r="G37" s="652"/>
      <c r="H37" s="652"/>
    </row>
    <row r="38" spans="2:8">
      <c r="B38" s="8"/>
      <c r="C38"/>
      <c r="D38"/>
      <c r="E38" s="652"/>
      <c r="F38" s="652"/>
      <c r="G38" s="652"/>
      <c r="H38" s="652"/>
    </row>
    <row r="39" spans="2:8">
      <c r="B39"/>
      <c r="C39"/>
      <c r="D39"/>
      <c r="E39" s="652" t="s">
        <v>136</v>
      </c>
      <c r="F39" s="652"/>
      <c r="G39" s="652"/>
      <c r="H39" s="652"/>
    </row>
    <row r="40" spans="2:8">
      <c r="B40"/>
      <c r="C40"/>
      <c r="D40"/>
      <c r="E40" s="652" t="s">
        <v>141</v>
      </c>
      <c r="F40" s="652"/>
      <c r="G40" s="652"/>
      <c r="H40" s="652"/>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45"/>
      <c r="F46" s="645"/>
      <c r="G46" s="645"/>
      <c r="H46" s="645"/>
    </row>
    <row r="47" spans="2:8">
      <c r="B47" s="3"/>
      <c r="E47" s="645"/>
      <c r="F47" s="645"/>
      <c r="G47" s="645"/>
      <c r="H47" s="645"/>
    </row>
    <row r="48" spans="2:8">
      <c r="E48" s="645"/>
      <c r="F48" s="645"/>
      <c r="G48" s="645"/>
      <c r="H48" s="645"/>
    </row>
    <row r="49" spans="2:8">
      <c r="E49" s="645"/>
      <c r="F49" s="645"/>
      <c r="G49" s="645"/>
      <c r="H49" s="645"/>
    </row>
    <row r="50" spans="2:8">
      <c r="B50" s="3"/>
      <c r="E50" s="645"/>
      <c r="F50" s="645"/>
      <c r="G50" s="645"/>
      <c r="H50" s="645"/>
    </row>
    <row r="51" spans="2:8">
      <c r="B51" s="5"/>
    </row>
    <row r="52" spans="2:8">
      <c r="B52" s="5"/>
    </row>
    <row r="53" spans="2:8">
      <c r="B53" s="5"/>
    </row>
  </sheetData>
  <mergeCells count="20">
    <mergeCell ref="B1:H1"/>
    <mergeCell ref="B3:H3"/>
    <mergeCell ref="B11:H14"/>
    <mergeCell ref="E39:H39"/>
    <mergeCell ref="E33:H33"/>
    <mergeCell ref="E34:H34"/>
    <mergeCell ref="E35:H35"/>
    <mergeCell ref="E36:H36"/>
    <mergeCell ref="E37:H37"/>
    <mergeCell ref="E38:H38"/>
    <mergeCell ref="E47:H47"/>
    <mergeCell ref="B5:H6"/>
    <mergeCell ref="E50:H50"/>
    <mergeCell ref="E46:H46"/>
    <mergeCell ref="E48:H48"/>
    <mergeCell ref="E49:H49"/>
    <mergeCell ref="B16:H17"/>
    <mergeCell ref="B23:H25"/>
    <mergeCell ref="B27:H28"/>
    <mergeCell ref="E40:H40"/>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7" t="s">
        <v>575</v>
      </c>
      <c r="C6" s="658"/>
      <c r="D6" s="658"/>
      <c r="E6" s="658"/>
      <c r="F6" s="658"/>
      <c r="G6" s="658"/>
      <c r="H6" s="658"/>
      <c r="I6" s="658"/>
      <c r="J6" s="658"/>
      <c r="K6" s="658"/>
      <c r="L6" s="430"/>
    </row>
    <row r="7" spans="1:12" ht="40.5" customHeight="1">
      <c r="A7" s="427"/>
      <c r="B7" s="659" t="s">
        <v>576</v>
      </c>
      <c r="C7" s="660"/>
      <c r="D7" s="660"/>
      <c r="E7" s="660"/>
      <c r="F7" s="660"/>
      <c r="G7" s="660"/>
      <c r="H7" s="660"/>
      <c r="I7" s="660"/>
      <c r="J7" s="660"/>
      <c r="K7" s="660"/>
      <c r="L7" s="427"/>
    </row>
    <row r="8" spans="1:12">
      <c r="A8" s="427"/>
      <c r="B8" s="661" t="s">
        <v>577</v>
      </c>
      <c r="C8" s="661"/>
      <c r="D8" s="661"/>
      <c r="E8" s="661"/>
      <c r="F8" s="661"/>
      <c r="G8" s="661"/>
      <c r="H8" s="661"/>
      <c r="I8" s="661"/>
      <c r="J8" s="661"/>
      <c r="K8" s="661"/>
      <c r="L8" s="427"/>
    </row>
    <row r="9" spans="1:12">
      <c r="A9" s="427"/>
      <c r="L9" s="427"/>
    </row>
    <row r="10" spans="1:12">
      <c r="A10" s="427"/>
      <c r="B10" s="661" t="s">
        <v>578</v>
      </c>
      <c r="C10" s="661"/>
      <c r="D10" s="661"/>
      <c r="E10" s="661"/>
      <c r="F10" s="661"/>
      <c r="G10" s="661"/>
      <c r="H10" s="661"/>
      <c r="I10" s="661"/>
      <c r="J10" s="661"/>
      <c r="K10" s="661"/>
      <c r="L10" s="427"/>
    </row>
    <row r="11" spans="1:12">
      <c r="A11" s="427"/>
      <c r="B11" s="431"/>
      <c r="C11" s="431"/>
      <c r="D11" s="431"/>
      <c r="E11" s="431"/>
      <c r="F11" s="431"/>
      <c r="G11" s="431"/>
      <c r="H11" s="431"/>
      <c r="I11" s="431"/>
      <c r="J11" s="431"/>
      <c r="K11" s="431"/>
      <c r="L11" s="427"/>
    </row>
    <row r="12" spans="1:12" ht="32.25" customHeight="1">
      <c r="A12" s="427"/>
      <c r="B12" s="662" t="s">
        <v>579</v>
      </c>
      <c r="C12" s="662"/>
      <c r="D12" s="662"/>
      <c r="E12" s="662"/>
      <c r="F12" s="662"/>
      <c r="G12" s="662"/>
      <c r="H12" s="662"/>
      <c r="I12" s="662"/>
      <c r="J12" s="662"/>
      <c r="K12" s="662"/>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56">
        <v>133685008</v>
      </c>
      <c r="G23" s="656"/>
      <c r="L23" s="427"/>
    </row>
    <row r="24" spans="1:12">
      <c r="A24" s="427"/>
      <c r="L24" s="427"/>
    </row>
    <row r="25" spans="1:12">
      <c r="A25" s="427"/>
      <c r="C25" s="663">
        <f>F23</f>
        <v>133685008</v>
      </c>
      <c r="D25" s="663"/>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64" t="s">
        <v>576</v>
      </c>
      <c r="C30" s="664"/>
      <c r="D30" s="664"/>
      <c r="E30" s="664"/>
      <c r="F30" s="664"/>
      <c r="G30" s="664"/>
      <c r="H30" s="664"/>
      <c r="I30" s="664"/>
      <c r="J30" s="664"/>
      <c r="K30" s="664"/>
      <c r="L30" s="427"/>
    </row>
    <row r="31" spans="1:12">
      <c r="A31" s="427"/>
      <c r="B31" s="661" t="s">
        <v>590</v>
      </c>
      <c r="C31" s="661"/>
      <c r="D31" s="661"/>
      <c r="E31" s="661"/>
      <c r="F31" s="661"/>
      <c r="G31" s="661"/>
      <c r="H31" s="661"/>
      <c r="I31" s="661"/>
      <c r="J31" s="661"/>
      <c r="K31" s="661"/>
      <c r="L31" s="427"/>
    </row>
    <row r="32" spans="1:12">
      <c r="A32" s="427"/>
      <c r="L32" s="427"/>
    </row>
    <row r="33" spans="1:12">
      <c r="A33" s="427"/>
      <c r="B33" s="661" t="s">
        <v>591</v>
      </c>
      <c r="C33" s="661"/>
      <c r="D33" s="661"/>
      <c r="E33" s="661"/>
      <c r="F33" s="661"/>
      <c r="G33" s="661"/>
      <c r="H33" s="661"/>
      <c r="I33" s="661"/>
      <c r="J33" s="661"/>
      <c r="K33" s="661"/>
      <c r="L33" s="427"/>
    </row>
    <row r="34" spans="1:12">
      <c r="A34" s="427"/>
      <c r="L34" s="427"/>
    </row>
    <row r="35" spans="1:12" ht="89.25" customHeight="1">
      <c r="A35" s="427"/>
      <c r="B35" s="662" t="s">
        <v>592</v>
      </c>
      <c r="C35" s="665"/>
      <c r="D35" s="665"/>
      <c r="E35" s="665"/>
      <c r="F35" s="665"/>
      <c r="G35" s="665"/>
      <c r="H35" s="665"/>
      <c r="I35" s="665"/>
      <c r="J35" s="665"/>
      <c r="K35" s="665"/>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66">
        <v>3120000</v>
      </c>
      <c r="D41" s="666"/>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56">
        <v>133685008</v>
      </c>
      <c r="C48" s="656"/>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67" t="s">
        <v>600</v>
      </c>
      <c r="H50" s="668"/>
      <c r="I50" s="440" t="s">
        <v>586</v>
      </c>
      <c r="J50" s="450">
        <f>B50/F50</f>
        <v>52.869002334203401</v>
      </c>
      <c r="K50" s="442"/>
      <c r="L50" s="427"/>
    </row>
    <row r="51" spans="1:24" ht="15" thickBot="1">
      <c r="A51" s="427"/>
      <c r="B51" s="443"/>
      <c r="C51" s="444"/>
      <c r="D51" s="444"/>
      <c r="E51" s="444"/>
      <c r="F51" s="444"/>
      <c r="G51" s="444"/>
      <c r="H51" s="444"/>
      <c r="I51" s="669" t="s">
        <v>601</v>
      </c>
      <c r="J51" s="669"/>
      <c r="K51" s="670"/>
      <c r="L51" s="427"/>
      <c r="O51" s="451"/>
    </row>
    <row r="52" spans="1:24" ht="40.5" customHeight="1">
      <c r="A52" s="427"/>
      <c r="B52" s="664" t="s">
        <v>576</v>
      </c>
      <c r="C52" s="664"/>
      <c r="D52" s="664"/>
      <c r="E52" s="664"/>
      <c r="F52" s="664"/>
      <c r="G52" s="664"/>
      <c r="H52" s="664"/>
      <c r="I52" s="664"/>
      <c r="J52" s="664"/>
      <c r="K52" s="664"/>
      <c r="L52" s="427"/>
    </row>
    <row r="53" spans="1:24">
      <c r="A53" s="427"/>
      <c r="B53" s="661" t="s">
        <v>602</v>
      </c>
      <c r="C53" s="661"/>
      <c r="D53" s="661"/>
      <c r="E53" s="661"/>
      <c r="F53" s="661"/>
      <c r="G53" s="661"/>
      <c r="H53" s="661"/>
      <c r="I53" s="661"/>
      <c r="J53" s="661"/>
      <c r="K53" s="661"/>
      <c r="L53" s="427"/>
    </row>
    <row r="54" spans="1:24">
      <c r="A54" s="427"/>
      <c r="B54" s="431"/>
      <c r="C54" s="431"/>
      <c r="D54" s="431"/>
      <c r="E54" s="431"/>
      <c r="F54" s="431"/>
      <c r="G54" s="431"/>
      <c r="H54" s="431"/>
      <c r="I54" s="431"/>
      <c r="J54" s="431"/>
      <c r="K54" s="431"/>
      <c r="L54" s="427"/>
    </row>
    <row r="55" spans="1:24">
      <c r="A55" s="427"/>
      <c r="B55" s="657" t="s">
        <v>603</v>
      </c>
      <c r="C55" s="657"/>
      <c r="D55" s="657"/>
      <c r="E55" s="657"/>
      <c r="F55" s="657"/>
      <c r="G55" s="657"/>
      <c r="H55" s="657"/>
      <c r="I55" s="657"/>
      <c r="J55" s="657"/>
      <c r="K55" s="657"/>
      <c r="L55" s="427"/>
    </row>
    <row r="56" spans="1:24" ht="15" customHeight="1">
      <c r="A56" s="427"/>
      <c r="L56" s="427"/>
    </row>
    <row r="57" spans="1:24" ht="74.25" customHeight="1">
      <c r="A57" s="427"/>
      <c r="B57" s="662" t="s">
        <v>604</v>
      </c>
      <c r="C57" s="665"/>
      <c r="D57" s="665"/>
      <c r="E57" s="665"/>
      <c r="F57" s="665"/>
      <c r="G57" s="665"/>
      <c r="H57" s="665"/>
      <c r="I57" s="665"/>
      <c r="J57" s="665"/>
      <c r="K57" s="665"/>
      <c r="L57" s="427"/>
      <c r="M57" s="452"/>
      <c r="N57" s="453"/>
      <c r="O57" s="453"/>
      <c r="P57" s="453"/>
      <c r="Q57" s="453"/>
      <c r="R57" s="453"/>
      <c r="S57" s="453"/>
      <c r="T57" s="453"/>
      <c r="U57" s="453"/>
      <c r="V57" s="453"/>
      <c r="W57" s="453"/>
      <c r="X57" s="453"/>
    </row>
    <row r="58" spans="1:24" ht="15" customHeight="1">
      <c r="A58" s="427"/>
      <c r="B58" s="662"/>
      <c r="C58" s="665"/>
      <c r="D58" s="665"/>
      <c r="E58" s="665"/>
      <c r="F58" s="665"/>
      <c r="G58" s="665"/>
      <c r="H58" s="665"/>
      <c r="I58" s="665"/>
      <c r="J58" s="665"/>
      <c r="K58" s="665"/>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56">
        <v>133685008</v>
      </c>
      <c r="D74" s="656"/>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56">
        <v>5000</v>
      </c>
      <c r="D77" s="656"/>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56">
        <v>100000</v>
      </c>
      <c r="D80" s="656"/>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71">
        <f>H80</f>
        <v>11500</v>
      </c>
      <c r="D83" s="671"/>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64" t="s">
        <v>576</v>
      </c>
      <c r="C85" s="664"/>
      <c r="D85" s="664"/>
      <c r="E85" s="664"/>
      <c r="F85" s="664"/>
      <c r="G85" s="664"/>
      <c r="H85" s="664"/>
      <c r="I85" s="664"/>
      <c r="J85" s="664"/>
      <c r="K85" s="664"/>
      <c r="L85" s="427"/>
    </row>
    <row r="86" spans="1:12">
      <c r="A86" s="427"/>
      <c r="B86" s="657" t="s">
        <v>624</v>
      </c>
      <c r="C86" s="657"/>
      <c r="D86" s="657"/>
      <c r="E86" s="657"/>
      <c r="F86" s="657"/>
      <c r="G86" s="657"/>
      <c r="H86" s="657"/>
      <c r="I86" s="657"/>
      <c r="J86" s="657"/>
      <c r="K86" s="657"/>
      <c r="L86" s="427"/>
    </row>
    <row r="87" spans="1:12">
      <c r="A87" s="427"/>
      <c r="B87" s="467"/>
      <c r="C87" s="467"/>
      <c r="D87" s="467"/>
      <c r="E87" s="467"/>
      <c r="F87" s="467"/>
      <c r="G87" s="467"/>
      <c r="H87" s="467"/>
      <c r="I87" s="467"/>
      <c r="J87" s="467"/>
      <c r="K87" s="467"/>
      <c r="L87" s="427"/>
    </row>
    <row r="88" spans="1:12">
      <c r="A88" s="427"/>
      <c r="B88" s="657" t="s">
        <v>625</v>
      </c>
      <c r="C88" s="657"/>
      <c r="D88" s="657"/>
      <c r="E88" s="657"/>
      <c r="F88" s="657"/>
      <c r="G88" s="657"/>
      <c r="H88" s="657"/>
      <c r="I88" s="657"/>
      <c r="J88" s="657"/>
      <c r="K88" s="657"/>
      <c r="L88" s="427"/>
    </row>
    <row r="89" spans="1:12">
      <c r="A89" s="427"/>
      <c r="B89" s="468"/>
      <c r="C89" s="468"/>
      <c r="D89" s="468"/>
      <c r="E89" s="468"/>
      <c r="F89" s="468"/>
      <c r="G89" s="468"/>
      <c r="H89" s="468"/>
      <c r="I89" s="468"/>
      <c r="J89" s="468"/>
      <c r="K89" s="468"/>
      <c r="L89" s="427"/>
    </row>
    <row r="90" spans="1:12" ht="45" customHeight="1">
      <c r="A90" s="427"/>
      <c r="B90" s="662" t="s">
        <v>626</v>
      </c>
      <c r="C90" s="662"/>
      <c r="D90" s="662"/>
      <c r="E90" s="662"/>
      <c r="F90" s="662"/>
      <c r="G90" s="662"/>
      <c r="H90" s="662"/>
      <c r="I90" s="662"/>
      <c r="J90" s="662"/>
      <c r="K90" s="662"/>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56">
        <v>133685008</v>
      </c>
      <c r="D94" s="656"/>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56">
        <v>50000</v>
      </c>
      <c r="D97" s="656"/>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56">
        <v>2500000</v>
      </c>
      <c r="D100" s="656"/>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71">
        <f>H100</f>
        <v>750000</v>
      </c>
      <c r="D103" s="671"/>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64" t="s">
        <v>576</v>
      </c>
      <c r="C105" s="672"/>
      <c r="D105" s="672"/>
      <c r="E105" s="672"/>
      <c r="F105" s="672"/>
      <c r="G105" s="672"/>
      <c r="H105" s="672"/>
      <c r="I105" s="672"/>
      <c r="J105" s="672"/>
      <c r="K105" s="672"/>
      <c r="L105" s="427"/>
    </row>
    <row r="106" spans="1:12" ht="15" customHeight="1">
      <c r="A106" s="427"/>
      <c r="B106" s="673" t="s">
        <v>628</v>
      </c>
      <c r="C106" s="658"/>
      <c r="D106" s="658"/>
      <c r="E106" s="658"/>
      <c r="F106" s="658"/>
      <c r="G106" s="658"/>
      <c r="H106" s="658"/>
      <c r="I106" s="658"/>
      <c r="J106" s="658"/>
      <c r="K106" s="658"/>
      <c r="L106" s="427"/>
    </row>
    <row r="107" spans="1:12" ht="15" customHeight="1">
      <c r="A107" s="427"/>
      <c r="B107" s="473"/>
      <c r="C107" s="481"/>
      <c r="D107" s="481"/>
      <c r="E107" s="440"/>
      <c r="F107" s="450"/>
      <c r="G107" s="440"/>
      <c r="H107" s="440"/>
      <c r="I107" s="440"/>
      <c r="J107" s="462"/>
      <c r="K107" s="473"/>
      <c r="L107" s="427"/>
    </row>
    <row r="108" spans="1:12" ht="15" customHeight="1">
      <c r="A108" s="427"/>
      <c r="B108" s="673"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65"/>
      <c r="D110" s="665"/>
      <c r="E110" s="665"/>
      <c r="F110" s="665"/>
      <c r="G110" s="665"/>
      <c r="H110" s="665"/>
      <c r="I110" s="665"/>
      <c r="J110" s="665"/>
      <c r="K110" s="665"/>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56">
        <v>133685008</v>
      </c>
      <c r="D114" s="656"/>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56">
        <v>50000</v>
      </c>
      <c r="D117" s="656"/>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56">
        <v>2500000</v>
      </c>
      <c r="D120" s="656"/>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71">
        <f>H120</f>
        <v>625000</v>
      </c>
      <c r="D123" s="671"/>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64" t="s">
        <v>576</v>
      </c>
      <c r="C125" s="664"/>
      <c r="D125" s="664"/>
      <c r="E125" s="664"/>
      <c r="F125" s="664"/>
      <c r="G125" s="664"/>
      <c r="H125" s="664"/>
      <c r="I125" s="664"/>
      <c r="J125" s="664"/>
      <c r="K125" s="664"/>
      <c r="L125" s="482"/>
    </row>
    <row r="126" spans="1:12">
      <c r="A126" s="427"/>
      <c r="B126" s="657" t="s">
        <v>631</v>
      </c>
      <c r="C126" s="657"/>
      <c r="D126" s="657"/>
      <c r="E126" s="657"/>
      <c r="F126" s="657"/>
      <c r="G126" s="657"/>
      <c r="H126" s="657"/>
      <c r="I126" s="657"/>
      <c r="J126" s="657"/>
      <c r="K126" s="657"/>
      <c r="L126" s="482"/>
    </row>
    <row r="127" spans="1:12">
      <c r="A127" s="427"/>
      <c r="B127" s="431"/>
      <c r="C127" s="431"/>
      <c r="D127" s="431"/>
      <c r="E127" s="431"/>
      <c r="F127" s="431"/>
      <c r="G127" s="431"/>
      <c r="H127" s="431"/>
      <c r="I127" s="431"/>
      <c r="J127" s="431"/>
      <c r="K127" s="431"/>
      <c r="L127" s="482"/>
    </row>
    <row r="128" spans="1:12">
      <c r="A128" s="427"/>
      <c r="B128" s="657" t="s">
        <v>632</v>
      </c>
      <c r="C128" s="657"/>
      <c r="D128" s="657"/>
      <c r="E128" s="657"/>
      <c r="F128" s="657"/>
      <c r="G128" s="657"/>
      <c r="H128" s="657"/>
      <c r="I128" s="657"/>
      <c r="J128" s="657"/>
      <c r="K128" s="657"/>
      <c r="L128" s="482"/>
    </row>
    <row r="129" spans="1:12">
      <c r="A129" s="427"/>
      <c r="B129" s="468"/>
      <c r="C129" s="468"/>
      <c r="D129" s="468"/>
      <c r="E129" s="468"/>
      <c r="F129" s="468"/>
      <c r="G129" s="468"/>
      <c r="H129" s="468"/>
      <c r="I129" s="468"/>
      <c r="J129" s="468"/>
      <c r="K129" s="468"/>
      <c r="L129" s="482"/>
    </row>
    <row r="130" spans="1:12" ht="74.25" customHeight="1">
      <c r="A130" s="427"/>
      <c r="B130" s="662" t="s">
        <v>633</v>
      </c>
      <c r="C130" s="662"/>
      <c r="D130" s="662"/>
      <c r="E130" s="662"/>
      <c r="F130" s="662"/>
      <c r="G130" s="662"/>
      <c r="H130" s="662"/>
      <c r="I130" s="662"/>
      <c r="J130" s="662"/>
      <c r="K130" s="662"/>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79" t="s">
        <v>634</v>
      </c>
      <c r="D133" s="679"/>
      <c r="E133" s="439"/>
      <c r="F133" s="440" t="s">
        <v>635</v>
      </c>
      <c r="G133" s="439"/>
      <c r="H133" s="679" t="s">
        <v>620</v>
      </c>
      <c r="I133" s="679"/>
      <c r="J133" s="439"/>
      <c r="K133" s="442"/>
      <c r="L133" s="427"/>
    </row>
    <row r="134" spans="1:12">
      <c r="A134" s="427"/>
      <c r="B134" s="448" t="s">
        <v>613</v>
      </c>
      <c r="C134" s="656">
        <v>100000</v>
      </c>
      <c r="D134" s="656"/>
      <c r="E134" s="440" t="s">
        <v>28</v>
      </c>
      <c r="F134" s="440">
        <v>0.115</v>
      </c>
      <c r="G134" s="440" t="s">
        <v>586</v>
      </c>
      <c r="H134" s="677">
        <f>C134*F134</f>
        <v>11500</v>
      </c>
      <c r="I134" s="677"/>
      <c r="J134" s="439"/>
      <c r="K134" s="442"/>
      <c r="L134" s="427"/>
    </row>
    <row r="135" spans="1:12">
      <c r="A135" s="427"/>
      <c r="B135" s="448"/>
      <c r="C135" s="439"/>
      <c r="D135" s="439"/>
      <c r="E135" s="439"/>
      <c r="F135" s="439"/>
      <c r="G135" s="439"/>
      <c r="H135" s="439"/>
      <c r="I135" s="439"/>
      <c r="J135" s="439"/>
      <c r="K135" s="442"/>
      <c r="L135" s="427"/>
    </row>
    <row r="136" spans="1:12">
      <c r="A136" s="427"/>
      <c r="B136" s="458"/>
      <c r="C136" s="680" t="s">
        <v>620</v>
      </c>
      <c r="D136" s="680"/>
      <c r="E136" s="459"/>
      <c r="F136" s="460" t="s">
        <v>636</v>
      </c>
      <c r="G136" s="460"/>
      <c r="H136" s="459"/>
      <c r="I136" s="459"/>
      <c r="J136" s="459" t="s">
        <v>637</v>
      </c>
      <c r="K136" s="461"/>
      <c r="L136" s="427"/>
    </row>
    <row r="137" spans="1:12">
      <c r="A137" s="427"/>
      <c r="B137" s="448" t="s">
        <v>616</v>
      </c>
      <c r="C137" s="677">
        <f>H134</f>
        <v>11500</v>
      </c>
      <c r="D137" s="67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81" t="s">
        <v>640</v>
      </c>
      <c r="C144" s="682"/>
      <c r="D144" s="682"/>
      <c r="E144" s="682"/>
      <c r="F144" s="682"/>
      <c r="G144" s="682"/>
      <c r="H144" s="682"/>
      <c r="I144" s="682"/>
      <c r="J144" s="682"/>
      <c r="K144" s="683"/>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77" t="s">
        <v>641</v>
      </c>
      <c r="D147" s="677"/>
      <c r="E147" s="440"/>
      <c r="F147" s="500" t="s">
        <v>642</v>
      </c>
      <c r="G147" s="440"/>
      <c r="H147" s="440"/>
      <c r="I147" s="440"/>
      <c r="J147" s="684" t="s">
        <v>643</v>
      </c>
      <c r="K147" s="685"/>
      <c r="L147" s="427"/>
    </row>
    <row r="148" spans="1:12">
      <c r="A148" s="427"/>
      <c r="B148" s="448"/>
      <c r="C148" s="676">
        <v>52.869</v>
      </c>
      <c r="D148" s="676"/>
      <c r="E148" s="440" t="s">
        <v>28</v>
      </c>
      <c r="F148" s="505">
        <v>133685008</v>
      </c>
      <c r="G148" s="506" t="s">
        <v>587</v>
      </c>
      <c r="H148" s="440">
        <v>1000</v>
      </c>
      <c r="I148" s="440" t="s">
        <v>586</v>
      </c>
      <c r="J148" s="677">
        <f>C148*(F148/1000)</f>
        <v>7067792.6879519997</v>
      </c>
      <c r="K148" s="67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topLeftCell="A16" workbookViewId="0">
      <selection activeCell="B43" sqref="B43"/>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Mt Olivet Cemetery</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1774379</v>
      </c>
    </row>
    <row r="8" spans="1:5" ht="15.75">
      <c r="A8" s="62" t="str">
        <f>CONCATENATE("New Improvements for ",inputPrYr!D6-1,"")</f>
        <v>New Improvements for 2012</v>
      </c>
      <c r="B8" s="63"/>
      <c r="C8" s="63"/>
      <c r="D8" s="63"/>
      <c r="E8" s="64">
        <v>0</v>
      </c>
    </row>
    <row r="9" spans="1:5" ht="15.75">
      <c r="A9" s="62" t="str">
        <f>CONCATENATE("Personal Property excluding oil, gas, and mobile homes- ",inputPrYr!D6-1,"")</f>
        <v>Personal Property excluding oil, gas, and mobile homes- 2012</v>
      </c>
      <c r="B9" s="63"/>
      <c r="C9" s="63"/>
      <c r="D9" s="63"/>
      <c r="E9" s="64">
        <v>8206</v>
      </c>
    </row>
    <row r="10" spans="1:5" ht="15.75">
      <c r="A10" s="62" t="str">
        <f>CONCATENATE("Property that has changed in use for ",inputPrYr!D6-1,"")</f>
        <v>Property that has changed in use for 2012</v>
      </c>
      <c r="B10" s="63"/>
      <c r="C10" s="63"/>
      <c r="D10" s="63"/>
      <c r="E10" s="64">
        <v>17521</v>
      </c>
    </row>
    <row r="11" spans="1:5" ht="15.75">
      <c r="A11" s="61" t="str">
        <f>CONCATENATE("Personal Property excluding oil, gas, and mobile homes- ",inputPrYr!D6-2,"")</f>
        <v>Personal Property excluding oil, gas, and mobile homes- 2011</v>
      </c>
      <c r="B11" s="42"/>
      <c r="C11" s="42"/>
      <c r="D11" s="42"/>
      <c r="E11" s="64">
        <v>33330</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2.71</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2.71</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1715641</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503</v>
      </c>
    </row>
    <row r="28" spans="1:5" ht="15.75">
      <c r="A28" s="62" t="s">
        <v>15</v>
      </c>
      <c r="B28" s="63"/>
      <c r="C28" s="63"/>
      <c r="D28" s="80"/>
      <c r="E28" s="37">
        <v>5</v>
      </c>
    </row>
    <row r="29" spans="1:5" ht="15.75">
      <c r="A29" s="62" t="s">
        <v>166</v>
      </c>
      <c r="B29" s="63"/>
      <c r="C29" s="63"/>
      <c r="D29" s="80"/>
      <c r="E29" s="37">
        <v>74</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4101</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9" sqref="B9"/>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741</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Mt Olivet Cemetery</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17-1330</v>
      </c>
      <c r="D23" s="116">
        <v>6</v>
      </c>
      <c r="E23" s="117">
        <f>IF(gen!$E$50&lt;&gt;0,gen!$E$50,"  ")</f>
        <v>7453</v>
      </c>
      <c r="F23" s="117">
        <f>IF(gen!$E$57&lt;&gt;0,gen!$E$57,"  ")</f>
        <v>4695</v>
      </c>
      <c r="G23" s="118">
        <f>IF(AND(gen!E57=0,$G$31&gt;=0)," ",IF(AND(F23&gt;0,$G$31=0)," ",IF(AND(F23&gt;0,$G$31&gt;0),ROUND(F23/$G$31*1000,3))))</f>
        <v>2.6419999999999999</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7453</v>
      </c>
      <c r="F29" s="405">
        <f>SUM(F23:F27)</f>
        <v>4695</v>
      </c>
      <c r="G29" s="409">
        <v>2.6419999999999999</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1777351</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9"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Mt Olivet Cemetery</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4649</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4649</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0</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8206</v>
      </c>
      <c r="F14" s="149"/>
      <c r="G14" s="39"/>
      <c r="H14" s="39"/>
      <c r="I14" s="152"/>
      <c r="J14" s="39"/>
    </row>
    <row r="15" spans="1:10" ht="15.75">
      <c r="A15" s="148"/>
      <c r="B15" s="18" t="s">
        <v>98</v>
      </c>
      <c r="C15" s="18" t="str">
        <f>CONCATENATE("Personal Property ",J1-2,"")</f>
        <v>Personal Property 2011</v>
      </c>
      <c r="D15" s="148" t="s">
        <v>94</v>
      </c>
      <c r="E15" s="43">
        <f>inputOth!E11</f>
        <v>33330</v>
      </c>
      <c r="F15" s="149"/>
      <c r="G15" s="152"/>
      <c r="H15" s="152"/>
      <c r="I15" s="39"/>
      <c r="J15" s="39"/>
    </row>
    <row r="16" spans="1:10" ht="15.75">
      <c r="A16" s="148"/>
      <c r="B16" s="18" t="s">
        <v>99</v>
      </c>
      <c r="C16" s="18" t="s">
        <v>113</v>
      </c>
      <c r="D16" s="18"/>
      <c r="E16" s="39"/>
      <c r="F16" s="39" t="s">
        <v>91</v>
      </c>
      <c r="G16" s="151">
        <f>IF(E14&gt;E15,E14-E15,0)</f>
        <v>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17521</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17521</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1774379</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1756858</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9.9729175607818042E-3</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46</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4695</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4695</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0"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Mt Olivet Cemetery</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4649</v>
      </c>
      <c r="D11" s="121">
        <f>IF(E17=0,0,E17-D12-D13-D14)</f>
        <v>503</v>
      </c>
      <c r="E11" s="121">
        <f>IF(E19=0,0,E19-E12-E13-E14)</f>
        <v>5</v>
      </c>
      <c r="F11" s="121">
        <f>IF(E21=0,0,E21-F12-F13-F14)</f>
        <v>74</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4649</v>
      </c>
      <c r="D15" s="130">
        <f>SUM(D11:D14)</f>
        <v>503</v>
      </c>
      <c r="E15" s="130">
        <f>SUM(E11:E14)</f>
        <v>5</v>
      </c>
      <c r="F15" s="130">
        <f>SUM(F11:F14)</f>
        <v>74</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503</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5</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74</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0.10819531081953108</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1.0755001075500108E-3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1.5917401591740158E-2</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Mt Olivet Cemetery</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2012-07-19T18:23:40Z</cp:lastPrinted>
  <dcterms:created xsi:type="dcterms:W3CDTF">1999-08-06T13:59:57Z</dcterms:created>
  <dcterms:modified xsi:type="dcterms:W3CDTF">2012-11-08T21:17:51Z</dcterms:modified>
</cp:coreProperties>
</file>