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1"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c r="C66"/>
  <c r="D66"/>
  <c r="C64"/>
  <c r="C52"/>
  <c r="C53"/>
  <c r="C65"/>
  <c r="D64"/>
  <c r="D67"/>
  <c r="E64"/>
  <c r="D52"/>
  <c r="E52"/>
  <c r="C31"/>
  <c r="C19"/>
  <c r="C20"/>
  <c r="D31"/>
  <c r="D19"/>
  <c r="E19"/>
  <c r="E31"/>
  <c r="D52" i="4"/>
  <c r="D50"/>
  <c r="D49" s="1"/>
  <c r="D56" i="15"/>
  <c r="C56"/>
  <c r="C69" s="1"/>
  <c r="B56"/>
  <c r="G11" i="7"/>
  <c r="E15" i="4"/>
  <c r="E14"/>
  <c r="D9"/>
  <c r="D28" s="1"/>
  <c r="C28"/>
  <c r="C29" s="1"/>
  <c r="C50"/>
  <c r="C49" s="1"/>
  <c r="D7" i="16"/>
  <c r="C52" i="4"/>
  <c r="F3"/>
  <c r="G55"/>
  <c r="E6" i="6"/>
  <c r="E39"/>
  <c r="C6"/>
  <c r="D6" i="15"/>
  <c r="E6"/>
  <c r="C6" i="5"/>
  <c r="J28" i="17"/>
  <c r="J29"/>
  <c r="H28"/>
  <c r="F28"/>
  <c r="A17" i="8"/>
  <c r="A28" i="3"/>
  <c r="D28"/>
  <c r="I5" i="17"/>
  <c r="G5"/>
  <c r="E5"/>
  <c r="C5"/>
  <c r="A5"/>
  <c r="D28" i="2"/>
  <c r="A28"/>
  <c r="A24"/>
  <c r="D17"/>
  <c r="E17"/>
  <c r="K1" i="17"/>
  <c r="F2" s="1"/>
  <c r="A1"/>
  <c r="K7"/>
  <c r="B17"/>
  <c r="K17" s="1"/>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F13" s="1"/>
  <c r="A37" i="2"/>
  <c r="A15"/>
  <c r="E20" i="9"/>
  <c r="E16"/>
  <c r="E12"/>
  <c r="K20"/>
  <c r="J20"/>
  <c r="I20"/>
  <c r="H20"/>
  <c r="K16"/>
  <c r="J16"/>
  <c r="I16"/>
  <c r="H16"/>
  <c r="K12"/>
  <c r="K21"/>
  <c r="J12"/>
  <c r="J21"/>
  <c r="I12"/>
  <c r="I21"/>
  <c r="H12"/>
  <c r="H21"/>
  <c r="K1"/>
  <c r="E8" s="1"/>
  <c r="F28" s="1"/>
  <c r="F22" i="8"/>
  <c r="E16"/>
  <c r="B39" i="2"/>
  <c r="B22" i="8"/>
  <c r="A10" i="14"/>
  <c r="A8"/>
  <c r="A7"/>
  <c r="B5" i="12"/>
  <c r="B27"/>
  <c r="B31"/>
  <c r="B10"/>
  <c r="B9"/>
  <c r="B19"/>
  <c r="B23"/>
  <c r="D22" i="8"/>
  <c r="E24" i="13"/>
  <c r="E26"/>
  <c r="F19" i="8"/>
  <c r="D16"/>
  <c r="D24" i="13"/>
  <c r="D26"/>
  <c r="D19" i="8"/>
  <c r="B16"/>
  <c r="C24" i="13"/>
  <c r="C26"/>
  <c r="B19" i="8"/>
  <c r="F1" i="13"/>
  <c r="E9" s="1"/>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C18" s="1"/>
  <c r="B21"/>
  <c r="A16"/>
  <c r="A4"/>
  <c r="B14" i="7"/>
  <c r="B13"/>
  <c r="B2"/>
  <c r="B1"/>
  <c r="B11"/>
  <c r="C18" i="6"/>
  <c r="D18"/>
  <c r="E18"/>
  <c r="C51"/>
  <c r="D51"/>
  <c r="E51"/>
  <c r="C29" i="15"/>
  <c r="C53"/>
  <c r="D53"/>
  <c r="A18" i="3"/>
  <c r="B4" i="16"/>
  <c r="D13"/>
  <c r="C78" i="5"/>
  <c r="B66" i="6"/>
  <c r="B73" i="5"/>
  <c r="C15" i="7"/>
  <c r="C25" s="1"/>
  <c r="A11" i="3"/>
  <c r="B18" i="17"/>
  <c r="K18" s="1"/>
  <c r="B35" i="5"/>
  <c r="B29" i="17"/>
  <c r="B30" s="1"/>
  <c r="C30" i="6"/>
  <c r="C9" i="13"/>
  <c r="J7" i="9"/>
  <c r="H28"/>
  <c r="A36" i="10"/>
  <c r="A26" i="14"/>
  <c r="B40"/>
  <c r="D6" i="4"/>
  <c r="E13" i="3"/>
  <c r="F15"/>
  <c r="A10"/>
  <c r="A11" i="8"/>
  <c r="D13"/>
  <c r="G14"/>
  <c r="A6" i="14"/>
  <c r="A24"/>
  <c r="C40"/>
  <c r="D6" i="6"/>
  <c r="D39" s="1"/>
  <c r="G12" i="7"/>
  <c r="E14" i="15" s="1"/>
  <c r="D12" i="7"/>
  <c r="E11" i="15"/>
  <c r="K28" i="17"/>
  <c r="B17" i="8"/>
  <c r="E6" i="16"/>
  <c r="G28" i="9"/>
  <c r="A26" i="16"/>
  <c r="C6"/>
  <c r="B6"/>
  <c r="H7" i="9"/>
  <c r="D6" i="16"/>
  <c r="A35" i="14"/>
  <c r="C46" i="3"/>
  <c r="G14" i="7"/>
  <c r="E52" i="5" s="1"/>
  <c r="D14" i="7"/>
  <c r="E49" i="5" s="1"/>
  <c r="C32" i="6"/>
  <c r="D7"/>
  <c r="D20"/>
  <c r="D32"/>
  <c r="C40" i="5"/>
  <c r="E6"/>
  <c r="E44" s="1"/>
  <c r="C6" i="4"/>
  <c r="B52"/>
  <c r="D70"/>
  <c r="C70"/>
  <c r="E6"/>
  <c r="E14" i="5"/>
  <c r="A14" i="14"/>
  <c r="E47" i="4"/>
  <c r="E50"/>
  <c r="F16" i="8" s="1"/>
  <c r="E13" i="16"/>
  <c r="C67" i="6"/>
  <c r="C35"/>
  <c r="C87" i="5"/>
  <c r="B37" s="1"/>
  <c r="E18" i="8"/>
  <c r="M21" s="1"/>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F36" i="5"/>
  <c r="E32"/>
  <c r="E37"/>
  <c r="E24" i="3"/>
  <c r="F53" i="4"/>
  <c r="E54"/>
  <c r="J16" i="8"/>
  <c r="J20"/>
  <c r="M14"/>
  <c r="J12"/>
  <c r="J18"/>
  <c r="J21"/>
  <c r="E40" i="6"/>
  <c r="E53"/>
  <c r="E65"/>
  <c r="E66"/>
  <c r="D68"/>
  <c r="J59" i="4"/>
  <c r="J58"/>
  <c r="E23" i="3" l="1"/>
  <c r="E49" i="4"/>
  <c r="K30" i="17"/>
  <c r="C51" i="4"/>
  <c r="C71" s="1"/>
  <c r="B13" i="8"/>
  <c r="A10"/>
  <c r="B54" i="4"/>
  <c r="E13" i="15"/>
  <c r="F11" i="7"/>
  <c r="E13" i="4" s="1"/>
  <c r="E12" i="5"/>
  <c r="E11" i="7"/>
  <c r="D13"/>
  <c r="D11" s="1"/>
  <c r="F74" i="5"/>
  <c r="E25" i="3"/>
  <c r="E70" i="5"/>
  <c r="E75"/>
  <c r="D9" i="13"/>
  <c r="G16" i="10"/>
  <c r="G20" s="1"/>
  <c r="G24" s="1"/>
  <c r="G26" s="1"/>
  <c r="J28" s="1"/>
  <c r="J30" s="1"/>
  <c r="D18" i="8"/>
  <c r="D20" s="1"/>
  <c r="E45" i="5"/>
  <c r="D90"/>
  <c r="B76" s="1"/>
  <c r="D29" i="15"/>
  <c r="D31"/>
  <c r="D55" s="1"/>
  <c r="B18" i="8"/>
  <c r="B20" s="1"/>
  <c r="E30" i="15"/>
  <c r="G55" s="1"/>
  <c r="B29" i="13"/>
  <c r="A12" i="14"/>
  <c r="B58" i="15"/>
  <c r="D70"/>
  <c r="B59" s="1"/>
  <c r="E7"/>
  <c r="E11" i="5"/>
  <c r="E21" s="1"/>
  <c r="D88"/>
  <c r="B38" s="1"/>
  <c r="E7"/>
  <c r="D27" i="4"/>
  <c r="E29" i="3"/>
  <c r="F57" i="15"/>
  <c r="E58"/>
  <c r="F18" i="8"/>
  <c r="F20" s="1"/>
  <c r="E53" i="15"/>
  <c r="E59" i="5"/>
  <c r="E60" s="1"/>
  <c r="E76" s="1"/>
  <c r="E78" s="1"/>
  <c r="F15" i="7"/>
  <c r="D7" i="4" l="1"/>
  <c r="D29" s="1"/>
  <c r="D51" s="1"/>
  <c r="D71" s="1"/>
  <c r="B55" s="1"/>
  <c r="E12"/>
  <c r="E15" i="7"/>
  <c r="E11" i="4"/>
  <c r="E28" s="1"/>
  <c r="D15" i="7"/>
  <c r="E22" i="5"/>
  <c r="E38" s="1"/>
  <c r="E40" s="1"/>
  <c r="E31" i="15"/>
  <c r="E59" s="1"/>
  <c r="E61" s="1"/>
  <c r="G25" i="3"/>
  <c r="F25"/>
  <c r="G46" i="4"/>
  <c r="G45"/>
  <c r="F24" i="3"/>
  <c r="G24"/>
  <c r="E20" i="5"/>
  <c r="E58"/>
  <c r="E7" i="4" l="1"/>
  <c r="E29" s="1"/>
  <c r="E55" s="1"/>
  <c r="E57" s="1"/>
  <c r="G53" s="1"/>
  <c r="J32" i="10"/>
  <c r="J34" s="1"/>
  <c r="G56" i="15"/>
  <c r="G57" s="1"/>
  <c r="G60" s="1"/>
  <c r="E29"/>
  <c r="G62"/>
  <c r="E27" i="4" l="1"/>
  <c r="G16" i="8"/>
  <c r="G18" s="1"/>
  <c r="M20" s="1"/>
  <c r="M22" s="1"/>
  <c r="F23" i="3"/>
  <c r="F29" s="1"/>
  <c r="F30" s="1"/>
  <c r="G47" i="4"/>
  <c r="G48" s="1"/>
  <c r="G51" s="1"/>
  <c r="H16" i="8" l="1"/>
  <c r="H18" s="1"/>
</calcChain>
</file>

<file path=xl/sharedStrings.xml><?xml version="1.0" encoding="utf-8"?>
<sst xmlns="http://schemas.openxmlformats.org/spreadsheetml/2006/main" count="1110" uniqueCount="752">
  <si>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</si>
  <si>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</si>
  <si>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</si>
  <si>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</si>
  <si>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</si>
  <si>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</si>
  <si>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</si>
  <si>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</si>
  <si>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</si>
  <si>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</si>
  <si>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</si>
  <si>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</si>
  <si>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</si>
  <si>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</si>
  <si>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</si>
  <si>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</si>
  <si>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</si>
  <si>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</si>
  <si>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</si>
  <si>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</si>
  <si>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</si>
  <si>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</si>
  <si>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</si>
  <si>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</si>
  <si>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</si>
  <si>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</si>
  <si>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</si>
  <si>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</si>
  <si>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</si>
  <si>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</si>
  <si>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</si>
  <si>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</si>
  <si>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</si>
  <si>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</si>
  <si>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</si>
  <si>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</si>
  <si>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</si>
  <si>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</si>
  <si>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</si>
  <si>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</si>
  <si>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</si>
  <si>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</si>
  <si>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</si>
  <si>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</si>
  <si>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</si>
  <si>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</si>
  <si>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</si>
  <si>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</si>
  <si>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</si>
  <si>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</si>
  <si>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</si>
  <si>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</si>
  <si>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</si>
  <si>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</si>
  <si>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</si>
  <si>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</si>
  <si>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</si>
  <si>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</si>
  <si>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</si>
  <si>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</si>
  <si>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</si>
  <si>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</si>
  <si>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</si>
  <si>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</si>
  <si>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</si>
  <si>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</si>
  <si>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</si>
  <si>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</si>
  <si>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</si>
  <si>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</si>
  <si>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</si>
  <si>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</si>
  <si>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</si>
  <si>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</si>
  <si>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</si>
  <si>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</si>
  <si>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</si>
  <si>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</si>
  <si>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</si>
  <si>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</si>
  <si>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</si>
  <si>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</si>
  <si>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</si>
  <si>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</si>
  <si>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</si>
  <si>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</si>
  <si>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</si>
  <si>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</si>
  <si>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</si>
  <si>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</si>
  <si>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</si>
  <si>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</si>
  <si>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</si>
  <si>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</si>
  <si>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</si>
  <si>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</si>
  <si>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</si>
  <si>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</si>
  <si>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</si>
  <si>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</si>
  <si>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</si>
  <si>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</si>
  <si>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</si>
  <si>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</si>
  <si>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</si>
  <si>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</si>
  <si>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</si>
  <si>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</si>
  <si>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</si>
  <si>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</si>
  <si>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</si>
  <si>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</si>
  <si>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</si>
  <si>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</si>
  <si>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</si>
  <si>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</si>
  <si>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</si>
  <si>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</si>
  <si>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</si>
  <si>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</si>
  <si>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</si>
  <si>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</si>
  <si>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</si>
  <si>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</si>
  <si>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</si>
  <si>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</si>
  <si>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</si>
  <si>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</si>
  <si>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</si>
  <si>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</si>
  <si>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</si>
  <si>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</si>
  <si>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</si>
  <si>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</si>
  <si>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</si>
  <si>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</si>
  <si>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</si>
  <si>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</si>
  <si>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</si>
  <si>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</si>
  <si>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</si>
  <si>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</si>
  <si>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</si>
  <si>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</si>
  <si>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</si>
  <si>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</si>
  <si>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</si>
  <si>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</si>
  <si>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</si>
  <si>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</si>
  <si>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</si>
  <si>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</si>
  <si>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</si>
  <si>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</si>
  <si>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</si>
  <si>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</si>
  <si>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</si>
  <si>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</si>
  <si>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</si>
  <si>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</si>
  <si>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</si>
  <si>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</si>
  <si>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</si>
  <si>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</si>
  <si>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</si>
  <si>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</si>
  <si>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</si>
  <si>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</si>
  <si>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</si>
  <si>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</si>
  <si>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</si>
  <si>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</si>
  <si>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</si>
  <si>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</si>
  <si>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</si>
  <si>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</si>
  <si>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</si>
  <si>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</si>
  <si>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</si>
  <si>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</si>
  <si>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</si>
  <si>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</si>
  <si>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</si>
  <si>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</si>
  <si>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</si>
  <si>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</si>
  <si>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</si>
  <si>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</si>
  <si>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</si>
  <si>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</si>
  <si>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</si>
  <si>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</si>
  <si>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</si>
  <si>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</si>
  <si>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</si>
  <si>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</si>
  <si>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</si>
  <si>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</si>
  <si>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</si>
  <si>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</si>
  <si>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</si>
  <si>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</si>
  <si>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</si>
  <si>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</si>
  <si>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</si>
  <si>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</si>
  <si>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</si>
  <si>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</si>
  <si>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</si>
  <si>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</si>
  <si>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</si>
  <si>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</si>
  <si>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</si>
  <si>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</si>
  <si>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</si>
  <si>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</si>
  <si>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</si>
  <si>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</si>
  <si>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</si>
  <si>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</si>
  <si>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</si>
  <si>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</si>
  <si>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</si>
  <si>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</si>
  <si>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</si>
  <si>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</si>
  <si>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</si>
  <si>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</si>
  <si>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</si>
  <si>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</si>
  <si>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</si>
  <si>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</si>
  <si>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</si>
  <si>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</si>
  <si>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</si>
  <si>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</si>
  <si>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</si>
  <si>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</si>
  <si>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</si>
  <si>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</si>
  <si>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</si>
  <si>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</si>
  <si>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</si>
  <si>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</si>
  <si>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</si>
  <si>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</si>
  <si>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</si>
  <si>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</si>
  <si>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</si>
  <si>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</si>
  <si>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</si>
  <si>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</si>
  <si>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</si>
  <si>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</si>
  <si>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</si>
  <si>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</si>
  <si>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</si>
  <si>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</si>
  <si>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</si>
  <si>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</si>
  <si>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</si>
  <si>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</si>
  <si>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</si>
  <si>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</si>
  <si>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</si>
  <si>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</si>
  <si>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</si>
  <si>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</si>
  <si>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</si>
  <si>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</si>
  <si>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</si>
  <si>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</si>
  <si>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</si>
  <si>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</si>
  <si>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</si>
  <si>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</si>
  <si>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</si>
  <si>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</si>
  <si>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</si>
  <si>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</si>
  <si>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</si>
  <si>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</si>
  <si>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</si>
  <si>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</si>
  <si>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</si>
  <si>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</si>
  <si>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</si>
  <si>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</si>
  <si>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</si>
  <si>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</si>
  <si>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</si>
  <si>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</si>
  <si>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</si>
  <si>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</si>
  <si>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</si>
  <si>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</si>
  <si>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</si>
  <si>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</si>
  <si>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</si>
  <si>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</si>
  <si>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</si>
  <si>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</si>
  <si>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</si>
  <si>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</si>
  <si>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</si>
  <si>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</si>
  <si>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</si>
  <si>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</si>
  <si>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</si>
  <si>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</si>
  <si>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</si>
  <si>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</si>
  <si>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</si>
  <si>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</si>
  <si>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</si>
  <si>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</si>
  <si>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</si>
  <si>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</si>
  <si>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</si>
  <si>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</si>
  <si>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</si>
  <si>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</si>
  <si>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</si>
  <si>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</si>
  <si>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</si>
  <si>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</si>
  <si>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</si>
  <si>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</si>
  <si>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</si>
  <si>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</si>
  <si>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</si>
  <si>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</si>
  <si>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</si>
  <si>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</si>
  <si>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</si>
  <si>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</si>
  <si>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</si>
  <si>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</si>
  <si>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</si>
  <si>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</si>
  <si>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</si>
  <si>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</si>
  <si>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</si>
  <si>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</si>
  <si>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</si>
  <si>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</si>
  <si>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</si>
  <si>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</si>
  <si>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</si>
  <si>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</si>
  <si>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</si>
  <si>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</si>
  <si>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</si>
  <si>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</si>
  <si>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</si>
  <si>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</si>
  <si>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</si>
  <si>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</si>
  <si>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</si>
  <si>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</si>
  <si>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</si>
  <si>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</si>
  <si>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</si>
  <si>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</si>
  <si>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</si>
  <si>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</si>
  <si>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</si>
  <si>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</si>
  <si>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</si>
  <si>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</si>
  <si>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</si>
  <si>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</si>
  <si>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</si>
  <si>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</si>
  <si>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</si>
  <si>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</si>
  <si>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</si>
  <si>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</si>
  <si>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</si>
  <si>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</si>
  <si>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</si>
  <si>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</si>
  <si>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</si>
  <si>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</si>
  <si>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</si>
  <si>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</si>
  <si>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</si>
  <si>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</si>
  <si>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</si>
  <si>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</si>
  <si>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</si>
  <si>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</si>
  <si>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</si>
  <si>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</si>
  <si>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</si>
  <si>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</si>
  <si>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</si>
  <si>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</si>
  <si>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</si>
  <si>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</si>
  <si>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</si>
  <si>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</si>
  <si>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</si>
  <si>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</si>
  <si>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</si>
  <si>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</si>
  <si>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</si>
  <si>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</si>
  <si>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</si>
  <si>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</si>
  <si>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</si>
  <si>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</si>
  <si>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</si>
  <si>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</si>
  <si>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</si>
  <si>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</si>
  <si>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</si>
  <si>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</si>
  <si>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</si>
  <si>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</si>
  <si>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</si>
  <si>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</si>
  <si>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</si>
  <si>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</si>
  <si>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</si>
  <si>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</si>
  <si>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</si>
  <si>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</si>
  <si>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</si>
  <si>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</si>
  <si>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</si>
  <si>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</si>
  <si>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</si>
  <si>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</si>
  <si>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</si>
  <si>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</si>
  <si>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</si>
  <si>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</si>
  <si>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</si>
  <si>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</si>
  <si>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</si>
  <si>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</si>
  <si>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</si>
  <si>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</si>
  <si>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</si>
  <si>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</si>
  <si>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</si>
  <si>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</si>
  <si>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</si>
  <si>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</si>
  <si>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</si>
  <si>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</si>
  <si>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</si>
  <si>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</si>
  <si>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</si>
  <si>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</si>
  <si>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</si>
  <si>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</si>
  <si>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</si>
  <si>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</si>
  <si>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</si>
  <si>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</si>
  <si>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</si>
  <si>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</si>
  <si>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</si>
  <si>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</si>
  <si>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</si>
  <si>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</si>
  <si>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</si>
  <si>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</si>
  <si>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</si>
  <si>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</si>
  <si>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</si>
  <si>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</si>
  <si>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</si>
  <si>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</si>
  <si>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</si>
  <si>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</si>
  <si>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</si>
  <si>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</si>
  <si>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</si>
  <si>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</si>
  <si>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</si>
  <si>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</si>
  <si>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</si>
  <si>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</si>
  <si>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</si>
  <si>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</si>
  <si>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</si>
  <si>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</si>
  <si>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</si>
  <si>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</si>
  <si>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</si>
  <si>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</si>
  <si>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</si>
  <si>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</si>
  <si>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</si>
  <si>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</si>
  <si>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</si>
  <si>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</si>
  <si>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</si>
  <si>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</si>
  <si>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</si>
  <si>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</si>
  <si>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</si>
  <si>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</si>
  <si>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</si>
  <si>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</si>
  <si>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</si>
  <si>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</si>
  <si>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</si>
  <si>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</si>
  <si>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</si>
  <si>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</si>
  <si>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</si>
  <si>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</si>
  <si>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</si>
  <si>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</si>
  <si>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</si>
  <si>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</si>
  <si>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</si>
  <si>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</si>
  <si>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</si>
  <si>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</si>
  <si>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</si>
  <si>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</si>
  <si>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</si>
  <si>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</si>
  <si>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</si>
  <si>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</si>
  <si>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</si>
  <si>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</si>
  <si>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</si>
  <si>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</si>
  <si>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</si>
  <si>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</si>
  <si>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</si>
  <si>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</si>
  <si>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</si>
  <si>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</si>
  <si>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</si>
  <si>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</si>
  <si>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</si>
  <si>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</si>
  <si>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</si>
  <si>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</si>
  <si>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</si>
  <si>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</si>
  <si>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</si>
  <si>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</si>
  <si>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</si>
  <si>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</si>
  <si>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</si>
  <si>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</si>
  <si>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</si>
  <si>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</si>
  <si>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</si>
  <si>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</si>
  <si>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</si>
  <si>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</si>
  <si>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</si>
  <si>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</si>
  <si>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</si>
  <si>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</si>
  <si>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</si>
  <si>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</si>
  <si>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</si>
  <si>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</si>
  <si>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</si>
  <si>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</si>
  <si>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</si>
  <si>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</si>
  <si>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</si>
  <si>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</si>
  <si>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</si>
  <si>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</si>
  <si>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</si>
  <si>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</si>
  <si>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</si>
  <si>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</si>
  <si>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</si>
  <si>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</si>
  <si>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</si>
  <si>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</si>
  <si>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</si>
  <si>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</si>
  <si>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</si>
  <si>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</si>
  <si>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</si>
  <si>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</si>
  <si>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</si>
  <si>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</si>
  <si>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</si>
  <si>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</si>
  <si>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</si>
  <si>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</si>
  <si>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</si>
  <si>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</si>
  <si>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</si>
  <si>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</si>
  <si>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</si>
  <si>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</si>
  <si>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</si>
  <si>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</si>
  <si>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</si>
  <si>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</si>
  <si>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</si>
  <si>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</si>
  <si>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</si>
  <si>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</si>
  <si>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</si>
  <si>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</si>
  <si>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</si>
  <si>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</si>
  <si>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</si>
  <si>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</si>
  <si>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</si>
  <si>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</si>
  <si>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</si>
  <si>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</si>
  <si>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</si>
  <si>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</si>
  <si>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</si>
  <si>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</si>
  <si>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</si>
  <si>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</si>
  <si>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</si>
  <si>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</si>
  <si>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</si>
  <si>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</si>
  <si>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</si>
  <si>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</si>
  <si>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</si>
  <si>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</si>
  <si>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</si>
  <si>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</si>
  <si>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</si>
  <si>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</si>
  <si>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</si>
  <si>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</si>
  <si>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</si>
  <si>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</si>
  <si>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</si>
  <si>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</si>
  <si>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</si>
  <si>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</si>
  <si>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</si>
  <si>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</si>
  <si>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</si>
  <si>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</si>
  <si>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</si>
  <si>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</si>
  <si>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</si>
  <si>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</si>
  <si>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</si>
  <si>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</si>
  <si>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</si>
  <si>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</si>
  <si>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</si>
  <si>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</si>
  <si>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</si>
  <si>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</si>
  <si>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</si>
  <si>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</si>
  <si>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</si>
  <si>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</si>
  <si>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</si>
  <si>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</si>
  <si>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</si>
  <si>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</si>
  <si>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</si>
  <si>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</si>
  <si>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</si>
  <si>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</si>
  <si>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</si>
  <si>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</si>
  <si>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</si>
  <si>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</si>
  <si>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</si>
  <si>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</si>
  <si>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</si>
  <si>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</si>
  <si>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</si>
  <si>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</si>
  <si>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</si>
  <si>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</si>
  <si>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</si>
  <si>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</si>
  <si>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</si>
  <si>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</si>
  <si>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</si>
  <si>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</si>
  <si>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</si>
  <si>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</si>
  <si>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</si>
  <si>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</si>
  <si>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</si>
  <si>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</si>
  <si>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</si>
  <si>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</si>
  <si>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</si>
  <si>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</si>
  <si>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</si>
  <si>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</si>
  <si>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</si>
  <si>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</si>
  <si>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</si>
  <si>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</si>
  <si>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</si>
  <si>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</si>
  <si>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</si>
  <si>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</si>
  <si>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</si>
  <si>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</si>
  <si>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</si>
  <si>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</si>
  <si>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</si>
  <si>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</si>
  <si>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</si>
  <si>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</si>
  <si>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</si>
  <si>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</si>
  <si>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</si>
  <si>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</si>
  <si>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</si>
  <si>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</si>
  <si>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</si>
  <si>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</si>
  <si>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</si>
  <si>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</si>
  <si>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</si>
  <si>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</si>
  <si>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</si>
  <si>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</si>
  <si>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Ohio/Princeton Fire</t>
  </si>
  <si>
    <t>80-1546</t>
  </si>
  <si>
    <t>Equipment Fund</t>
  </si>
  <si>
    <t>Princeton Fire Station</t>
  </si>
  <si>
    <t>Grant</t>
  </si>
  <si>
    <t>Other</t>
  </si>
  <si>
    <t>Training</t>
  </si>
  <si>
    <t>Building &amp; Supplies</t>
  </si>
  <si>
    <t>Utilities</t>
  </si>
  <si>
    <t>Insurance</t>
  </si>
  <si>
    <t>Office Supplies</t>
  </si>
  <si>
    <t>Batteries &amp; Repairs</t>
  </si>
  <si>
    <t>Supplies for Truck</t>
  </si>
  <si>
    <t>Equipment under $1000</t>
  </si>
  <si>
    <t>Transfer from Gen</t>
  </si>
  <si>
    <t>August 7, 2012</t>
  </si>
  <si>
    <t>6:30 p.m.</t>
  </si>
  <si>
    <t>/s/ Joyce Dalsing</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</si>
</sst>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9">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0" fontId="3" fillId="3" borderId="30" xfId="0" applyFont="1" applyFill="1" applyBorder="1" applyAlignment="1" applyProtection="1">
      <alignment vertical="center"/>
    </xf>
    <xf numFmtId="37" fontId="3" fillId="3" borderId="30"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0" fontId="3" fillId="0" borderId="0" xfId="0" applyFont="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4" t="s">
        <v>705</v>
      </c>
    </row>
    <row r="60" spans="1:1" ht="53.25" customHeight="1">
      <c r="A60" s="574" t="s">
        <v>706</v>
      </c>
    </row>
    <row r="61" spans="1:1" ht="53.25" customHeight="1">
      <c r="A61" s="575" t="s">
        <v>707</v>
      </c>
    </row>
    <row r="62" spans="1:1" ht="68.25" customHeight="1">
      <c r="A62" s="574"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4" t="s">
        <v>716</v>
      </c>
    </row>
    <row r="79" spans="1:1" s="331" customFormat="1" ht="88.5" customHeight="1">
      <c r="A79" s="574"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4" t="s">
        <v>720</v>
      </c>
    </row>
    <row r="88" spans="1:1" ht="81.75" customHeight="1">
      <c r="A88" s="574" t="s">
        <v>721</v>
      </c>
    </row>
    <row r="89" spans="1:1" ht="97.5" customHeight="1">
      <c r="A89" s="574"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Ohio/Princeton Fire</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41" workbookViewId="0">
      <selection activeCell="E40" sqref="E4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Ohio/Princeton Fire</v>
      </c>
      <c r="C1" s="234"/>
      <c r="D1" s="18"/>
      <c r="E1" s="185"/>
    </row>
    <row r="2" spans="2:6">
      <c r="B2" s="18" t="str">
        <f>inputPrYr!D4</f>
        <v>Franklin County</v>
      </c>
      <c r="C2" s="234"/>
      <c r="D2" s="18"/>
      <c r="E2" s="138"/>
    </row>
    <row r="3" spans="2:6">
      <c r="B3" s="545"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11234</v>
      </c>
      <c r="D7" s="394">
        <f>C51</f>
        <v>4202</v>
      </c>
      <c r="E7" s="47">
        <f>D51</f>
        <v>12020</v>
      </c>
    </row>
    <row r="8" spans="2:6">
      <c r="B8" s="239" t="s">
        <v>126</v>
      </c>
      <c r="C8" s="240"/>
      <c r="D8" s="240"/>
      <c r="E8" s="121"/>
    </row>
    <row r="9" spans="2:6">
      <c r="B9" s="115" t="s">
        <v>33</v>
      </c>
      <c r="C9" s="387">
        <v>36432</v>
      </c>
      <c r="D9" s="394">
        <f>inputPrYr!E19</f>
        <v>31466</v>
      </c>
      <c r="E9" s="128" t="s">
        <v>28</v>
      </c>
    </row>
    <row r="10" spans="2:6">
      <c r="B10" s="115" t="s">
        <v>34</v>
      </c>
      <c r="C10" s="387"/>
      <c r="D10" s="387"/>
      <c r="E10" s="202"/>
    </row>
    <row r="11" spans="2:6">
      <c r="B11" s="115" t="s">
        <v>35</v>
      </c>
      <c r="C11" s="387"/>
      <c r="D11" s="387">
        <v>4676</v>
      </c>
      <c r="E11" s="47">
        <f>mvalloc!D11</f>
        <v>4618</v>
      </c>
    </row>
    <row r="12" spans="2:6">
      <c r="B12" s="115" t="s">
        <v>36</v>
      </c>
      <c r="C12" s="387"/>
      <c r="D12" s="387">
        <v>159</v>
      </c>
      <c r="E12" s="47">
        <f>mvalloc!E11</f>
        <v>126</v>
      </c>
    </row>
    <row r="13" spans="2:6">
      <c r="B13" s="240" t="s">
        <v>108</v>
      </c>
      <c r="C13" s="387"/>
      <c r="D13" s="387">
        <v>367</v>
      </c>
      <c r="E13" s="47">
        <f>mvalloc!F11</f>
        <v>315</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t="s">
        <v>738</v>
      </c>
      <c r="C17" s="387">
        <v>4925</v>
      </c>
      <c r="D17" s="387"/>
      <c r="E17" s="202"/>
    </row>
    <row r="18" spans="2:5">
      <c r="B18" s="241" t="s">
        <v>739</v>
      </c>
      <c r="C18" s="387">
        <v>45</v>
      </c>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v>26</v>
      </c>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41428</v>
      </c>
      <c r="D28" s="389">
        <f>SUM(D9:D26)</f>
        <v>36668</v>
      </c>
      <c r="E28" s="247">
        <f>SUM(E9:E26)</f>
        <v>5059</v>
      </c>
    </row>
    <row r="29" spans="2:5">
      <c r="B29" s="246" t="s">
        <v>40</v>
      </c>
      <c r="C29" s="389">
        <f>C7+C28</f>
        <v>52662</v>
      </c>
      <c r="D29" s="389">
        <f>D7+D28</f>
        <v>40870</v>
      </c>
      <c r="E29" s="247">
        <f>E7+E28</f>
        <v>17079</v>
      </c>
    </row>
    <row r="30" spans="2:5">
      <c r="B30" s="115" t="s">
        <v>41</v>
      </c>
      <c r="C30" s="119"/>
      <c r="D30" s="119"/>
      <c r="E30" s="38"/>
    </row>
    <row r="31" spans="2:5">
      <c r="B31" s="241" t="s">
        <v>740</v>
      </c>
      <c r="C31" s="387">
        <v>95</v>
      </c>
      <c r="D31" s="387">
        <v>250</v>
      </c>
      <c r="E31" s="202">
        <v>500</v>
      </c>
    </row>
    <row r="32" spans="2:5">
      <c r="B32" s="241" t="s">
        <v>741</v>
      </c>
      <c r="C32" s="387">
        <v>3401</v>
      </c>
      <c r="D32" s="387">
        <v>300</v>
      </c>
      <c r="E32" s="202">
        <v>400</v>
      </c>
    </row>
    <row r="33" spans="2:10">
      <c r="B33" s="241" t="s">
        <v>742</v>
      </c>
      <c r="C33" s="387">
        <v>2097</v>
      </c>
      <c r="D33" s="387">
        <v>2100</v>
      </c>
      <c r="E33" s="202">
        <v>2800</v>
      </c>
    </row>
    <row r="34" spans="2:10">
      <c r="B34" s="241" t="s">
        <v>743</v>
      </c>
      <c r="C34" s="387">
        <v>4938</v>
      </c>
      <c r="D34" s="387">
        <v>5000</v>
      </c>
      <c r="E34" s="202">
        <v>5000</v>
      </c>
    </row>
    <row r="35" spans="2:10">
      <c r="B35" s="241" t="s">
        <v>744</v>
      </c>
      <c r="C35" s="387">
        <v>398</v>
      </c>
      <c r="D35" s="387">
        <v>300</v>
      </c>
      <c r="E35" s="202">
        <v>750</v>
      </c>
    </row>
    <row r="36" spans="2:10">
      <c r="B36" s="241" t="s">
        <v>745</v>
      </c>
      <c r="C36" s="387">
        <v>3185</v>
      </c>
      <c r="D36" s="387">
        <v>950</v>
      </c>
      <c r="E36" s="202">
        <v>1000</v>
      </c>
    </row>
    <row r="37" spans="2:10">
      <c r="B37" s="241" t="s">
        <v>746</v>
      </c>
      <c r="C37" s="387">
        <v>4588</v>
      </c>
      <c r="D37" s="387">
        <v>2750</v>
      </c>
      <c r="E37" s="202">
        <v>4000</v>
      </c>
    </row>
    <row r="38" spans="2:10">
      <c r="B38" s="241" t="s">
        <v>747</v>
      </c>
      <c r="C38" s="387">
        <v>3615</v>
      </c>
      <c r="D38" s="387">
        <v>9000</v>
      </c>
      <c r="E38" s="202">
        <v>5000</v>
      </c>
    </row>
    <row r="39" spans="2:10">
      <c r="B39" s="241" t="s">
        <v>736</v>
      </c>
      <c r="C39" s="387">
        <v>26143</v>
      </c>
      <c r="D39" s="387">
        <v>8200</v>
      </c>
      <c r="E39" s="202">
        <v>29337</v>
      </c>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3" t="str">
        <f>CONCATENATE("Projected Carryover Into ",F3+1,"")</f>
        <v>Projected Carryover Into 2014</v>
      </c>
      <c r="H43" s="624"/>
      <c r="I43" s="624"/>
      <c r="J43" s="625"/>
    </row>
    <row r="44" spans="2:10">
      <c r="B44" s="241"/>
      <c r="C44" s="387"/>
      <c r="D44" s="387"/>
      <c r="E44" s="202"/>
      <c r="G44" s="550"/>
      <c r="H44" s="535"/>
      <c r="I44" s="535"/>
      <c r="J44" s="534"/>
    </row>
    <row r="45" spans="2:10">
      <c r="B45" s="241"/>
      <c r="C45" s="387"/>
      <c r="D45" s="387"/>
      <c r="E45" s="202"/>
      <c r="G45" s="544">
        <f>D51</f>
        <v>12020</v>
      </c>
      <c r="H45" s="543" t="str">
        <f>CONCATENATE("",F3-1," Ending Cash Balance (est.)")</f>
        <v>2012 Ending Cash Balance (est.)</v>
      </c>
      <c r="I45" s="533"/>
      <c r="J45" s="534"/>
    </row>
    <row r="46" spans="2:10">
      <c r="B46" s="241"/>
      <c r="C46" s="387"/>
      <c r="D46" s="387"/>
      <c r="E46" s="202"/>
      <c r="G46" s="544">
        <f>E28</f>
        <v>5059</v>
      </c>
      <c r="H46" s="533" t="str">
        <f>CONCATENATE("",F3," Non-AV Receipts (est.)")</f>
        <v>2013 Non-AV Receipts (est.)</v>
      </c>
      <c r="I46" s="533"/>
      <c r="J46" s="534"/>
    </row>
    <row r="47" spans="2:10">
      <c r="B47" s="119" t="s">
        <v>218</v>
      </c>
      <c r="C47" s="387"/>
      <c r="D47" s="387"/>
      <c r="E47" s="207" t="str">
        <f>Nhood!E7</f>
        <v/>
      </c>
      <c r="G47" s="532">
        <f>E57</f>
        <v>31708</v>
      </c>
      <c r="H47" s="533" t="str">
        <f>CONCATENATE("",F3," Ad Valorem Tax (est.)")</f>
        <v>2013 Ad Valorem Tax (est.)</v>
      </c>
      <c r="I47" s="533"/>
      <c r="J47" s="534"/>
    </row>
    <row r="48" spans="2:10">
      <c r="B48" s="119" t="s">
        <v>217</v>
      </c>
      <c r="C48" s="387"/>
      <c r="D48" s="387"/>
      <c r="E48" s="37"/>
      <c r="G48" s="544">
        <f>SUM(G45:G47)</f>
        <v>48787</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48460</v>
      </c>
      <c r="D50" s="389">
        <f>SUM(D31:D48)</f>
        <v>28850</v>
      </c>
      <c r="E50" s="247">
        <f>SUM(E31:E48)</f>
        <v>48787</v>
      </c>
      <c r="G50" s="532">
        <f>C50*0.05+C50</f>
        <v>50883</v>
      </c>
      <c r="H50" s="533" t="str">
        <f>CONCATENATE("Less ",F3-2," Expenditures + 5%")</f>
        <v>Less 2011 Expenditures + 5%</v>
      </c>
      <c r="I50" s="533"/>
      <c r="J50" s="534"/>
    </row>
    <row r="51" spans="2:10">
      <c r="B51" s="115" t="s">
        <v>125</v>
      </c>
      <c r="C51" s="390">
        <f>C29-C50</f>
        <v>4202</v>
      </c>
      <c r="D51" s="390">
        <f>D29-D50</f>
        <v>12020</v>
      </c>
      <c r="E51" s="128" t="s">
        <v>28</v>
      </c>
      <c r="G51" s="530">
        <f>G48-G50</f>
        <v>-2096</v>
      </c>
      <c r="H51" s="529" t="str">
        <f>CONCATENATE("Projected ",F3+1," Carryover (est.)")</f>
        <v>Projected 2014 Carryover (est.)</v>
      </c>
      <c r="I51" s="515"/>
      <c r="J51" s="528"/>
    </row>
    <row r="52" spans="2:10">
      <c r="B52" s="138" t="str">
        <f>CONCATENATE("",F3-2,"/",F3-1," Budget Authority Amount:")</f>
        <v>2011/2012 Budget Authority Amount:</v>
      </c>
      <c r="C52" s="116">
        <f>inputOth!B42</f>
        <v>45000</v>
      </c>
      <c r="D52" s="415">
        <f>inputPrYr!D19</f>
        <v>39600</v>
      </c>
      <c r="E52" s="128" t="s">
        <v>28</v>
      </c>
      <c r="F52" s="248"/>
      <c r="G52" s="16"/>
      <c r="H52" s="16"/>
      <c r="I52" s="16"/>
      <c r="J52" s="16"/>
    </row>
    <row r="53" spans="2:10">
      <c r="B53" s="138"/>
      <c r="C53" s="619" t="s">
        <v>673</v>
      </c>
      <c r="D53" s="620"/>
      <c r="E53" s="37"/>
      <c r="F53" s="248" t="str">
        <f>IF(E50/0.95-E50&lt;E53,"Exceeds 5%","")</f>
        <v/>
      </c>
      <c r="G53" s="527">
        <f>IF(inputOth!E7=0,"",ROUND(gen!E57/inputOth!E7*1000,3))</f>
        <v>4.9029999999999996</v>
      </c>
      <c r="H53" s="526" t="str">
        <f>CONCATENATE("Projected ",F3-1," Mill Rate (est.)")</f>
        <v>Projected 2012 Mill Rate (est.)</v>
      </c>
      <c r="I53" s="525"/>
      <c r="J53" s="524"/>
    </row>
    <row r="54" spans="2:10">
      <c r="B54" s="413" t="str">
        <f>CONCATENATE(C70,"     ",D70)</f>
        <v xml:space="preserve">See Tab A     </v>
      </c>
      <c r="C54" s="621" t="s">
        <v>674</v>
      </c>
      <c r="D54" s="622"/>
      <c r="E54" s="47">
        <f>E50+E53</f>
        <v>48787</v>
      </c>
      <c r="G54" s="523"/>
      <c r="H54" s="523"/>
      <c r="I54" s="523"/>
      <c r="J54" s="523"/>
    </row>
    <row r="55" spans="2:10">
      <c r="B55" s="413" t="str">
        <f>CONCATENATE(C71,"     ",D71)</f>
        <v xml:space="preserve">     </v>
      </c>
      <c r="C55" s="549"/>
      <c r="D55" s="548" t="s">
        <v>675</v>
      </c>
      <c r="E55" s="44">
        <f>IF(E54-E29&gt;0,E54-E29,0)</f>
        <v>31708</v>
      </c>
      <c r="G55" s="623" t="str">
        <f>CONCATENATE("Desired Carryover Into ",F3+1,"")</f>
        <v>Desired Carryover Into 2014</v>
      </c>
      <c r="H55" s="626"/>
      <c r="I55" s="626"/>
      <c r="J55" s="625"/>
    </row>
    <row r="56" spans="2:10">
      <c r="B56" s="158"/>
      <c r="C56" s="546" t="s">
        <v>676</v>
      </c>
      <c r="D56" s="547">
        <f>inputOth!$E$36</f>
        <v>0</v>
      </c>
      <c r="E56" s="47">
        <f>ROUND(IF(D56&gt;0,(E55*D56),0),0)</f>
        <v>0</v>
      </c>
      <c r="G56" s="522"/>
      <c r="H56" s="535"/>
      <c r="I56" s="533"/>
      <c r="J56" s="521"/>
    </row>
    <row r="57" spans="2:10">
      <c r="B57" s="18"/>
      <c r="C57" s="617" t="str">
        <f>CONCATENATE("Amount of  ",$F$3-1," Ad Valorem Tax")</f>
        <v>Amount of  2012 Ad Valorem Tax</v>
      </c>
      <c r="D57" s="618"/>
      <c r="E57" s="44">
        <f>E55+E56</f>
        <v>31708</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See Tab A</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Ohio/Princeton Fire</v>
      </c>
      <c r="C1" s="18"/>
      <c r="D1" s="18"/>
      <c r="E1" s="250">
        <f>inputPrYr!$D$6</f>
        <v>2013</v>
      </c>
    </row>
    <row r="2" spans="2:5">
      <c r="B2" s="18"/>
      <c r="C2" s="18"/>
      <c r="D2" s="18"/>
      <c r="E2" s="158"/>
    </row>
    <row r="3" spans="2:5">
      <c r="B3" s="545"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2"/>
      <c r="C16" s="387"/>
      <c r="D16" s="387"/>
      <c r="E16" s="541"/>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7" t="str">
        <f>CONCATENATE("Projected Carryover Into ",E1+1,"")</f>
        <v>Projected Carryover Into 2014</v>
      </c>
      <c r="H52" s="628"/>
      <c r="I52" s="629"/>
    </row>
    <row r="53" spans="2:9">
      <c r="B53" s="119" t="s">
        <v>570</v>
      </c>
      <c r="C53" s="388" t="str">
        <f>IF(C54*0.1&lt;C52,"Exceed 10% Rule","")</f>
        <v/>
      </c>
      <c r="D53" s="388" t="str">
        <f>IF(D54*0.1&lt;D52,"Exceed 10% Rule","")</f>
        <v/>
      </c>
      <c r="E53" s="414" t="str">
        <f>IF(E54*0.1&lt;E52,"Exceed 10% Rule","")</f>
        <v/>
      </c>
      <c r="G53" s="550"/>
      <c r="H53" s="535"/>
      <c r="I53" s="534"/>
    </row>
    <row r="54" spans="2:9">
      <c r="B54" s="246" t="s">
        <v>42</v>
      </c>
      <c r="C54" s="397">
        <f>SUM(C33:C52)</f>
        <v>0</v>
      </c>
      <c r="D54" s="397">
        <f>SUM(D33:D52)</f>
        <v>0</v>
      </c>
      <c r="E54" s="263">
        <f>SUM(E33:E52)</f>
        <v>0</v>
      </c>
      <c r="G54" s="544">
        <f>D54</f>
        <v>0</v>
      </c>
      <c r="H54" s="554" t="str">
        <f>CONCATENATE("",E1-1," Ending Cash Balance (est.)")</f>
        <v>2012 Ending Cash Balance (est.)</v>
      </c>
      <c r="I54" s="534"/>
    </row>
    <row r="55" spans="2:9">
      <c r="B55" s="109" t="s">
        <v>125</v>
      </c>
      <c r="C55" s="395">
        <f>C31-C54</f>
        <v>0</v>
      </c>
      <c r="D55" s="395">
        <f>D31-D54</f>
        <v>0</v>
      </c>
      <c r="E55" s="256" t="s">
        <v>28</v>
      </c>
      <c r="G55" s="544">
        <f>E30</f>
        <v>0</v>
      </c>
      <c r="H55" s="555"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5" t="str">
        <f>CONCATENATE("",E1," Ad Valorem Tax (est.)")</f>
        <v>2013 Ad Valorem Tax (est.)</v>
      </c>
      <c r="I56" s="534"/>
    </row>
    <row r="57" spans="2:9">
      <c r="B57" s="138"/>
      <c r="C57" s="619" t="s">
        <v>673</v>
      </c>
      <c r="D57" s="620"/>
      <c r="E57" s="37"/>
      <c r="F57" s="266" t="str">
        <f>IF(E54/0.95-E54&lt;E57,"Exceeds 5%","")</f>
        <v/>
      </c>
      <c r="G57" s="544">
        <f>SUM(G54:G56)</f>
        <v>0</v>
      </c>
      <c r="H57" s="555" t="str">
        <f>CONCATENATE("Total ",E1," Resources Available")</f>
        <v>Total 2013 Resources Available</v>
      </c>
      <c r="I57" s="534"/>
    </row>
    <row r="58" spans="2:9">
      <c r="B58" s="413" t="str">
        <f>CONCATENATE(C69,"     ",D69)</f>
        <v xml:space="preserve">     </v>
      </c>
      <c r="C58" s="621" t="s">
        <v>674</v>
      </c>
      <c r="D58" s="622"/>
      <c r="E58" s="47">
        <f>E54+E57</f>
        <v>0</v>
      </c>
      <c r="G58" s="531"/>
      <c r="H58" s="555"/>
      <c r="I58" s="534"/>
    </row>
    <row r="59" spans="2:9">
      <c r="B59" s="413" t="str">
        <f>CONCATENATE(C70,"     ",D70)</f>
        <v xml:space="preserve">     </v>
      </c>
      <c r="C59" s="551"/>
      <c r="D59" s="548" t="s">
        <v>675</v>
      </c>
      <c r="E59" s="44">
        <f>IF(E58-E31&gt;0,E58-E31,0)</f>
        <v>0</v>
      </c>
      <c r="G59" s="532">
        <f>C54</f>
        <v>0</v>
      </c>
      <c r="H59" s="555" t="str">
        <f>CONCATENATE("Less ",E1-2," Expenditures")</f>
        <v>Less 2011 Expenditures</v>
      </c>
      <c r="I59" s="534"/>
    </row>
    <row r="60" spans="2:9">
      <c r="B60" s="158"/>
      <c r="C60" s="546" t="s">
        <v>676</v>
      </c>
      <c r="D60" s="547">
        <f>inputOth!$E$36</f>
        <v>0</v>
      </c>
      <c r="E60" s="47">
        <f>ROUND(IF(D60&gt;0,(E59*D60),0),0)</f>
        <v>0</v>
      </c>
      <c r="G60" s="569">
        <f>G57-G59</f>
        <v>0</v>
      </c>
      <c r="H60" s="556" t="str">
        <f>CONCATENATE("Projected ",E1+1," carryover (est.)")</f>
        <v>Projected 2014 carryover (est.)</v>
      </c>
      <c r="I60" s="528"/>
    </row>
    <row r="61" spans="2:9">
      <c r="B61" s="18"/>
      <c r="C61" s="617" t="str">
        <f>CONCATENATE("Amount of  ",$E$1-1," Ad Valorem Tax")</f>
        <v>Amount of  2012 Ad Valorem Tax</v>
      </c>
      <c r="D61" s="618"/>
      <c r="E61" s="44">
        <f>E59+E60</f>
        <v>0</v>
      </c>
    </row>
    <row r="62" spans="2:9">
      <c r="B62" s="158"/>
      <c r="C62" s="18"/>
      <c r="D62" s="18"/>
      <c r="E62" s="18"/>
      <c r="G62" s="570">
        <f>IF(inputOth!E7&gt;0,ROUND(DebtService!E61/inputOth!E7*1000,3),0)</f>
        <v>0</v>
      </c>
      <c r="H62" s="571" t="str">
        <f>CONCATENATE("",E1," Mill Rate")</f>
        <v>2013 Mill Rate</v>
      </c>
      <c r="I62" s="572"/>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Ohio/Princeton Fire</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9" t="s">
        <v>673</v>
      </c>
      <c r="D36" s="620"/>
      <c r="E36" s="37"/>
      <c r="F36" s="248" t="str">
        <f>IF(E33/0.95-E33&lt;E36,"Exceeds 5%","")</f>
        <v/>
      </c>
    </row>
    <row r="37" spans="2:6">
      <c r="B37" s="413" t="str">
        <f>CONCATENATE(C87,"     ",D87)</f>
        <v xml:space="preserve">     </v>
      </c>
      <c r="C37" s="621" t="s">
        <v>674</v>
      </c>
      <c r="D37" s="622"/>
      <c r="E37" s="47">
        <f>E33+E36</f>
        <v>0</v>
      </c>
    </row>
    <row r="38" spans="2:6">
      <c r="B38" s="413" t="str">
        <f>CONCATENATE(C88,"     ",D88)</f>
        <v xml:space="preserve">     </v>
      </c>
      <c r="C38" s="553"/>
      <c r="D38" s="548" t="s">
        <v>675</v>
      </c>
      <c r="E38" s="44">
        <f>IF(E37-E22&gt;0,E37-E22,0)</f>
        <v>0</v>
      </c>
    </row>
    <row r="39" spans="2:6">
      <c r="B39" s="158"/>
      <c r="C39" s="546" t="s">
        <v>676</v>
      </c>
      <c r="D39" s="547">
        <f>inputOth!$E$36</f>
        <v>0</v>
      </c>
      <c r="E39" s="47">
        <f>ROUND(IF(D39&gt;0,(E38*D39),0),0)</f>
        <v>0</v>
      </c>
    </row>
    <row r="40" spans="2:6">
      <c r="B40" s="18"/>
      <c r="C40" s="617" t="str">
        <f>CONCATENATE("Amount of  ",$F$3-1," Ad Valorem Tax")</f>
        <v>Amount of  2012 Ad Valorem Tax</v>
      </c>
      <c r="D40" s="618"/>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9" t="s">
        <v>673</v>
      </c>
      <c r="D74" s="620"/>
      <c r="E74" s="37"/>
      <c r="F74" s="248" t="str">
        <f>IF(E71/0.95-E71&lt;E74,"Exceeds 5%","")</f>
        <v/>
      </c>
    </row>
    <row r="75" spans="2:6">
      <c r="B75" s="413" t="str">
        <f>CONCATENATE(C89,"     ",D89)</f>
        <v xml:space="preserve">     </v>
      </c>
      <c r="C75" s="621" t="s">
        <v>674</v>
      </c>
      <c r="D75" s="622"/>
      <c r="E75" s="47">
        <f>E71+E74</f>
        <v>0</v>
      </c>
    </row>
    <row r="76" spans="2:6">
      <c r="B76" s="413" t="str">
        <f>CONCATENATE(C90,"     ",D90)</f>
        <v xml:space="preserve">     </v>
      </c>
      <c r="C76" s="552"/>
      <c r="D76" s="548" t="s">
        <v>675</v>
      </c>
      <c r="E76" s="44">
        <f>IF(E75-E60&gt;0,E75-E60,0)</f>
        <v>0</v>
      </c>
    </row>
    <row r="77" spans="2:6">
      <c r="B77" s="158"/>
      <c r="C77" s="546" t="s">
        <v>676</v>
      </c>
      <c r="D77" s="547">
        <f>inputOth!$E$36</f>
        <v>0</v>
      </c>
      <c r="E77" s="47">
        <f>ROUND(IF(D77&gt;0,(E76*D77),0),0)</f>
        <v>0</v>
      </c>
    </row>
    <row r="78" spans="2:6">
      <c r="B78" s="18"/>
      <c r="C78" s="617" t="str">
        <f>CONCATENATE("Amount of  ",$F$3-1," Ad Valorem Tax")</f>
        <v>Amount of  2012 Ad Valorem Tax</v>
      </c>
      <c r="D78" s="618"/>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Ohio/Princeton Fire</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B8" sqref="B8"/>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Ohio/Princeton Fire</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30" t="str">
        <f>inputPrYr!B30</f>
        <v>Equipment Fund</v>
      </c>
      <c r="B5" s="631"/>
      <c r="C5" s="630">
        <f>inputPrYr!B31</f>
        <v>0</v>
      </c>
      <c r="D5" s="631"/>
      <c r="E5" s="630">
        <f>inputPrYr!B32</f>
        <v>0</v>
      </c>
      <c r="F5" s="631"/>
      <c r="G5" s="630">
        <f>inputPrYr!B33</f>
        <v>0</v>
      </c>
      <c r="H5" s="631"/>
      <c r="I5" s="630">
        <f>inputPrYr!B34</f>
        <v>0</v>
      </c>
      <c r="J5" s="631"/>
      <c r="K5" s="274"/>
    </row>
    <row r="6" spans="1:11">
      <c r="A6" s="275" t="s">
        <v>238</v>
      </c>
      <c r="B6" s="276"/>
      <c r="C6" s="277" t="s">
        <v>238</v>
      </c>
      <c r="D6" s="278"/>
      <c r="E6" s="277" t="s">
        <v>238</v>
      </c>
      <c r="F6" s="279"/>
      <c r="G6" s="277" t="s">
        <v>238</v>
      </c>
      <c r="H6" s="273"/>
      <c r="I6" s="277" t="s">
        <v>238</v>
      </c>
      <c r="J6" s="56"/>
      <c r="K6" s="280" t="s">
        <v>13</v>
      </c>
    </row>
    <row r="7" spans="1:11">
      <c r="A7" s="281" t="s">
        <v>239</v>
      </c>
      <c r="B7" s="282">
        <v>26000</v>
      </c>
      <c r="C7" s="283" t="s">
        <v>239</v>
      </c>
      <c r="D7" s="282"/>
      <c r="E7" s="283" t="s">
        <v>239</v>
      </c>
      <c r="F7" s="282"/>
      <c r="G7" s="283" t="s">
        <v>239</v>
      </c>
      <c r="H7" s="282"/>
      <c r="I7" s="283" t="s">
        <v>239</v>
      </c>
      <c r="J7" s="282"/>
      <c r="K7" s="284">
        <f>SUM(B7+D7+F7+H7+J7)</f>
        <v>26000</v>
      </c>
    </row>
    <row r="8" spans="1:11">
      <c r="A8" s="285" t="s">
        <v>126</v>
      </c>
      <c r="B8" s="286"/>
      <c r="C8" s="285" t="s">
        <v>126</v>
      </c>
      <c r="D8" s="287"/>
      <c r="E8" s="285" t="s">
        <v>126</v>
      </c>
      <c r="F8" s="270"/>
      <c r="G8" s="285" t="s">
        <v>126</v>
      </c>
      <c r="H8" s="56"/>
      <c r="I8" s="285" t="s">
        <v>126</v>
      </c>
      <c r="J8" s="56"/>
      <c r="K8" s="270"/>
    </row>
    <row r="9" spans="1:11">
      <c r="A9" s="288" t="s">
        <v>748</v>
      </c>
      <c r="B9" s="282">
        <v>26143</v>
      </c>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26143</v>
      </c>
      <c r="C17" s="285" t="s">
        <v>39</v>
      </c>
      <c r="D17" s="284">
        <f>SUM(D9:D16)</f>
        <v>0</v>
      </c>
      <c r="E17" s="285" t="s">
        <v>39</v>
      </c>
      <c r="F17" s="298">
        <f>SUM(F9:F16)</f>
        <v>0</v>
      </c>
      <c r="G17" s="285" t="s">
        <v>39</v>
      </c>
      <c r="H17" s="284">
        <f>SUM(H9:H16)</f>
        <v>0</v>
      </c>
      <c r="I17" s="285" t="s">
        <v>39</v>
      </c>
      <c r="J17" s="284">
        <f>SUM(J9:J16)</f>
        <v>0</v>
      </c>
      <c r="K17" s="284">
        <f>SUM(B17+D17+F17+H17+J17)</f>
        <v>26143</v>
      </c>
    </row>
    <row r="18" spans="1:12">
      <c r="A18" s="285" t="s">
        <v>40</v>
      </c>
      <c r="B18" s="284">
        <f>SUM(B7+B17)</f>
        <v>52143</v>
      </c>
      <c r="C18" s="285" t="s">
        <v>40</v>
      </c>
      <c r="D18" s="284">
        <f>SUM(D7+D17)</f>
        <v>0</v>
      </c>
      <c r="E18" s="285" t="s">
        <v>40</v>
      </c>
      <c r="F18" s="284">
        <f>SUM(F7+F17)</f>
        <v>0</v>
      </c>
      <c r="G18" s="285" t="s">
        <v>40</v>
      </c>
      <c r="H18" s="284">
        <f>SUM(H7+H17)</f>
        <v>0</v>
      </c>
      <c r="I18" s="285" t="s">
        <v>40</v>
      </c>
      <c r="J18" s="284">
        <f>SUM(J7+J17)</f>
        <v>0</v>
      </c>
      <c r="K18" s="284">
        <f>SUM(B18+D18+F18+H18+J18)</f>
        <v>52143</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52143</v>
      </c>
      <c r="C29" s="285" t="s">
        <v>240</v>
      </c>
      <c r="D29" s="284">
        <f>SUM(D18-D28)</f>
        <v>0</v>
      </c>
      <c r="E29" s="285" t="s">
        <v>240</v>
      </c>
      <c r="F29" s="284">
        <f>SUM(F18-F28)</f>
        <v>0</v>
      </c>
      <c r="G29" s="285" t="s">
        <v>240</v>
      </c>
      <c r="H29" s="284">
        <f>SUM(H18-H28)</f>
        <v>0</v>
      </c>
      <c r="I29" s="285" t="s">
        <v>240</v>
      </c>
      <c r="J29" s="284">
        <f>SUM(J18-J28)</f>
        <v>0</v>
      </c>
      <c r="K29" s="299">
        <f>SUM(B29+D29+F29+H29+J29)</f>
        <v>52143</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52143</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8"/>
  <sheetViews>
    <sheetView workbookViewId="0">
      <selection activeCell="D23" sqref="D23"/>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82" t="s">
        <v>82</v>
      </c>
      <c r="B1" s="582"/>
      <c r="C1" s="582"/>
      <c r="D1" s="582"/>
      <c r="E1" s="582"/>
      <c r="F1" s="582"/>
      <c r="G1" s="582"/>
      <c r="H1" s="639"/>
    </row>
    <row r="2" spans="1:13">
      <c r="A2" s="18"/>
      <c r="B2" s="18"/>
      <c r="C2" s="18"/>
      <c r="D2" s="18"/>
      <c r="E2" s="18"/>
      <c r="F2" s="18"/>
      <c r="G2" s="18"/>
      <c r="H2" s="18"/>
    </row>
    <row r="3" spans="1:13">
      <c r="A3" s="611" t="s">
        <v>109</v>
      </c>
      <c r="B3" s="611"/>
      <c r="C3" s="611"/>
      <c r="D3" s="611"/>
      <c r="E3" s="611"/>
      <c r="F3" s="611"/>
      <c r="G3" s="611"/>
      <c r="H3" s="611"/>
      <c r="I3" s="54">
        <f>inputPrYr!D6</f>
        <v>2013</v>
      </c>
    </row>
    <row r="4" spans="1:13">
      <c r="A4" s="580" t="str">
        <f>inputPrYr!D3</f>
        <v>Ohio/Princeton Fire</v>
      </c>
      <c r="B4" s="580"/>
      <c r="C4" s="580"/>
      <c r="D4" s="580"/>
      <c r="E4" s="580"/>
      <c r="F4" s="580"/>
      <c r="G4" s="580"/>
      <c r="H4" s="580"/>
    </row>
    <row r="5" spans="1:13">
      <c r="A5" s="642" t="str">
        <f>inputPrYr!D4</f>
        <v>Franklin County</v>
      </c>
      <c r="B5" s="642"/>
      <c r="C5" s="642"/>
      <c r="D5" s="642"/>
      <c r="E5" s="642"/>
      <c r="F5" s="642"/>
      <c r="G5" s="642"/>
      <c r="H5" s="642"/>
    </row>
    <row r="6" spans="1:13">
      <c r="A6" s="643" t="str">
        <f>CONCATENATE("will meet on ",inputBudSum!B5," at ",inputBudSum!B7," at ",inputBudSum!B9," for the purpose of hearing and")</f>
        <v>will meet on August 7, 2012 at 6:30 p.m. at Princeton Fire Station for the purpose of hearing and</v>
      </c>
      <c r="B6" s="643"/>
      <c r="C6" s="643"/>
      <c r="D6" s="643"/>
      <c r="E6" s="643"/>
      <c r="F6" s="643"/>
      <c r="G6" s="643"/>
      <c r="H6" s="643"/>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32" t="str">
        <f>CONCATENATE("Estimated Value Of One Mill For ",I3,"")</f>
        <v>Estimated Value Of One Mill For 2013</v>
      </c>
      <c r="K12" s="633"/>
      <c r="L12" s="633"/>
      <c r="M12" s="634"/>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7"/>
      <c r="K13" s="558"/>
      <c r="L13" s="558"/>
      <c r="M13" s="559"/>
    </row>
    <row r="14" spans="1:13">
      <c r="A14" s="223"/>
      <c r="B14" s="101"/>
      <c r="C14" s="309" t="s">
        <v>51</v>
      </c>
      <c r="D14" s="101"/>
      <c r="E14" s="309" t="s">
        <v>51</v>
      </c>
      <c r="F14" s="223" t="s">
        <v>211</v>
      </c>
      <c r="G14" s="640" t="str">
        <f>CONCATENATE("Amount of ",I3-1," Ad Valorem Tax")</f>
        <v>Amount of 2012 Ad Valorem Tax</v>
      </c>
      <c r="H14" s="309" t="s">
        <v>574</v>
      </c>
      <c r="J14" s="560" t="s">
        <v>679</v>
      </c>
      <c r="K14" s="561"/>
      <c r="L14" s="561"/>
      <c r="M14" s="562">
        <f>ROUND(F22/1000,0)</f>
        <v>6466</v>
      </c>
    </row>
    <row r="15" spans="1:13">
      <c r="A15" s="172" t="s">
        <v>52</v>
      </c>
      <c r="B15" s="110" t="s">
        <v>53</v>
      </c>
      <c r="C15" s="310" t="s">
        <v>193</v>
      </c>
      <c r="D15" s="110" t="s">
        <v>53</v>
      </c>
      <c r="E15" s="310" t="s">
        <v>193</v>
      </c>
      <c r="F15" s="110" t="s">
        <v>569</v>
      </c>
      <c r="G15" s="641"/>
      <c r="H15" s="310" t="s">
        <v>193</v>
      </c>
      <c r="J15" s="16"/>
      <c r="K15" s="16"/>
      <c r="L15" s="16"/>
      <c r="M15" s="16"/>
    </row>
    <row r="16" spans="1:13">
      <c r="A16" s="38" t="str">
        <f>inputPrYr!B19</f>
        <v>General</v>
      </c>
      <c r="B16" s="121">
        <f>IF(gen!$C$50&lt;&gt;0,gen!$C$50,"  ")</f>
        <v>48460</v>
      </c>
      <c r="C16" s="118">
        <f>IF(inputPrYr!D38&gt;0,inputPrYr!D38,"  ")</f>
        <v>4.9859999999999998</v>
      </c>
      <c r="D16" s="121">
        <f>IF(gen!$D$50&lt;&gt;0,gen!$D$50,"  ")</f>
        <v>28850</v>
      </c>
      <c r="E16" s="118">
        <f>IF(inputOth!D16&gt;0,inputOth!D16,"  ")</f>
        <v>5</v>
      </c>
      <c r="F16" s="121">
        <f>IF(gen!$E$50&lt;&gt;0,gen!$E$50,"  ")</f>
        <v>48787</v>
      </c>
      <c r="G16" s="121">
        <f>IF(gen!$E$57&lt;&gt;0,gen!$E$57,"  ")</f>
        <v>31708</v>
      </c>
      <c r="H16" s="118">
        <f>IF(gen!E57&gt;0,ROUND(G16/$F$22*1000,3)," ")</f>
        <v>4.9029999999999996</v>
      </c>
      <c r="J16" s="632" t="str">
        <f>CONCATENATE("Want The Mill Rate The Same As For ",I3-1,"?")</f>
        <v>Want The Mill Rate The Same As For 2012?</v>
      </c>
      <c r="K16" s="635"/>
      <c r="L16" s="635"/>
      <c r="M16" s="636"/>
    </row>
    <row r="17" spans="1:13" ht="16.5" thickBot="1">
      <c r="A17" s="122" t="str">
        <f>IF((inputPrYr!$B$30&gt;" "),(NonBud!$A$3),"")</f>
        <v>Non-Budgeted Funds</v>
      </c>
      <c r="B17" s="538" t="str">
        <f>IF(NonBud!K28&gt;0,NonBud!K28,"")</f>
        <v/>
      </c>
      <c r="C17" s="537"/>
      <c r="D17" s="538"/>
      <c r="E17" s="537"/>
      <c r="F17" s="538"/>
      <c r="G17" s="538"/>
      <c r="H17" s="537"/>
      <c r="J17" s="565"/>
      <c r="K17" s="565"/>
      <c r="L17" s="565"/>
      <c r="M17" s="565"/>
    </row>
    <row r="18" spans="1:13">
      <c r="A18" s="35" t="s">
        <v>133</v>
      </c>
      <c r="B18" s="314">
        <f>SUM(B16:B17)</f>
        <v>48460</v>
      </c>
      <c r="C18" s="539">
        <f t="shared" ref="C18:H18" si="0">SUM(C16:C16)</f>
        <v>4.9859999999999998</v>
      </c>
      <c r="D18" s="314">
        <f t="shared" si="0"/>
        <v>28850</v>
      </c>
      <c r="E18" s="539">
        <f t="shared" si="0"/>
        <v>5</v>
      </c>
      <c r="F18" s="314">
        <f t="shared" si="0"/>
        <v>48787</v>
      </c>
      <c r="G18" s="314">
        <f t="shared" si="0"/>
        <v>31708</v>
      </c>
      <c r="H18" s="539">
        <f t="shared" si="0"/>
        <v>4.9029999999999996</v>
      </c>
      <c r="J18" s="632" t="str">
        <f>CONCATENATE("Impact On Keeping The Same Mill Rate As For ",I3-1,"")</f>
        <v>Impact On Keeping The Same Mill Rate As For 2012</v>
      </c>
      <c r="K18" s="637"/>
      <c r="L18" s="637"/>
      <c r="M18" s="638"/>
    </row>
    <row r="19" spans="1:13">
      <c r="A19" s="35" t="s">
        <v>163</v>
      </c>
      <c r="B19" s="207">
        <f>transfers!C26</f>
        <v>0</v>
      </c>
      <c r="C19" s="126"/>
      <c r="D19" s="207">
        <f>transfers!D26</f>
        <v>0</v>
      </c>
      <c r="E19" s="126"/>
      <c r="F19" s="311">
        <f>transfers!E26</f>
        <v>0</v>
      </c>
      <c r="G19" s="253"/>
      <c r="H19" s="312"/>
      <c r="J19" s="563"/>
      <c r="K19" s="558"/>
      <c r="L19" s="558"/>
      <c r="M19" s="564"/>
    </row>
    <row r="20" spans="1:13" ht="16.5" thickBot="1">
      <c r="A20" s="35" t="s">
        <v>164</v>
      </c>
      <c r="B20" s="129">
        <f>SUM(B18-B19)</f>
        <v>48460</v>
      </c>
      <c r="C20" s="313"/>
      <c r="D20" s="129">
        <f>SUM(D18-D19)</f>
        <v>28850</v>
      </c>
      <c r="E20" s="313"/>
      <c r="F20" s="536">
        <f>SUM(F18-F19)</f>
        <v>48787</v>
      </c>
      <c r="G20" s="253"/>
      <c r="H20" s="312"/>
      <c r="J20" s="563" t="str">
        <f>CONCATENATE("",I3," Ad Valorem Tax Revenue:")</f>
        <v>2013 Ad Valorem Tax Revenue:</v>
      </c>
      <c r="K20" s="558"/>
      <c r="L20" s="558"/>
      <c r="M20" s="559">
        <f>G18</f>
        <v>31708</v>
      </c>
    </row>
    <row r="21" spans="1:13" ht="16.5" thickTop="1">
      <c r="A21" s="35" t="s">
        <v>54</v>
      </c>
      <c r="B21" s="314">
        <f>inputPrYr!E44</f>
        <v>31399</v>
      </c>
      <c r="C21" s="223"/>
      <c r="D21" s="314">
        <f>inputPrYr!E24</f>
        <v>31466</v>
      </c>
      <c r="E21" s="223"/>
      <c r="F21" s="315" t="s">
        <v>169</v>
      </c>
      <c r="G21" s="18"/>
      <c r="H21" s="18"/>
      <c r="J21" s="563" t="str">
        <f>CONCATENATE("",I3-1," Ad Valorem Tax Revenue:")</f>
        <v>2012 Ad Valorem Tax Revenue:</v>
      </c>
      <c r="K21" s="558"/>
      <c r="L21" s="558"/>
      <c r="M21" s="566" t="e">
        <f>ROUND(F22*#REF!/1000,0)</f>
        <v>#REF!</v>
      </c>
    </row>
    <row r="22" spans="1:13">
      <c r="A22" s="35" t="s">
        <v>165</v>
      </c>
      <c r="B22" s="207">
        <f>inputPrYr!E45</f>
        <v>6298493</v>
      </c>
      <c r="C22" s="223"/>
      <c r="D22" s="207">
        <f>inputOth!E24</f>
        <v>6293382</v>
      </c>
      <c r="E22" s="223"/>
      <c r="F22" s="207">
        <f>inputOth!E7</f>
        <v>6466448</v>
      </c>
      <c r="G22" s="18"/>
      <c r="H22" s="18"/>
      <c r="J22" s="567" t="s">
        <v>680</v>
      </c>
      <c r="K22" s="568"/>
      <c r="L22" s="568"/>
      <c r="M22" s="562" t="e">
        <f>M20-M21</f>
        <v>#REF!</v>
      </c>
    </row>
    <row r="23" spans="1:13">
      <c r="A23" s="268" t="s">
        <v>55</v>
      </c>
      <c r="B23" s="18"/>
      <c r="C23" s="18"/>
      <c r="D23" s="18"/>
      <c r="E23" s="234"/>
      <c r="F23" s="234"/>
      <c r="G23" s="18"/>
      <c r="H23" s="54"/>
    </row>
    <row r="24" spans="1:13">
      <c r="A24" s="56"/>
      <c r="B24" s="18"/>
      <c r="C24" s="18"/>
      <c r="D24" s="18"/>
      <c r="E24" s="18"/>
      <c r="F24" s="18"/>
      <c r="G24" s="18"/>
      <c r="H24" s="56"/>
    </row>
    <row r="25" spans="1:13">
      <c r="A25" s="607" t="s">
        <v>751</v>
      </c>
      <c r="B25" s="608"/>
      <c r="C25" s="95"/>
      <c r="D25" s="18"/>
      <c r="E25" s="18"/>
      <c r="F25" s="18"/>
      <c r="G25" s="18"/>
      <c r="H25" s="54"/>
    </row>
    <row r="26" spans="1:13">
      <c r="A26" s="304" t="s">
        <v>56</v>
      </c>
      <c r="B26" s="26"/>
      <c r="C26" s="18"/>
      <c r="D26" s="138" t="s">
        <v>44</v>
      </c>
      <c r="E26" s="540">
        <v>7</v>
      </c>
      <c r="F26" s="18"/>
      <c r="G26" s="18"/>
      <c r="H26" s="54"/>
    </row>
    <row r="28" spans="1:13">
      <c r="A28" s="16"/>
      <c r="B28" s="16"/>
      <c r="C28" s="16"/>
      <c r="D28" s="16"/>
      <c r="E28" s="16"/>
      <c r="F28" s="16"/>
      <c r="G28" s="16"/>
      <c r="H28"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row r="38" spans="1:8">
      <c r="A38" s="16"/>
      <c r="B38" s="16"/>
      <c r="C38" s="16"/>
      <c r="D38" s="16"/>
      <c r="E38" s="16"/>
      <c r="F38" s="16"/>
      <c r="G38" s="16"/>
      <c r="H38" s="16"/>
    </row>
  </sheetData>
  <sheetProtection sheet="1" objects="1" scenarios="1"/>
  <mergeCells count="10">
    <mergeCell ref="J12:M12"/>
    <mergeCell ref="J16:M16"/>
    <mergeCell ref="J18:M18"/>
    <mergeCell ref="A25:B25"/>
    <mergeCell ref="A1:H1"/>
    <mergeCell ref="G14:G15"/>
    <mergeCell ref="A3:H3"/>
    <mergeCell ref="A4:H4"/>
    <mergeCell ref="A5:H5"/>
    <mergeCell ref="A6:H6"/>
  </mergeCells>
  <phoneticPr fontId="0" type="noConversion"/>
  <pageMargins left="1" right="1" top="0.5" bottom="0.5" header="0.5" footer="0.5"/>
  <pageSetup scale="4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Ohio/Princeton Fire</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9" t="str">
        <f>CONCATENATE("",F1," Neighborhood Revitalization Rebate")</f>
        <v>2013 Neighborhood Revitalization Rebate</v>
      </c>
      <c r="C4" s="646"/>
      <c r="D4" s="646"/>
      <c r="E4" s="639"/>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7" t="str">
        <f>CONCATENATE("",F1-1," July 1 Valuation:")</f>
        <v>2012 July 1 Valuation:</v>
      </c>
      <c r="B16" s="645"/>
      <c r="C16" s="647"/>
      <c r="D16" s="324">
        <f>inputOth!E7</f>
        <v>6466448</v>
      </c>
      <c r="E16" s="18"/>
      <c r="F16" s="54"/>
    </row>
    <row r="17" spans="1:6" ht="15.75">
      <c r="A17" s="18"/>
      <c r="B17" s="18"/>
      <c r="C17" s="18"/>
      <c r="D17" s="18"/>
      <c r="E17" s="18"/>
      <c r="F17" s="54"/>
    </row>
    <row r="18" spans="1:6" ht="15.75">
      <c r="A18" s="18"/>
      <c r="B18" s="647" t="s">
        <v>318</v>
      </c>
      <c r="C18" s="647"/>
      <c r="D18" s="325">
        <f>IF(D16&gt;0,(D16*0.001),"")</f>
        <v>6466.4480000000003</v>
      </c>
      <c r="E18" s="18"/>
      <c r="F18" s="54"/>
    </row>
    <row r="19" spans="1:6" ht="15.75">
      <c r="A19" s="18"/>
      <c r="B19" s="138"/>
      <c r="C19" s="138"/>
      <c r="D19" s="326"/>
      <c r="E19" s="18"/>
      <c r="F19" s="54"/>
    </row>
    <row r="20" spans="1:6" ht="15.75">
      <c r="A20" s="644" t="s">
        <v>316</v>
      </c>
      <c r="B20" s="639"/>
      <c r="C20" s="639"/>
      <c r="D20" s="327">
        <f>inputOth!E12</f>
        <v>0</v>
      </c>
      <c r="E20" s="58"/>
      <c r="F20" s="58"/>
    </row>
    <row r="21" spans="1:6">
      <c r="A21" s="58"/>
      <c r="B21" s="58"/>
      <c r="C21" s="58"/>
      <c r="D21" s="328"/>
      <c r="E21" s="58"/>
      <c r="F21" s="58"/>
    </row>
    <row r="22" spans="1:6" ht="15.75">
      <c r="A22" s="58"/>
      <c r="B22" s="644" t="s">
        <v>317</v>
      </c>
      <c r="C22" s="645"/>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80" t="s">
        <v>7</v>
      </c>
      <c r="B1" s="581"/>
      <c r="C1" s="581"/>
      <c r="D1" s="581"/>
      <c r="E1" s="581"/>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82" t="s">
        <v>204</v>
      </c>
      <c r="B8" s="583"/>
      <c r="C8" s="583"/>
      <c r="D8" s="583"/>
      <c r="E8" s="583"/>
    </row>
    <row r="9" spans="1:5">
      <c r="A9" s="25" t="s">
        <v>77</v>
      </c>
      <c r="B9" s="26"/>
      <c r="C9" s="26"/>
      <c r="D9" s="26"/>
      <c r="E9" s="26"/>
    </row>
    <row r="10" spans="1:5">
      <c r="A10" s="584" t="s">
        <v>203</v>
      </c>
      <c r="B10" s="585"/>
      <c r="C10" s="585"/>
      <c r="D10" s="585"/>
      <c r="E10" s="585"/>
    </row>
    <row r="11" spans="1:5">
      <c r="A11" s="27"/>
      <c r="B11" s="18"/>
      <c r="C11" s="18"/>
      <c r="D11" s="18"/>
      <c r="E11" s="18"/>
    </row>
    <row r="12" spans="1:5">
      <c r="A12" s="578" t="s">
        <v>191</v>
      </c>
      <c r="B12" s="579"/>
      <c r="C12" s="579"/>
      <c r="D12" s="579"/>
      <c r="E12" s="579"/>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6" t="str">
        <f>CONCATENATE("Amount of ",D6-2,"     Ad Valorem Tax")</f>
        <v>Amount of 2011     Ad Valorem Tax</v>
      </c>
    </row>
    <row r="18" spans="1:5">
      <c r="A18" s="17" t="s">
        <v>8</v>
      </c>
      <c r="B18" s="18"/>
      <c r="C18" s="32" t="s">
        <v>9</v>
      </c>
      <c r="D18" s="34" t="s">
        <v>276</v>
      </c>
      <c r="E18" s="587"/>
    </row>
    <row r="19" spans="1:5">
      <c r="A19" s="18"/>
      <c r="B19" s="35" t="s">
        <v>10</v>
      </c>
      <c r="C19" s="426" t="s">
        <v>735</v>
      </c>
      <c r="D19" s="37">
        <v>39600</v>
      </c>
      <c r="E19" s="37">
        <v>31466</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31466</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39600</v>
      </c>
      <c r="E28" s="39"/>
    </row>
    <row r="29" spans="1:5">
      <c r="A29" s="18" t="s">
        <v>243</v>
      </c>
      <c r="B29" s="18"/>
      <c r="C29" s="18"/>
      <c r="D29" s="18"/>
      <c r="E29" s="39"/>
    </row>
    <row r="30" spans="1:5">
      <c r="A30" s="18">
        <v>1</v>
      </c>
      <c r="B30" s="48" t="s">
        <v>736</v>
      </c>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6" t="str">
        <f>CONCATENATE("",D6-3," Tax Rate          (",D6-2," Column)")</f>
        <v>2010 Tax Rate          (2011 Column)</v>
      </c>
      <c r="E36" s="39"/>
    </row>
    <row r="37" spans="1:5">
      <c r="A37" s="30" t="str">
        <f>CONCATENATE("the ",D6-1," Budget, Budget Summary Page:")</f>
        <v>the 2012 Budget, Budget Summary Page:</v>
      </c>
      <c r="B37" s="31"/>
      <c r="C37" s="18"/>
      <c r="D37" s="577"/>
      <c r="E37" s="39"/>
    </row>
    <row r="38" spans="1:5">
      <c r="A38" s="18"/>
      <c r="B38" s="38" t="str">
        <f>B19</f>
        <v>General</v>
      </c>
      <c r="C38" s="18"/>
      <c r="D38" s="49">
        <v>4.9859999999999998</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4.9859999999999998</v>
      </c>
      <c r="E42" s="39"/>
    </row>
    <row r="43" spans="1:5" ht="16.5" thickTop="1">
      <c r="A43" s="18"/>
      <c r="B43" s="18"/>
      <c r="C43" s="18"/>
      <c r="D43" s="18"/>
      <c r="E43" s="39"/>
    </row>
    <row r="44" spans="1:5">
      <c r="A44" s="51" t="str">
        <f>CONCATENATE("Total Tax Levied (",D6-2," budget column)")</f>
        <v>Total Tax Levied (2011 budget column)</v>
      </c>
      <c r="B44" s="29"/>
      <c r="C44" s="18"/>
      <c r="D44" s="18"/>
      <c r="E44" s="52">
        <v>31399</v>
      </c>
    </row>
    <row r="45" spans="1:5">
      <c r="A45" s="51" t="str">
        <f>CONCATENATE("Assessed Valuation (",D6-2," budget column)")</f>
        <v>Assessed Valuation (2011 budget column)</v>
      </c>
      <c r="B45" s="29"/>
      <c r="C45" s="18"/>
      <c r="D45" s="18"/>
      <c r="E45" s="53">
        <v>6298493</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8" t="s">
        <v>138</v>
      </c>
      <c r="C1" s="648"/>
      <c r="D1" s="648"/>
      <c r="E1" s="648"/>
      <c r="F1" s="648"/>
      <c r="G1" s="648"/>
      <c r="H1" s="648"/>
    </row>
    <row r="2" spans="2:10">
      <c r="B2" s="6"/>
      <c r="C2"/>
      <c r="D2"/>
      <c r="E2"/>
      <c r="F2"/>
      <c r="G2"/>
      <c r="H2"/>
    </row>
    <row r="3" spans="2:10">
      <c r="B3" s="649" t="s">
        <v>135</v>
      </c>
      <c r="C3" s="649"/>
      <c r="D3" s="649"/>
      <c r="E3" s="649"/>
      <c r="F3" s="649"/>
      <c r="G3" s="649"/>
      <c r="H3" s="649"/>
    </row>
    <row r="4" spans="2:10">
      <c r="B4" s="7"/>
      <c r="C4"/>
      <c r="D4"/>
      <c r="E4"/>
      <c r="F4"/>
      <c r="G4"/>
      <c r="H4"/>
    </row>
    <row r="5" spans="2:10">
      <c r="B5" s="654" t="str">
        <f>CONCATENATE("A resolution expressing the property taxation policy of the Board of ",(inputPrYr!D3)," District with respect to financing the ",inputPrYr!D6," annual budget for ", (inputPrYr!D3)," , ",(inputPrYr!D4)," , Kansas.")</f>
        <v>A resolution expressing the property taxation policy of the Board of Ohio/Princeton Fire District with respect to financing the 2013 annual budget for Ohio/Princeton Fire , Franklin County , Kansas.</v>
      </c>
      <c r="C5" s="655"/>
      <c r="D5" s="655"/>
      <c r="E5" s="655"/>
      <c r="F5" s="655"/>
      <c r="G5" s="655"/>
      <c r="H5" s="655"/>
    </row>
    <row r="6" spans="2:10">
      <c r="B6" s="655"/>
      <c r="C6" s="655"/>
      <c r="D6" s="655"/>
      <c r="E6" s="655"/>
      <c r="F6" s="655"/>
      <c r="G6" s="655"/>
      <c r="H6" s="655"/>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Ohio/Princeton Fire district budget exceed the amount levied to finance the</v>
      </c>
      <c r="C9"/>
      <c r="D9"/>
      <c r="E9"/>
      <c r="F9"/>
      <c r="G9"/>
      <c r="H9"/>
    </row>
    <row r="10" spans="2:10">
      <c r="B10" s="12" t="str">
        <f>CONCATENATE("",inputPrYr!D6-1," ",inputPrYr!D3," except with regard to revenue produced and attributable to the")</f>
        <v>2012 Ohio/Princeton Fire except with regard to revenue produced and attributable to the</v>
      </c>
      <c r="C10"/>
      <c r="D10"/>
      <c r="E10"/>
      <c r="F10"/>
      <c r="G10"/>
      <c r="H10"/>
    </row>
    <row r="11" spans="2:10">
      <c r="B11" s="650" t="s">
        <v>171</v>
      </c>
      <c r="C11" s="651"/>
      <c r="D11" s="651"/>
      <c r="E11" s="651"/>
      <c r="F11" s="651"/>
      <c r="G11" s="651"/>
      <c r="H11" s="651"/>
    </row>
    <row r="12" spans="2:10">
      <c r="B12" s="651"/>
      <c r="C12" s="651"/>
      <c r="D12" s="651"/>
      <c r="E12" s="651"/>
      <c r="F12" s="651"/>
      <c r="G12" s="651"/>
      <c r="H12" s="651"/>
    </row>
    <row r="13" spans="2:10">
      <c r="B13" s="651"/>
      <c r="C13" s="651"/>
      <c r="D13" s="651"/>
      <c r="E13" s="651"/>
      <c r="F13" s="651"/>
      <c r="G13" s="651"/>
      <c r="H13" s="651"/>
    </row>
    <row r="14" spans="2:10">
      <c r="B14" s="651"/>
      <c r="C14" s="651"/>
      <c r="D14" s="651"/>
      <c r="E14" s="651"/>
      <c r="F14" s="651"/>
      <c r="G14" s="651"/>
      <c r="H14" s="651"/>
    </row>
    <row r="15" spans="2:10">
      <c r="B15" s="1"/>
      <c r="C15" s="1"/>
      <c r="D15" s="1"/>
      <c r="E15" s="1"/>
      <c r="F15" s="1"/>
      <c r="G15" s="1"/>
      <c r="H15" s="1"/>
    </row>
    <row r="16" spans="2:10">
      <c r="B16" s="656" t="s">
        <v>147</v>
      </c>
      <c r="C16" s="657"/>
      <c r="D16" s="657"/>
      <c r="E16" s="657"/>
      <c r="F16" s="657"/>
      <c r="G16" s="657"/>
      <c r="H16" s="657"/>
    </row>
    <row r="17" spans="2:8">
      <c r="B17" s="657"/>
      <c r="C17" s="657"/>
      <c r="D17" s="657"/>
      <c r="E17" s="657"/>
      <c r="F17" s="657"/>
      <c r="G17" s="657"/>
      <c r="H17" s="657"/>
    </row>
    <row r="18" spans="2:8">
      <c r="B18" s="12"/>
      <c r="C18"/>
      <c r="D18"/>
      <c r="E18"/>
      <c r="F18"/>
      <c r="G18"/>
      <c r="H18"/>
    </row>
    <row r="19" spans="2:8">
      <c r="B19" s="12" t="str">
        <f>CONCATENATE("Whereas, ",(inputPrYr!D3)," provides essential services to district residents; and")</f>
        <v>Whereas, Ohio/Princeton Fire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50"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Ohio/Princeton Fire that is our desire to notify the public of the possibility of increased property taxes to finance the 2013 Ohio/Princeton Fire  budget as defined above.</v>
      </c>
      <c r="C23" s="658"/>
      <c r="D23" s="658"/>
      <c r="E23" s="658"/>
      <c r="F23" s="658"/>
      <c r="G23" s="658"/>
      <c r="H23" s="658"/>
    </row>
    <row r="24" spans="2:8">
      <c r="B24" s="658"/>
      <c r="C24" s="658"/>
      <c r="D24" s="658"/>
      <c r="E24" s="658"/>
      <c r="F24" s="658"/>
      <c r="G24" s="658"/>
      <c r="H24" s="658"/>
    </row>
    <row r="25" spans="2:8">
      <c r="B25" s="658"/>
      <c r="C25" s="658"/>
      <c r="D25" s="658"/>
      <c r="E25" s="658"/>
      <c r="F25" s="658"/>
      <c r="G25" s="658"/>
      <c r="H25" s="658"/>
    </row>
    <row r="26" spans="2:8">
      <c r="B26" s="12"/>
      <c r="C26"/>
      <c r="D26"/>
      <c r="E26"/>
      <c r="F26"/>
      <c r="G26"/>
      <c r="H26"/>
    </row>
    <row r="27" spans="2:8">
      <c r="B27" s="656" t="str">
        <f>CONCATENATE("Adopted this _________ day of ___________, ",inputPrYr!D6-1," by the ",(inputPrYr!D3)," District Board, ",(inputPrYr!D4),", Kansas.")</f>
        <v>Adopted this _________ day of ___________, 2012 by the Ohio/Princeton Fire District Board, Franklin County, Kansas.</v>
      </c>
      <c r="C27" s="655"/>
      <c r="D27" s="655"/>
      <c r="E27" s="655"/>
      <c r="F27" s="655"/>
      <c r="G27" s="655"/>
      <c r="H27" s="655"/>
    </row>
    <row r="28" spans="2:8">
      <c r="B28" s="655"/>
      <c r="C28" s="655"/>
      <c r="D28" s="655"/>
      <c r="E28" s="655"/>
      <c r="F28" s="655"/>
      <c r="G28" s="655"/>
      <c r="H28" s="655"/>
    </row>
    <row r="29" spans="2:8">
      <c r="B29" s="8"/>
      <c r="C29"/>
      <c r="D29"/>
      <c r="E29"/>
      <c r="F29"/>
      <c r="G29"/>
      <c r="H29"/>
    </row>
    <row r="30" spans="2:8">
      <c r="B30" s="8"/>
      <c r="C30"/>
      <c r="D30"/>
      <c r="E30"/>
      <c r="F30"/>
      <c r="G30"/>
      <c r="H30"/>
    </row>
    <row r="31" spans="2:8">
      <c r="B31" s="9" t="str">
        <f>CONCATENATE(" ",(inputPrYr!D3)," District Board")</f>
        <v xml:space="preserve"> Ohio/Princeton Fire District Board</v>
      </c>
      <c r="C31"/>
      <c r="D31"/>
      <c r="E31"/>
      <c r="F31"/>
      <c r="G31"/>
      <c r="H31"/>
    </row>
    <row r="32" spans="2:8">
      <c r="B32" s="8"/>
      <c r="C32"/>
      <c r="D32"/>
      <c r="E32"/>
      <c r="F32"/>
      <c r="G32"/>
      <c r="H32"/>
    </row>
    <row r="33" spans="2:8">
      <c r="B33"/>
      <c r="C33"/>
      <c r="D33"/>
      <c r="E33" s="652" t="s">
        <v>136</v>
      </c>
      <c r="F33" s="652"/>
      <c r="G33" s="652"/>
      <c r="H33" s="652"/>
    </row>
    <row r="34" spans="2:8">
      <c r="B34"/>
      <c r="C34"/>
      <c r="D34"/>
      <c r="E34" s="652" t="s">
        <v>139</v>
      </c>
      <c r="F34" s="652"/>
      <c r="G34" s="652"/>
      <c r="H34" s="652"/>
    </row>
    <row r="35" spans="2:8">
      <c r="B35" s="8"/>
      <c r="C35"/>
      <c r="D35"/>
      <c r="E35" s="652"/>
      <c r="F35" s="652"/>
      <c r="G35" s="652"/>
      <c r="H35" s="652"/>
    </row>
    <row r="36" spans="2:8">
      <c r="B36"/>
      <c r="C36"/>
      <c r="D36"/>
      <c r="E36" s="652" t="s">
        <v>136</v>
      </c>
      <c r="F36" s="652"/>
      <c r="G36" s="652"/>
      <c r="H36" s="652"/>
    </row>
    <row r="37" spans="2:8">
      <c r="B37"/>
      <c r="C37"/>
      <c r="D37"/>
      <c r="E37" s="652" t="s">
        <v>140</v>
      </c>
      <c r="F37" s="652"/>
      <c r="G37" s="652"/>
      <c r="H37" s="652"/>
    </row>
    <row r="38" spans="2:8">
      <c r="B38" s="8"/>
      <c r="C38"/>
      <c r="D38"/>
      <c r="E38" s="652"/>
      <c r="F38" s="652"/>
      <c r="G38" s="652"/>
      <c r="H38" s="652"/>
    </row>
    <row r="39" spans="2:8">
      <c r="B39"/>
      <c r="C39"/>
      <c r="D39"/>
      <c r="E39" s="652" t="s">
        <v>136</v>
      </c>
      <c r="F39" s="652"/>
      <c r="G39" s="652"/>
      <c r="H39" s="652"/>
    </row>
    <row r="40" spans="2:8">
      <c r="B40"/>
      <c r="C40"/>
      <c r="D40"/>
      <c r="E40" s="652" t="s">
        <v>141</v>
      </c>
      <c r="F40" s="652"/>
      <c r="G40" s="652"/>
      <c r="H40" s="652"/>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3"/>
      <c r="F46" s="653"/>
      <c r="G46" s="653"/>
      <c r="H46" s="653"/>
    </row>
    <row r="47" spans="2:8">
      <c r="B47" s="3"/>
      <c r="E47" s="653"/>
      <c r="F47" s="653"/>
      <c r="G47" s="653"/>
      <c r="H47" s="653"/>
    </row>
    <row r="48" spans="2:8">
      <c r="E48" s="653"/>
      <c r="F48" s="653"/>
      <c r="G48" s="653"/>
      <c r="H48" s="653"/>
    </row>
    <row r="49" spans="2:8">
      <c r="E49" s="653"/>
      <c r="F49" s="653"/>
      <c r="G49" s="653"/>
      <c r="H49" s="653"/>
    </row>
    <row r="50" spans="2:8">
      <c r="B50" s="3"/>
      <c r="E50" s="653"/>
      <c r="F50" s="653"/>
      <c r="G50" s="653"/>
      <c r="H50" s="653"/>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62" t="s">
        <v>575</v>
      </c>
      <c r="C6" s="676"/>
      <c r="D6" s="676"/>
      <c r="E6" s="676"/>
      <c r="F6" s="676"/>
      <c r="G6" s="676"/>
      <c r="H6" s="676"/>
      <c r="I6" s="676"/>
      <c r="J6" s="676"/>
      <c r="K6" s="676"/>
      <c r="L6" s="430"/>
    </row>
    <row r="7" spans="1:12" ht="40.5" customHeight="1">
      <c r="A7" s="427"/>
      <c r="B7" s="687" t="s">
        <v>576</v>
      </c>
      <c r="C7" s="688"/>
      <c r="D7" s="688"/>
      <c r="E7" s="688"/>
      <c r="F7" s="688"/>
      <c r="G7" s="688"/>
      <c r="H7" s="688"/>
      <c r="I7" s="688"/>
      <c r="J7" s="688"/>
      <c r="K7" s="688"/>
      <c r="L7" s="427"/>
    </row>
    <row r="8" spans="1:12">
      <c r="A8" s="427"/>
      <c r="B8" s="681" t="s">
        <v>577</v>
      </c>
      <c r="C8" s="681"/>
      <c r="D8" s="681"/>
      <c r="E8" s="681"/>
      <c r="F8" s="681"/>
      <c r="G8" s="681"/>
      <c r="H8" s="681"/>
      <c r="I8" s="681"/>
      <c r="J8" s="681"/>
      <c r="K8" s="681"/>
      <c r="L8" s="427"/>
    </row>
    <row r="9" spans="1:12">
      <c r="A9" s="427"/>
      <c r="L9" s="427"/>
    </row>
    <row r="10" spans="1:12">
      <c r="A10" s="427"/>
      <c r="B10" s="681" t="s">
        <v>578</v>
      </c>
      <c r="C10" s="681"/>
      <c r="D10" s="681"/>
      <c r="E10" s="681"/>
      <c r="F10" s="681"/>
      <c r="G10" s="681"/>
      <c r="H10" s="681"/>
      <c r="I10" s="681"/>
      <c r="J10" s="681"/>
      <c r="K10" s="681"/>
      <c r="L10" s="427"/>
    </row>
    <row r="11" spans="1:12">
      <c r="A11" s="427"/>
      <c r="B11" s="431"/>
      <c r="C11" s="431"/>
      <c r="D11" s="431"/>
      <c r="E11" s="431"/>
      <c r="F11" s="431"/>
      <c r="G11" s="431"/>
      <c r="H11" s="431"/>
      <c r="I11" s="431"/>
      <c r="J11" s="431"/>
      <c r="K11" s="431"/>
      <c r="L11" s="427"/>
    </row>
    <row r="12" spans="1:12" ht="32.25" customHeight="1">
      <c r="A12" s="427"/>
      <c r="B12" s="663" t="s">
        <v>579</v>
      </c>
      <c r="C12" s="663"/>
      <c r="D12" s="663"/>
      <c r="E12" s="663"/>
      <c r="F12" s="663"/>
      <c r="G12" s="663"/>
      <c r="H12" s="663"/>
      <c r="I12" s="663"/>
      <c r="J12" s="663"/>
      <c r="K12" s="663"/>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5">
        <v>133685008</v>
      </c>
      <c r="G23" s="665"/>
      <c r="L23" s="427"/>
    </row>
    <row r="24" spans="1:12">
      <c r="A24" s="427"/>
      <c r="L24" s="427"/>
    </row>
    <row r="25" spans="1:12">
      <c r="A25" s="427"/>
      <c r="C25" s="680">
        <f>F23</f>
        <v>133685008</v>
      </c>
      <c r="D25" s="680"/>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3" t="s">
        <v>576</v>
      </c>
      <c r="C30" s="673"/>
      <c r="D30" s="673"/>
      <c r="E30" s="673"/>
      <c r="F30" s="673"/>
      <c r="G30" s="673"/>
      <c r="H30" s="673"/>
      <c r="I30" s="673"/>
      <c r="J30" s="673"/>
      <c r="K30" s="673"/>
      <c r="L30" s="427"/>
    </row>
    <row r="31" spans="1:12">
      <c r="A31" s="427"/>
      <c r="B31" s="681" t="s">
        <v>590</v>
      </c>
      <c r="C31" s="681"/>
      <c r="D31" s="681"/>
      <c r="E31" s="681"/>
      <c r="F31" s="681"/>
      <c r="G31" s="681"/>
      <c r="H31" s="681"/>
      <c r="I31" s="681"/>
      <c r="J31" s="681"/>
      <c r="K31" s="681"/>
      <c r="L31" s="427"/>
    </row>
    <row r="32" spans="1:12">
      <c r="A32" s="427"/>
      <c r="L32" s="427"/>
    </row>
    <row r="33" spans="1:12">
      <c r="A33" s="427"/>
      <c r="B33" s="681" t="s">
        <v>591</v>
      </c>
      <c r="C33" s="681"/>
      <c r="D33" s="681"/>
      <c r="E33" s="681"/>
      <c r="F33" s="681"/>
      <c r="G33" s="681"/>
      <c r="H33" s="681"/>
      <c r="I33" s="681"/>
      <c r="J33" s="681"/>
      <c r="K33" s="681"/>
      <c r="L33" s="427"/>
    </row>
    <row r="34" spans="1:12">
      <c r="A34" s="427"/>
      <c r="L34" s="427"/>
    </row>
    <row r="35" spans="1:12" ht="89.25" customHeight="1">
      <c r="A35" s="427"/>
      <c r="B35" s="663" t="s">
        <v>592</v>
      </c>
      <c r="C35" s="679"/>
      <c r="D35" s="679"/>
      <c r="E35" s="679"/>
      <c r="F35" s="679"/>
      <c r="G35" s="679"/>
      <c r="H35" s="679"/>
      <c r="I35" s="679"/>
      <c r="J35" s="679"/>
      <c r="K35" s="679"/>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82">
        <v>3120000</v>
      </c>
      <c r="D41" s="682"/>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5">
        <v>133685008</v>
      </c>
      <c r="C48" s="665"/>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3" t="s">
        <v>600</v>
      </c>
      <c r="H50" s="684"/>
      <c r="I50" s="440" t="s">
        <v>586</v>
      </c>
      <c r="J50" s="450">
        <f>B50/F50</f>
        <v>52.869002334203401</v>
      </c>
      <c r="K50" s="442"/>
      <c r="L50" s="427"/>
    </row>
    <row r="51" spans="1:24" ht="15" thickBot="1">
      <c r="A51" s="427"/>
      <c r="B51" s="443"/>
      <c r="C51" s="444"/>
      <c r="D51" s="444"/>
      <c r="E51" s="444"/>
      <c r="F51" s="444"/>
      <c r="G51" s="444"/>
      <c r="H51" s="444"/>
      <c r="I51" s="685" t="s">
        <v>601</v>
      </c>
      <c r="J51" s="685"/>
      <c r="K51" s="686"/>
      <c r="L51" s="427"/>
      <c r="O51" s="451"/>
    </row>
    <row r="52" spans="1:24" ht="40.5" customHeight="1">
      <c r="A52" s="427"/>
      <c r="B52" s="673" t="s">
        <v>576</v>
      </c>
      <c r="C52" s="673"/>
      <c r="D52" s="673"/>
      <c r="E52" s="673"/>
      <c r="F52" s="673"/>
      <c r="G52" s="673"/>
      <c r="H52" s="673"/>
      <c r="I52" s="673"/>
      <c r="J52" s="673"/>
      <c r="K52" s="673"/>
      <c r="L52" s="427"/>
    </row>
    <row r="53" spans="1:24">
      <c r="A53" s="427"/>
      <c r="B53" s="681" t="s">
        <v>602</v>
      </c>
      <c r="C53" s="681"/>
      <c r="D53" s="681"/>
      <c r="E53" s="681"/>
      <c r="F53" s="681"/>
      <c r="G53" s="681"/>
      <c r="H53" s="681"/>
      <c r="I53" s="681"/>
      <c r="J53" s="681"/>
      <c r="K53" s="681"/>
      <c r="L53" s="427"/>
    </row>
    <row r="54" spans="1:24">
      <c r="A54" s="427"/>
      <c r="B54" s="431"/>
      <c r="C54" s="431"/>
      <c r="D54" s="431"/>
      <c r="E54" s="431"/>
      <c r="F54" s="431"/>
      <c r="G54" s="431"/>
      <c r="H54" s="431"/>
      <c r="I54" s="431"/>
      <c r="J54" s="431"/>
      <c r="K54" s="431"/>
      <c r="L54" s="427"/>
    </row>
    <row r="55" spans="1:24">
      <c r="A55" s="427"/>
      <c r="B55" s="662" t="s">
        <v>603</v>
      </c>
      <c r="C55" s="662"/>
      <c r="D55" s="662"/>
      <c r="E55" s="662"/>
      <c r="F55" s="662"/>
      <c r="G55" s="662"/>
      <c r="H55" s="662"/>
      <c r="I55" s="662"/>
      <c r="J55" s="662"/>
      <c r="K55" s="662"/>
      <c r="L55" s="427"/>
    </row>
    <row r="56" spans="1:24" ht="15" customHeight="1">
      <c r="A56" s="427"/>
      <c r="L56" s="427"/>
    </row>
    <row r="57" spans="1:24" ht="74.25" customHeight="1">
      <c r="A57" s="427"/>
      <c r="B57" s="663" t="s">
        <v>604</v>
      </c>
      <c r="C57" s="679"/>
      <c r="D57" s="679"/>
      <c r="E57" s="679"/>
      <c r="F57" s="679"/>
      <c r="G57" s="679"/>
      <c r="H57" s="679"/>
      <c r="I57" s="679"/>
      <c r="J57" s="679"/>
      <c r="K57" s="679"/>
      <c r="L57" s="427"/>
      <c r="M57" s="452"/>
      <c r="N57" s="453"/>
      <c r="O57" s="453"/>
      <c r="P57" s="453"/>
      <c r="Q57" s="453"/>
      <c r="R57" s="453"/>
      <c r="S57" s="453"/>
      <c r="T57" s="453"/>
      <c r="U57" s="453"/>
      <c r="V57" s="453"/>
      <c r="W57" s="453"/>
      <c r="X57" s="453"/>
    </row>
    <row r="58" spans="1:24" ht="15" customHeight="1">
      <c r="A58" s="427"/>
      <c r="B58" s="663"/>
      <c r="C58" s="679"/>
      <c r="D58" s="679"/>
      <c r="E58" s="679"/>
      <c r="F58" s="679"/>
      <c r="G58" s="679"/>
      <c r="H58" s="679"/>
      <c r="I58" s="679"/>
      <c r="J58" s="679"/>
      <c r="K58" s="679"/>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5">
        <v>133685008</v>
      </c>
      <c r="D74" s="665"/>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5">
        <v>5000</v>
      </c>
      <c r="D77" s="665"/>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5">
        <v>100000</v>
      </c>
      <c r="D80" s="665"/>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72">
        <f>H80</f>
        <v>11500</v>
      </c>
      <c r="D83" s="672"/>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3" t="s">
        <v>576</v>
      </c>
      <c r="C85" s="673"/>
      <c r="D85" s="673"/>
      <c r="E85" s="673"/>
      <c r="F85" s="673"/>
      <c r="G85" s="673"/>
      <c r="H85" s="673"/>
      <c r="I85" s="673"/>
      <c r="J85" s="673"/>
      <c r="K85" s="673"/>
      <c r="L85" s="427"/>
    </row>
    <row r="86" spans="1:12">
      <c r="A86" s="427"/>
      <c r="B86" s="662" t="s">
        <v>624</v>
      </c>
      <c r="C86" s="662"/>
      <c r="D86" s="662"/>
      <c r="E86" s="662"/>
      <c r="F86" s="662"/>
      <c r="G86" s="662"/>
      <c r="H86" s="662"/>
      <c r="I86" s="662"/>
      <c r="J86" s="662"/>
      <c r="K86" s="662"/>
      <c r="L86" s="427"/>
    </row>
    <row r="87" spans="1:12">
      <c r="A87" s="427"/>
      <c r="B87" s="467"/>
      <c r="C87" s="467"/>
      <c r="D87" s="467"/>
      <c r="E87" s="467"/>
      <c r="F87" s="467"/>
      <c r="G87" s="467"/>
      <c r="H87" s="467"/>
      <c r="I87" s="467"/>
      <c r="J87" s="467"/>
      <c r="K87" s="467"/>
      <c r="L87" s="427"/>
    </row>
    <row r="88" spans="1:12">
      <c r="A88" s="427"/>
      <c r="B88" s="662" t="s">
        <v>625</v>
      </c>
      <c r="C88" s="662"/>
      <c r="D88" s="662"/>
      <c r="E88" s="662"/>
      <c r="F88" s="662"/>
      <c r="G88" s="662"/>
      <c r="H88" s="662"/>
      <c r="I88" s="662"/>
      <c r="J88" s="662"/>
      <c r="K88" s="662"/>
      <c r="L88" s="427"/>
    </row>
    <row r="89" spans="1:12">
      <c r="A89" s="427"/>
      <c r="B89" s="468"/>
      <c r="C89" s="468"/>
      <c r="D89" s="468"/>
      <c r="E89" s="468"/>
      <c r="F89" s="468"/>
      <c r="G89" s="468"/>
      <c r="H89" s="468"/>
      <c r="I89" s="468"/>
      <c r="J89" s="468"/>
      <c r="K89" s="468"/>
      <c r="L89" s="427"/>
    </row>
    <row r="90" spans="1:12" ht="45" customHeight="1">
      <c r="A90" s="427"/>
      <c r="B90" s="663" t="s">
        <v>626</v>
      </c>
      <c r="C90" s="663"/>
      <c r="D90" s="663"/>
      <c r="E90" s="663"/>
      <c r="F90" s="663"/>
      <c r="G90" s="663"/>
      <c r="H90" s="663"/>
      <c r="I90" s="663"/>
      <c r="J90" s="663"/>
      <c r="K90" s="663"/>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5">
        <v>133685008</v>
      </c>
      <c r="D94" s="665"/>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5">
        <v>50000</v>
      </c>
      <c r="D97" s="665"/>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5">
        <v>2500000</v>
      </c>
      <c r="D100" s="665"/>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72">
        <f>H100</f>
        <v>750000</v>
      </c>
      <c r="D103" s="672"/>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3" t="s">
        <v>576</v>
      </c>
      <c r="C105" s="674"/>
      <c r="D105" s="674"/>
      <c r="E105" s="674"/>
      <c r="F105" s="674"/>
      <c r="G105" s="674"/>
      <c r="H105" s="674"/>
      <c r="I105" s="674"/>
      <c r="J105" s="674"/>
      <c r="K105" s="674"/>
      <c r="L105" s="427"/>
    </row>
    <row r="106" spans="1:12" ht="15" customHeight="1">
      <c r="A106" s="427"/>
      <c r="B106" s="675" t="s">
        <v>628</v>
      </c>
      <c r="C106" s="676"/>
      <c r="D106" s="676"/>
      <c r="E106" s="676"/>
      <c r="F106" s="676"/>
      <c r="G106" s="676"/>
      <c r="H106" s="676"/>
      <c r="I106" s="676"/>
      <c r="J106" s="676"/>
      <c r="K106" s="676"/>
      <c r="L106" s="427"/>
    </row>
    <row r="107" spans="1:12" ht="15" customHeight="1">
      <c r="A107" s="427"/>
      <c r="B107" s="473"/>
      <c r="C107" s="481"/>
      <c r="D107" s="481"/>
      <c r="E107" s="440"/>
      <c r="F107" s="450"/>
      <c r="G107" s="440"/>
      <c r="H107" s="440"/>
      <c r="I107" s="440"/>
      <c r="J107" s="462"/>
      <c r="K107" s="473"/>
      <c r="L107" s="427"/>
    </row>
    <row r="108" spans="1:12" ht="15" customHeight="1">
      <c r="A108" s="427"/>
      <c r="B108" s="675" t="s">
        <v>629</v>
      </c>
      <c r="C108" s="677"/>
      <c r="D108" s="677"/>
      <c r="E108" s="677"/>
      <c r="F108" s="677"/>
      <c r="G108" s="677"/>
      <c r="H108" s="677"/>
      <c r="I108" s="677"/>
      <c r="J108" s="677"/>
      <c r="K108" s="677"/>
      <c r="L108" s="427"/>
    </row>
    <row r="109" spans="1:12" ht="15" customHeight="1">
      <c r="A109" s="427"/>
      <c r="B109" s="473"/>
      <c r="C109" s="481"/>
      <c r="D109" s="481"/>
      <c r="E109" s="440"/>
      <c r="F109" s="450"/>
      <c r="G109" s="440"/>
      <c r="H109" s="440"/>
      <c r="I109" s="440"/>
      <c r="J109" s="462"/>
      <c r="K109" s="473"/>
      <c r="L109" s="427"/>
    </row>
    <row r="110" spans="1:12" ht="59.25" customHeight="1">
      <c r="A110" s="427"/>
      <c r="B110" s="678" t="s">
        <v>630</v>
      </c>
      <c r="C110" s="679"/>
      <c r="D110" s="679"/>
      <c r="E110" s="679"/>
      <c r="F110" s="679"/>
      <c r="G110" s="679"/>
      <c r="H110" s="679"/>
      <c r="I110" s="679"/>
      <c r="J110" s="679"/>
      <c r="K110" s="679"/>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5">
        <v>133685008</v>
      </c>
      <c r="D114" s="665"/>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5">
        <v>50000</v>
      </c>
      <c r="D117" s="665"/>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5">
        <v>2500000</v>
      </c>
      <c r="D120" s="665"/>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72">
        <f>H120</f>
        <v>625000</v>
      </c>
      <c r="D123" s="672"/>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3" t="s">
        <v>576</v>
      </c>
      <c r="C125" s="673"/>
      <c r="D125" s="673"/>
      <c r="E125" s="673"/>
      <c r="F125" s="673"/>
      <c r="G125" s="673"/>
      <c r="H125" s="673"/>
      <c r="I125" s="673"/>
      <c r="J125" s="673"/>
      <c r="K125" s="673"/>
      <c r="L125" s="482"/>
    </row>
    <row r="126" spans="1:12">
      <c r="A126" s="427"/>
      <c r="B126" s="662" t="s">
        <v>631</v>
      </c>
      <c r="C126" s="662"/>
      <c r="D126" s="662"/>
      <c r="E126" s="662"/>
      <c r="F126" s="662"/>
      <c r="G126" s="662"/>
      <c r="H126" s="662"/>
      <c r="I126" s="662"/>
      <c r="J126" s="662"/>
      <c r="K126" s="662"/>
      <c r="L126" s="482"/>
    </row>
    <row r="127" spans="1:12">
      <c r="A127" s="427"/>
      <c r="B127" s="431"/>
      <c r="C127" s="431"/>
      <c r="D127" s="431"/>
      <c r="E127" s="431"/>
      <c r="F127" s="431"/>
      <c r="G127" s="431"/>
      <c r="H127" s="431"/>
      <c r="I127" s="431"/>
      <c r="J127" s="431"/>
      <c r="K127" s="431"/>
      <c r="L127" s="482"/>
    </row>
    <row r="128" spans="1:12">
      <c r="A128" s="427"/>
      <c r="B128" s="662" t="s">
        <v>632</v>
      </c>
      <c r="C128" s="662"/>
      <c r="D128" s="662"/>
      <c r="E128" s="662"/>
      <c r="F128" s="662"/>
      <c r="G128" s="662"/>
      <c r="H128" s="662"/>
      <c r="I128" s="662"/>
      <c r="J128" s="662"/>
      <c r="K128" s="662"/>
      <c r="L128" s="482"/>
    </row>
    <row r="129" spans="1:12">
      <c r="A129" s="427"/>
      <c r="B129" s="468"/>
      <c r="C129" s="468"/>
      <c r="D129" s="468"/>
      <c r="E129" s="468"/>
      <c r="F129" s="468"/>
      <c r="G129" s="468"/>
      <c r="H129" s="468"/>
      <c r="I129" s="468"/>
      <c r="J129" s="468"/>
      <c r="K129" s="468"/>
      <c r="L129" s="482"/>
    </row>
    <row r="130" spans="1:12" ht="74.25" customHeight="1">
      <c r="A130" s="427"/>
      <c r="B130" s="663" t="s">
        <v>633</v>
      </c>
      <c r="C130" s="663"/>
      <c r="D130" s="663"/>
      <c r="E130" s="663"/>
      <c r="F130" s="663"/>
      <c r="G130" s="663"/>
      <c r="H130" s="663"/>
      <c r="I130" s="663"/>
      <c r="J130" s="663"/>
      <c r="K130" s="663"/>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4" t="s">
        <v>634</v>
      </c>
      <c r="D133" s="664"/>
      <c r="E133" s="439"/>
      <c r="F133" s="440" t="s">
        <v>635</v>
      </c>
      <c r="G133" s="439"/>
      <c r="H133" s="664" t="s">
        <v>620</v>
      </c>
      <c r="I133" s="664"/>
      <c r="J133" s="439"/>
      <c r="K133" s="442"/>
      <c r="L133" s="427"/>
    </row>
    <row r="134" spans="1:12">
      <c r="A134" s="427"/>
      <c r="B134" s="448" t="s">
        <v>613</v>
      </c>
      <c r="C134" s="665">
        <v>100000</v>
      </c>
      <c r="D134" s="665"/>
      <c r="E134" s="440" t="s">
        <v>28</v>
      </c>
      <c r="F134" s="440">
        <v>0.115</v>
      </c>
      <c r="G134" s="440" t="s">
        <v>586</v>
      </c>
      <c r="H134" s="660">
        <f>C134*F134</f>
        <v>11500</v>
      </c>
      <c r="I134" s="660"/>
      <c r="J134" s="439"/>
      <c r="K134" s="442"/>
      <c r="L134" s="427"/>
    </row>
    <row r="135" spans="1:12">
      <c r="A135" s="427"/>
      <c r="B135" s="448"/>
      <c r="C135" s="439"/>
      <c r="D135" s="439"/>
      <c r="E135" s="439"/>
      <c r="F135" s="439"/>
      <c r="G135" s="439"/>
      <c r="H135" s="439"/>
      <c r="I135" s="439"/>
      <c r="J135" s="439"/>
      <c r="K135" s="442"/>
      <c r="L135" s="427"/>
    </row>
    <row r="136" spans="1:12">
      <c r="A136" s="427"/>
      <c r="B136" s="458"/>
      <c r="C136" s="666" t="s">
        <v>620</v>
      </c>
      <c r="D136" s="666"/>
      <c r="E136" s="459"/>
      <c r="F136" s="460" t="s">
        <v>636</v>
      </c>
      <c r="G136" s="460"/>
      <c r="H136" s="459"/>
      <c r="I136" s="459"/>
      <c r="J136" s="459" t="s">
        <v>637</v>
      </c>
      <c r="K136" s="461"/>
      <c r="L136" s="427"/>
    </row>
    <row r="137" spans="1:12">
      <c r="A137" s="427"/>
      <c r="B137" s="448" t="s">
        <v>616</v>
      </c>
      <c r="C137" s="660">
        <f>H134</f>
        <v>11500</v>
      </c>
      <c r="D137" s="660"/>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7" t="s">
        <v>640</v>
      </c>
      <c r="C144" s="668"/>
      <c r="D144" s="668"/>
      <c r="E144" s="668"/>
      <c r="F144" s="668"/>
      <c r="G144" s="668"/>
      <c r="H144" s="668"/>
      <c r="I144" s="668"/>
      <c r="J144" s="668"/>
      <c r="K144" s="669"/>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60" t="s">
        <v>641</v>
      </c>
      <c r="D147" s="660"/>
      <c r="E147" s="440"/>
      <c r="F147" s="500" t="s">
        <v>642</v>
      </c>
      <c r="G147" s="440"/>
      <c r="H147" s="440"/>
      <c r="I147" s="440"/>
      <c r="J147" s="670" t="s">
        <v>643</v>
      </c>
      <c r="K147" s="671"/>
      <c r="L147" s="427"/>
    </row>
    <row r="148" spans="1:12">
      <c r="A148" s="427"/>
      <c r="B148" s="448"/>
      <c r="C148" s="659">
        <v>52.869</v>
      </c>
      <c r="D148" s="659"/>
      <c r="E148" s="440" t="s">
        <v>28</v>
      </c>
      <c r="F148" s="505">
        <v>133685008</v>
      </c>
      <c r="G148" s="506" t="s">
        <v>587</v>
      </c>
      <c r="H148" s="440">
        <v>1000</v>
      </c>
      <c r="I148" s="440" t="s">
        <v>586</v>
      </c>
      <c r="J148" s="660">
        <f>C148*(F148/1000)</f>
        <v>7067792.6879519997</v>
      </c>
      <c r="K148" s="661"/>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3" t="s">
        <v>728</v>
      </c>
    </row>
    <row r="3" spans="1:1">
      <c r="A3" s="573" t="s">
        <v>729</v>
      </c>
    </row>
    <row r="5" spans="1:1">
      <c r="A5" s="371" t="s">
        <v>681</v>
      </c>
    </row>
    <row r="6" spans="1:1">
      <c r="A6" s="573" t="s">
        <v>682</v>
      </c>
    </row>
    <row r="7" spans="1:1">
      <c r="A7" s="573" t="s">
        <v>683</v>
      </c>
    </row>
    <row r="8" spans="1:1" ht="31.5">
      <c r="A8" s="574" t="s">
        <v>723</v>
      </c>
    </row>
    <row r="9" spans="1:1">
      <c r="A9" s="573" t="s">
        <v>684</v>
      </c>
    </row>
    <row r="10" spans="1:1">
      <c r="A10" s="573" t="s">
        <v>685</v>
      </c>
    </row>
    <row r="11" spans="1:1">
      <c r="A11" s="573" t="s">
        <v>686</v>
      </c>
    </row>
    <row r="12" spans="1:1">
      <c r="A12" s="573" t="s">
        <v>687</v>
      </c>
    </row>
    <row r="13" spans="1:1">
      <c r="A13" s="573" t="s">
        <v>688</v>
      </c>
    </row>
    <row r="14" spans="1:1">
      <c r="A14" s="573" t="s">
        <v>689</v>
      </c>
    </row>
    <row r="15" spans="1:1">
      <c r="A15" s="573" t="s">
        <v>690</v>
      </c>
    </row>
    <row r="16" spans="1:1">
      <c r="A16" s="573" t="s">
        <v>691</v>
      </c>
    </row>
    <row r="17" spans="1:1">
      <c r="A17" s="573" t="s">
        <v>692</v>
      </c>
    </row>
    <row r="18" spans="1:1">
      <c r="A18" s="573" t="s">
        <v>693</v>
      </c>
    </row>
    <row r="19" spans="1:1">
      <c r="A19" s="573" t="s">
        <v>694</v>
      </c>
    </row>
    <row r="20" spans="1:1">
      <c r="A20" s="573" t="s">
        <v>695</v>
      </c>
    </row>
    <row r="21" spans="1:1">
      <c r="A21" s="573" t="s">
        <v>696</v>
      </c>
    </row>
    <row r="22" spans="1:1">
      <c r="A22" s="573" t="s">
        <v>697</v>
      </c>
    </row>
    <row r="23" spans="1:1">
      <c r="A23" s="573" t="s">
        <v>698</v>
      </c>
    </row>
    <row r="24" spans="1:1">
      <c r="A24" s="573" t="s">
        <v>699</v>
      </c>
    </row>
    <row r="25" spans="1:1">
      <c r="A25" s="573" t="s">
        <v>700</v>
      </c>
    </row>
    <row r="26" spans="1:1">
      <c r="A26" s="573" t="s">
        <v>701</v>
      </c>
    </row>
    <row r="27" spans="1:1">
      <c r="A27" s="573" t="s">
        <v>702</v>
      </c>
    </row>
    <row r="28" spans="1:1">
      <c r="A28" s="573"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Ohio/Princeton Fire</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8" t="s">
        <v>191</v>
      </c>
      <c r="B4" s="579"/>
      <c r="C4" s="579"/>
      <c r="D4" s="579"/>
      <c r="E4" s="579"/>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6466448</v>
      </c>
    </row>
    <row r="8" spans="1:5" ht="15.75">
      <c r="A8" s="62" t="str">
        <f>CONCATENATE("New Improvements for ",inputPrYr!D6-1,"")</f>
        <v>New Improvements for 2012</v>
      </c>
      <c r="B8" s="63"/>
      <c r="C8" s="63"/>
      <c r="D8" s="63"/>
      <c r="E8" s="64">
        <v>10739</v>
      </c>
    </row>
    <row r="9" spans="1:5" ht="15.75">
      <c r="A9" s="62" t="str">
        <f>CONCATENATE("Personal Property excluding oil, gas, and mobile homes- ",inputPrYr!D6-1,"")</f>
        <v>Personal Property excluding oil, gas, and mobile homes- 2012</v>
      </c>
      <c r="B9" s="63"/>
      <c r="C9" s="63"/>
      <c r="D9" s="63"/>
      <c r="E9" s="64">
        <v>114830</v>
      </c>
    </row>
    <row r="10" spans="1:5" ht="15.75">
      <c r="A10" s="62" t="str">
        <f>CONCATENATE("Property that has changed in use for ",inputPrYr!D6-1,"")</f>
        <v>Property that has changed in use for 2012</v>
      </c>
      <c r="B10" s="63"/>
      <c r="C10" s="63"/>
      <c r="D10" s="63"/>
      <c r="E10" s="64">
        <v>28391</v>
      </c>
    </row>
    <row r="11" spans="1:5" ht="15.75">
      <c r="A11" s="61" t="str">
        <f>CONCATENATE("Personal Property excluding oil, gas, and mobile homes- ",inputPrYr!D6-2,"")</f>
        <v>Personal Property excluding oil, gas, and mobile homes- 2011</v>
      </c>
      <c r="B11" s="42"/>
      <c r="C11" s="42"/>
      <c r="D11" s="42"/>
      <c r="E11" s="64">
        <v>104681</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8" t="s">
        <v>26</v>
      </c>
      <c r="B15" s="583"/>
      <c r="C15" s="58"/>
      <c r="D15" s="69" t="s">
        <v>60</v>
      </c>
      <c r="E15" s="68"/>
    </row>
    <row r="16" spans="1:5" ht="15.75">
      <c r="A16" s="61" t="s">
        <v>10</v>
      </c>
      <c r="B16" s="42"/>
      <c r="C16" s="65"/>
      <c r="D16" s="70">
        <v>5</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5</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6293382</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4618</v>
      </c>
    </row>
    <row r="28" spans="1:5" ht="15.75">
      <c r="A28" s="62" t="s">
        <v>15</v>
      </c>
      <c r="B28" s="63"/>
      <c r="C28" s="63"/>
      <c r="D28" s="80"/>
      <c r="E28" s="37">
        <v>126</v>
      </c>
    </row>
    <row r="29" spans="1:5" ht="15.75">
      <c r="A29" s="62" t="s">
        <v>166</v>
      </c>
      <c r="B29" s="63"/>
      <c r="C29" s="63"/>
      <c r="D29" s="80"/>
      <c r="E29" s="37">
        <v>315</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9" t="str">
        <f>CONCATENATE("From the ",E1-2," Budget Certificate Page")</f>
        <v>From the 2011 Budget Certificate Page</v>
      </c>
      <c r="B39" s="590"/>
      <c r="C39" s="58"/>
      <c r="D39" s="58"/>
      <c r="E39" s="58"/>
    </row>
    <row r="40" spans="1:5" ht="15.75">
      <c r="A40" s="87"/>
      <c r="B40" s="87" t="str">
        <f>CONCATENATE("",E1-2," Expenditure Amounts")</f>
        <v>2011 Expenditure Amounts</v>
      </c>
      <c r="C40" s="591" t="str">
        <f>CONCATENATE("Note: If the ",E1-2," budget was amended, then the")</f>
        <v>Note: If the 2011 budget was amended, then the</v>
      </c>
      <c r="D40" s="592"/>
      <c r="E40" s="592"/>
    </row>
    <row r="41" spans="1:5" ht="15.75">
      <c r="A41" s="88" t="s">
        <v>210</v>
      </c>
      <c r="B41" s="88" t="s">
        <v>211</v>
      </c>
      <c r="C41" s="89" t="s">
        <v>212</v>
      </c>
      <c r="D41" s="90"/>
      <c r="E41" s="90"/>
    </row>
    <row r="42" spans="1:5" ht="15.75">
      <c r="A42" s="91" t="str">
        <f>inputPrYr!B19</f>
        <v>General</v>
      </c>
      <c r="B42" s="55">
        <v>45000</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9" sqref="B9"/>
    </sheetView>
  </sheetViews>
  <sheetFormatPr defaultRowHeight="15"/>
  <cols>
    <col min="1" max="1" width="13.77734375" customWidth="1"/>
    <col min="2" max="2" width="16.109375" customWidth="1"/>
  </cols>
  <sheetData>
    <row r="2" spans="1:6" ht="54" customHeight="1">
      <c r="A2" s="593" t="s">
        <v>319</v>
      </c>
      <c r="B2" s="594"/>
      <c r="C2" s="594"/>
      <c r="D2" s="594"/>
      <c r="E2" s="594"/>
      <c r="F2" s="594"/>
    </row>
    <row r="4" spans="1:6" ht="15.75">
      <c r="A4" s="356"/>
      <c r="B4" s="356"/>
      <c r="C4" s="356"/>
      <c r="D4" s="357"/>
      <c r="E4" s="356"/>
      <c r="F4" s="356"/>
    </row>
    <row r="5" spans="1:6" ht="15.75">
      <c r="A5" s="358" t="s">
        <v>320</v>
      </c>
      <c r="B5" s="359" t="s">
        <v>749</v>
      </c>
      <c r="C5" s="360"/>
      <c r="D5" s="358" t="s">
        <v>726</v>
      </c>
      <c r="E5" s="356"/>
      <c r="F5" s="356"/>
    </row>
    <row r="6" spans="1:6" ht="15.75">
      <c r="A6" s="358"/>
      <c r="B6" s="361"/>
      <c r="C6" s="362"/>
      <c r="D6" s="358" t="s">
        <v>725</v>
      </c>
      <c r="E6" s="356"/>
      <c r="F6" s="356"/>
    </row>
    <row r="7" spans="1:6" ht="15.75">
      <c r="A7" s="358" t="s">
        <v>321</v>
      </c>
      <c r="B7" s="359" t="s">
        <v>750</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5" t="s">
        <v>324</v>
      </c>
      <c r="B15" s="595"/>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topLeftCell="A10" workbookViewId="0">
      <selection activeCell="G23" sqref="G23"/>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9" t="s">
        <v>78</v>
      </c>
      <c r="B2" s="599"/>
      <c r="C2" s="599"/>
      <c r="D2" s="599"/>
      <c r="E2" s="599"/>
      <c r="F2" s="599"/>
      <c r="G2" s="599"/>
    </row>
    <row r="3" spans="1:8">
      <c r="A3" s="18"/>
      <c r="B3" s="18"/>
      <c r="C3" s="18"/>
      <c r="D3" s="18"/>
      <c r="E3" s="18"/>
      <c r="F3" s="18"/>
      <c r="G3" s="56">
        <f>inputPrYr!D6</f>
        <v>2013</v>
      </c>
    </row>
    <row r="4" spans="1:8">
      <c r="A4" s="600" t="str">
        <f>CONCATENATE("To the Clerk of ",inputPrYr!D4,", State of Kansas")</f>
        <v>To the Clerk of Franklin County, State of Kansas</v>
      </c>
      <c r="B4" s="600"/>
      <c r="C4" s="600"/>
      <c r="D4" s="600"/>
      <c r="E4" s="600"/>
      <c r="F4" s="600"/>
      <c r="G4" s="600"/>
    </row>
    <row r="5" spans="1:8">
      <c r="A5" s="94" t="s">
        <v>151</v>
      </c>
      <c r="B5" s="26"/>
      <c r="C5" s="26"/>
      <c r="D5" s="26"/>
      <c r="E5" s="26"/>
      <c r="F5" s="26"/>
      <c r="G5" s="26"/>
    </row>
    <row r="6" spans="1:8">
      <c r="A6" s="580" t="str">
        <f>inputPrYr!D3</f>
        <v>Ohio/Princeton Fire</v>
      </c>
      <c r="B6" s="580"/>
      <c r="C6" s="580"/>
      <c r="D6" s="580"/>
      <c r="E6" s="580"/>
      <c r="F6" s="580"/>
      <c r="G6" s="580"/>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601" t="str">
        <f>CONCATENATE("",G3," Adopted Budget")</f>
        <v>2013 Adopted Budget</v>
      </c>
      <c r="F13" s="602"/>
      <c r="G13" s="603"/>
    </row>
    <row r="14" spans="1:8">
      <c r="A14" s="17"/>
      <c r="B14" s="18"/>
      <c r="C14" s="18"/>
      <c r="D14" s="42"/>
      <c r="E14" s="97" t="s">
        <v>18</v>
      </c>
      <c r="F14" s="98"/>
      <c r="G14" s="99" t="s">
        <v>19</v>
      </c>
      <c r="H14" s="100"/>
    </row>
    <row r="15" spans="1:8">
      <c r="A15" s="18"/>
      <c r="B15" s="18"/>
      <c r="C15" s="18"/>
      <c r="D15" s="98" t="s">
        <v>20</v>
      </c>
      <c r="E15" s="101" t="s">
        <v>211</v>
      </c>
      <c r="F15" s="604" t="str">
        <f>CONCATENATE("Amount of ",G3-1," Ad Valorem Tax")</f>
        <v>Amount of 2012 Ad Valorem Tax</v>
      </c>
      <c r="G15" s="99" t="s">
        <v>21</v>
      </c>
    </row>
    <row r="16" spans="1:8">
      <c r="A16" s="17" t="s">
        <v>22</v>
      </c>
      <c r="B16" s="18"/>
      <c r="C16" s="18"/>
      <c r="D16" s="101" t="s">
        <v>23</v>
      </c>
      <c r="E16" s="101" t="s">
        <v>569</v>
      </c>
      <c r="F16" s="604"/>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80-1546</v>
      </c>
      <c r="D23" s="116">
        <v>6</v>
      </c>
      <c r="E23" s="117">
        <f>IF(gen!$E$50&lt;&gt;0,gen!$E$50,"  ")</f>
        <v>48787</v>
      </c>
      <c r="F23" s="117">
        <f>IF(gen!$E$57&lt;&gt;0,gen!$E$57,"  ")</f>
        <v>31708</v>
      </c>
      <c r="G23" s="118">
        <v>4.9029999999999996</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Non-Budgeted Funds</v>
      </c>
      <c r="B28" s="123"/>
      <c r="C28" s="99"/>
      <c r="D28" s="116" t="str">
        <f>IF(NonBud!F33&gt;0,NonBud!F33,"")</f>
        <v/>
      </c>
      <c r="E28" s="124"/>
      <c r="F28" s="125"/>
      <c r="G28" s="126"/>
    </row>
    <row r="29" spans="1:7">
      <c r="A29" s="127" t="s">
        <v>133</v>
      </c>
      <c r="B29" s="63"/>
      <c r="C29" s="112"/>
      <c r="D29" s="128" t="s">
        <v>28</v>
      </c>
      <c r="E29" s="404">
        <f>SUM(E23:E27)</f>
        <v>48787</v>
      </c>
      <c r="F29" s="405">
        <f>SUM(F23:F27)</f>
        <v>31708</v>
      </c>
      <c r="G29" s="409">
        <v>4.9029999999999996</v>
      </c>
    </row>
    <row r="30" spans="1:7">
      <c r="A30" s="115" t="s">
        <v>200</v>
      </c>
      <c r="B30" s="63"/>
      <c r="C30" s="112"/>
      <c r="D30" s="131">
        <f>summ!E26</f>
        <v>7</v>
      </c>
      <c r="E30" s="135" t="s">
        <v>195</v>
      </c>
      <c r="F30" s="408" t="str">
        <f>IF(F29&gt;computation!J34,"Yes","No")</f>
        <v>No</v>
      </c>
      <c r="G30" s="410" t="s">
        <v>134</v>
      </c>
    </row>
    <row r="31" spans="1:7">
      <c r="A31" s="115" t="s">
        <v>218</v>
      </c>
      <c r="B31" s="133"/>
      <c r="C31" s="134"/>
      <c r="D31" s="131" t="str">
        <f>IF(Nhood!C35=0,"",Nhood!C35)</f>
        <v/>
      </c>
      <c r="E31" s="406"/>
      <c r="F31" s="65"/>
      <c r="G31" s="140">
        <v>6467722</v>
      </c>
    </row>
    <row r="32" spans="1:7">
      <c r="A32" s="136" t="s">
        <v>194</v>
      </c>
      <c r="B32" s="63"/>
      <c r="C32" s="112"/>
      <c r="D32" s="131" t="str">
        <f>IF(Resolution!E45=0,"",Resolution!E45)</f>
        <v/>
      </c>
      <c r="E32" s="56"/>
      <c r="F32" s="65"/>
      <c r="G32" s="605" t="str">
        <f>CONCATENATE("Nov. 1, ",G3," Total Assessed Valuation")</f>
        <v>Nov. 1, 2013 Total Assessed Valuation</v>
      </c>
    </row>
    <row r="33" spans="1:7">
      <c r="A33" s="21"/>
      <c r="B33" s="65"/>
      <c r="C33" s="18"/>
      <c r="D33" s="137"/>
      <c r="E33" s="56"/>
      <c r="F33" s="65"/>
      <c r="G33" s="606"/>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7"/>
      <c r="B48" s="608"/>
      <c r="C48" s="18"/>
      <c r="D48" s="42"/>
      <c r="E48" s="42"/>
      <c r="F48" s="42"/>
      <c r="G48" s="42"/>
    </row>
    <row r="49" spans="1:7">
      <c r="A49" s="26" t="s">
        <v>30</v>
      </c>
      <c r="B49" s="26"/>
      <c r="C49" s="18"/>
      <c r="D49" s="609" t="s">
        <v>29</v>
      </c>
      <c r="E49" s="610"/>
      <c r="F49" s="610"/>
      <c r="G49" s="610"/>
    </row>
    <row r="50" spans="1:7">
      <c r="A50" s="596"/>
      <c r="B50" s="596"/>
      <c r="C50" s="596"/>
      <c r="D50" s="596"/>
      <c r="E50" s="596"/>
      <c r="F50" s="596"/>
      <c r="G50" s="596"/>
    </row>
    <row r="51" spans="1:7">
      <c r="A51" s="597"/>
      <c r="B51" s="597"/>
      <c r="C51" s="597"/>
      <c r="D51" s="597"/>
      <c r="E51" s="597"/>
      <c r="F51" s="597"/>
      <c r="G51" s="597"/>
    </row>
    <row r="52" spans="1:7">
      <c r="A52" s="16"/>
      <c r="B52" s="16"/>
      <c r="C52" s="16"/>
      <c r="D52" s="16"/>
      <c r="E52" s="16"/>
      <c r="F52" s="16"/>
      <c r="G52" s="598"/>
    </row>
    <row r="53" spans="1:7">
      <c r="A53" s="16"/>
      <c r="B53" s="16"/>
      <c r="C53" s="16"/>
      <c r="D53" s="16"/>
      <c r="E53" s="16"/>
      <c r="F53" s="16"/>
      <c r="G53" s="598"/>
    </row>
    <row r="54" spans="1:7">
      <c r="A54" s="16"/>
      <c r="B54" s="16"/>
      <c r="C54" s="16"/>
      <c r="D54" s="16"/>
      <c r="E54" s="16"/>
      <c r="F54" s="16"/>
      <c r="G54" s="598"/>
    </row>
    <row r="55" spans="1:7">
      <c r="A55" s="16"/>
      <c r="B55" s="16"/>
      <c r="C55" s="16"/>
      <c r="D55" s="16"/>
      <c r="E55" s="16"/>
      <c r="F55" s="16"/>
      <c r="G55" s="598"/>
    </row>
    <row r="56" spans="1:7">
      <c r="A56" s="16"/>
      <c r="B56" s="16"/>
      <c r="C56" s="16"/>
      <c r="D56" s="145"/>
      <c r="E56" s="16"/>
      <c r="F56" s="16"/>
      <c r="G56" s="598"/>
    </row>
    <row r="57" spans="1:7">
      <c r="G57" s="598"/>
    </row>
    <row r="58" spans="1:7">
      <c r="G58" s="598"/>
    </row>
    <row r="59" spans="1:7">
      <c r="G59" s="598"/>
    </row>
    <row r="60" spans="1:7">
      <c r="G60" s="598"/>
    </row>
    <row r="61" spans="1:7">
      <c r="G61" s="598"/>
    </row>
    <row r="62" spans="1:7">
      <c r="G62" s="598"/>
    </row>
    <row r="63" spans="1:7">
      <c r="G63" s="598"/>
    </row>
    <row r="64" spans="1:7">
      <c r="G64" s="598"/>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6"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Ohio/Princeton Fire</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82" t="str">
        <f>CONCATENATE("Computation to Determine Limit for ",J1,"")</f>
        <v>Computation to Determine Limit for 2013</v>
      </c>
      <c r="B3" s="599"/>
      <c r="C3" s="599"/>
      <c r="D3" s="599"/>
      <c r="E3" s="599"/>
      <c r="F3" s="599"/>
      <c r="G3" s="599"/>
      <c r="H3" s="599"/>
      <c r="I3" s="599"/>
      <c r="J3" s="599"/>
    </row>
    <row r="4" spans="1:10" ht="15.75">
      <c r="A4" s="18"/>
      <c r="B4" s="18"/>
      <c r="C4" s="18"/>
      <c r="D4" s="18"/>
      <c r="E4" s="599"/>
      <c r="F4" s="599"/>
      <c r="G4" s="599"/>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31466</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31466</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10739</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114830</v>
      </c>
      <c r="F14" s="149"/>
      <c r="G14" s="39"/>
      <c r="H14" s="39"/>
      <c r="I14" s="152"/>
      <c r="J14" s="39"/>
    </row>
    <row r="15" spans="1:10" ht="15.75">
      <c r="A15" s="148"/>
      <c r="B15" s="18" t="s">
        <v>98</v>
      </c>
      <c r="C15" s="18" t="str">
        <f>CONCATENATE("Personal Property ",J1-2,"")</f>
        <v>Personal Property 2011</v>
      </c>
      <c r="D15" s="148" t="s">
        <v>94</v>
      </c>
      <c r="E15" s="43">
        <f>inputOth!E11</f>
        <v>104681</v>
      </c>
      <c r="F15" s="149"/>
      <c r="G15" s="152"/>
      <c r="H15" s="152"/>
      <c r="I15" s="39"/>
      <c r="J15" s="39"/>
    </row>
    <row r="16" spans="1:10" ht="15.75">
      <c r="A16" s="148"/>
      <c r="B16" s="18" t="s">
        <v>99</v>
      </c>
      <c r="C16" s="18" t="s">
        <v>113</v>
      </c>
      <c r="D16" s="18"/>
      <c r="E16" s="39"/>
      <c r="F16" s="39" t="s">
        <v>91</v>
      </c>
      <c r="G16" s="151">
        <f>IF(E14&gt;E15,E14-E15,0)</f>
        <v>10149</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28391</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49279</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6466448</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6417169</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7.6792429808222283E-3</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242</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31708</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31708</v>
      </c>
    </row>
    <row r="35" spans="1:10" ht="16.5" thickTop="1">
      <c r="A35" s="18"/>
      <c r="B35" s="18"/>
      <c r="C35" s="18"/>
      <c r="D35" s="18"/>
      <c r="E35" s="18"/>
      <c r="F35" s="18"/>
      <c r="G35" s="18"/>
      <c r="H35" s="18"/>
      <c r="I35" s="18"/>
      <c r="J35" s="18"/>
    </row>
    <row r="36" spans="1:10" ht="15.75">
      <c r="A36" s="611" t="str">
        <f>CONCATENATE("If the ",J1," budget includes tax levies exceeding the total on line 14, you must")</f>
        <v>If the 2013 budget includes tax levies exceeding the total on line 14, you must</v>
      </c>
      <c r="B36" s="611"/>
      <c r="C36" s="611"/>
      <c r="D36" s="611"/>
      <c r="E36" s="611"/>
      <c r="F36" s="611"/>
      <c r="G36" s="611"/>
      <c r="H36" s="611"/>
      <c r="I36" s="611"/>
      <c r="J36" s="611"/>
    </row>
    <row r="37" spans="1:10" ht="15.75">
      <c r="A37" s="611" t="s">
        <v>119</v>
      </c>
      <c r="B37" s="611"/>
      <c r="C37" s="611"/>
      <c r="D37" s="611"/>
      <c r="E37" s="611"/>
      <c r="F37" s="611"/>
      <c r="G37" s="611"/>
      <c r="H37" s="611"/>
      <c r="I37" s="611"/>
      <c r="J37" s="611"/>
    </row>
  </sheetData>
  <mergeCells count="4">
    <mergeCell ref="A36:J36"/>
    <mergeCell ref="A37:J37"/>
    <mergeCell ref="A3:J3"/>
    <mergeCell ref="E4:G4"/>
  </mergeCells>
  <phoneticPr fontId="0" type="noConversion"/>
  <pageMargins left="0.5" right="0.5" top="0.75" bottom="0.5" header="0.5" footer="0.5"/>
  <pageSetup scale="86"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Ohio/Princeton Fire</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12" t="s">
        <v>228</v>
      </c>
      <c r="C6" s="612"/>
      <c r="D6" s="612"/>
      <c r="E6" s="612"/>
      <c r="F6" s="612"/>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5" t="str">
        <f>CONCATENATE("",J2-1,"                    Budgeted Funds")</f>
        <v>2012                    Budgeted Funds</v>
      </c>
      <c r="C9" s="613" t="str">
        <f>CONCATENATE("Tax Levy Amount in ",J2-2," Budget")</f>
        <v>Tax Levy Amount in 2011 Budget</v>
      </c>
      <c r="D9" s="601" t="str">
        <f>CONCATENATE("Allocation for Year ",J2,"")</f>
        <v>Allocation for Year 2013</v>
      </c>
      <c r="E9" s="616"/>
      <c r="F9" s="616"/>
      <c r="G9" s="603"/>
      <c r="H9" s="18"/>
      <c r="I9" s="18"/>
      <c r="J9" s="18"/>
    </row>
    <row r="10" spans="1:10">
      <c r="A10" s="18"/>
      <c r="B10" s="614"/>
      <c r="C10" s="614"/>
      <c r="D10" s="110" t="s">
        <v>45</v>
      </c>
      <c r="E10" s="110" t="s">
        <v>46</v>
      </c>
      <c r="F10" s="110" t="s">
        <v>86</v>
      </c>
      <c r="G10" s="107" t="s">
        <v>155</v>
      </c>
      <c r="H10" s="18"/>
      <c r="I10" s="18"/>
      <c r="J10" s="18"/>
    </row>
    <row r="11" spans="1:10">
      <c r="A11" s="18"/>
      <c r="B11" s="38" t="str">
        <f>inputPrYr!B19</f>
        <v>General</v>
      </c>
      <c r="C11" s="121">
        <f>inputPrYr!E19</f>
        <v>31466</v>
      </c>
      <c r="D11" s="121">
        <f>IF(E17=0,0,E17-D12-D13-D14)</f>
        <v>4618</v>
      </c>
      <c r="E11" s="121">
        <f>IF(E19=0,0,E19-E12-E13-E14)</f>
        <v>126</v>
      </c>
      <c r="F11" s="121">
        <f>IF(E21=0,0,E21-F12-F13-F14)</f>
        <v>315</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31466</v>
      </c>
      <c r="D15" s="130">
        <f>SUM(D11:D14)</f>
        <v>4618</v>
      </c>
      <c r="E15" s="130">
        <f>SUM(E11:E14)</f>
        <v>126</v>
      </c>
      <c r="F15" s="130">
        <f>SUM(F11:F14)</f>
        <v>315</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4618</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126</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315</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0.14676158393186298</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4.0043221254687598E-3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1.00108053136719E-2</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Ohio/Princeton Fire</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9" t="s">
        <v>143</v>
      </c>
      <c r="B5" s="599"/>
      <c r="C5" s="599"/>
      <c r="D5" s="599"/>
      <c r="E5" s="599"/>
      <c r="F5" s="599"/>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2012-07-19T15:32:23Z</cp:lastPrinted>
  <dcterms:created xsi:type="dcterms:W3CDTF">1999-08-06T13:59:57Z</dcterms:created>
  <dcterms:modified xsi:type="dcterms:W3CDTF">2012-11-09T18:20:03Z</dcterms:modified>
</cp:coreProperties>
</file>