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D12" s="1"/>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s="1"/>
  <c r="C66"/>
  <c r="D66"/>
  <c r="C64"/>
  <c r="C52"/>
  <c r="C53"/>
  <c r="C65"/>
  <c r="D64"/>
  <c r="D67"/>
  <c r="E64"/>
  <c r="D52"/>
  <c r="E52"/>
  <c r="C31"/>
  <c r="C19"/>
  <c r="C20"/>
  <c r="D31"/>
  <c r="D19"/>
  <c r="E19"/>
  <c r="E31"/>
  <c r="D52" i="4"/>
  <c r="D50"/>
  <c r="D56" i="15"/>
  <c r="C56"/>
  <c r="C69" s="1"/>
  <c r="B56"/>
  <c r="G11" i="7"/>
  <c r="E15" i="4" s="1"/>
  <c r="E14"/>
  <c r="D9"/>
  <c r="D28" s="1"/>
  <c r="C28"/>
  <c r="C29" s="1"/>
  <c r="C50"/>
  <c r="C49" s="1"/>
  <c r="D7" i="16"/>
  <c r="C52" i="4"/>
  <c r="F3"/>
  <c r="G55"/>
  <c r="E6" i="6"/>
  <c r="E39"/>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49" i="4"/>
  <c r="D20" i="16"/>
  <c r="D22"/>
  <c r="D18"/>
  <c r="B10"/>
  <c r="B9"/>
  <c r="B8"/>
  <c r="B7"/>
  <c r="F1"/>
  <c r="A16" s="1"/>
  <c r="A1"/>
  <c r="D11"/>
  <c r="D12"/>
  <c r="C13"/>
  <c r="A47" i="14"/>
  <c r="A46"/>
  <c r="A45"/>
  <c r="A44"/>
  <c r="A43"/>
  <c r="A42"/>
  <c r="E1"/>
  <c r="A39" s="1"/>
  <c r="J2" i="7"/>
  <c r="C9" s="1"/>
  <c r="D22" i="14"/>
  <c r="I3" i="8"/>
  <c r="A10" s="1"/>
  <c r="A37" i="2"/>
  <c r="A15"/>
  <c r="E20" i="9"/>
  <c r="E16"/>
  <c r="E12"/>
  <c r="K20"/>
  <c r="J20"/>
  <c r="I20"/>
  <c r="H20"/>
  <c r="K16"/>
  <c r="J16"/>
  <c r="I16"/>
  <c r="H16"/>
  <c r="K12"/>
  <c r="K21"/>
  <c r="J12"/>
  <c r="J21"/>
  <c r="I12"/>
  <c r="I21"/>
  <c r="H12"/>
  <c r="H21"/>
  <c r="K1"/>
  <c r="E8" s="1"/>
  <c r="F28" s="1"/>
  <c r="F21" i="8"/>
  <c r="M14" s="1"/>
  <c r="E16"/>
  <c r="B39" i="2"/>
  <c r="B21" i="8"/>
  <c r="A10" i="14"/>
  <c r="A8"/>
  <c r="A7"/>
  <c r="B5" i="12"/>
  <c r="B27"/>
  <c r="B31"/>
  <c r="B10"/>
  <c r="B9"/>
  <c r="B19"/>
  <c r="B23"/>
  <c r="D21" i="8"/>
  <c r="E24" i="13"/>
  <c r="E26"/>
  <c r="F18" i="8"/>
  <c r="D16"/>
  <c r="D24" i="13"/>
  <c r="D26"/>
  <c r="D18" i="8"/>
  <c r="B16"/>
  <c r="C24" i="13"/>
  <c r="C26"/>
  <c r="B18" i="8"/>
  <c r="B13"/>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C17" s="1"/>
  <c r="B20"/>
  <c r="A16"/>
  <c r="A4"/>
  <c r="B14" i="7"/>
  <c r="B13"/>
  <c r="B2"/>
  <c r="B1"/>
  <c r="B11"/>
  <c r="C18" i="6"/>
  <c r="D18"/>
  <c r="E18"/>
  <c r="C51"/>
  <c r="D51"/>
  <c r="E51"/>
  <c r="C29" i="15"/>
  <c r="C53"/>
  <c r="D53"/>
  <c r="A18" i="3"/>
  <c r="B4" i="16"/>
  <c r="D13"/>
  <c r="C78" i="5"/>
  <c r="B66" i="6"/>
  <c r="B73" i="5"/>
  <c r="C15" i="7"/>
  <c r="C25" s="1"/>
  <c r="A11" i="3"/>
  <c r="B18" i="17"/>
  <c r="B35" i="5"/>
  <c r="B29" i="17"/>
  <c r="B30"/>
  <c r="K18"/>
  <c r="C30" i="6"/>
  <c r="C9" i="13"/>
  <c r="J7" i="9"/>
  <c r="H28"/>
  <c r="A36" i="10"/>
  <c r="A26" i="14"/>
  <c r="B40"/>
  <c r="D6" i="4"/>
  <c r="E13" i="3"/>
  <c r="F15"/>
  <c r="A10"/>
  <c r="D13" i="8"/>
  <c r="G14"/>
  <c r="A6" i="14"/>
  <c r="A24"/>
  <c r="C40"/>
  <c r="D6" i="6"/>
  <c r="D39" s="1"/>
  <c r="G12" i="7"/>
  <c r="E14" i="15" s="1"/>
  <c r="K28" i="17"/>
  <c r="E6" i="16"/>
  <c r="G28" i="9"/>
  <c r="A26" i="16"/>
  <c r="C6"/>
  <c r="B6"/>
  <c r="H7" i="9"/>
  <c r="D6" i="16"/>
  <c r="A35" i="14"/>
  <c r="C46" i="3"/>
  <c r="G14" i="7"/>
  <c r="E52" i="5" s="1"/>
  <c r="D14" i="7"/>
  <c r="E49" i="5" s="1"/>
  <c r="C32" i="6"/>
  <c r="D7"/>
  <c r="D20"/>
  <c r="D32"/>
  <c r="C40" i="5"/>
  <c r="E6"/>
  <c r="E44" s="1"/>
  <c r="C6" i="4"/>
  <c r="B52"/>
  <c r="D70"/>
  <c r="C70"/>
  <c r="E6"/>
  <c r="E14" i="5"/>
  <c r="A14" i="14"/>
  <c r="E47" i="4"/>
  <c r="E50"/>
  <c r="E13" i="16"/>
  <c r="C67" i="6"/>
  <c r="C35"/>
  <c r="C87" i="5"/>
  <c r="B37" s="1"/>
  <c r="E17" i="8"/>
  <c r="M20" s="1"/>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F16" i="8"/>
  <c r="F53" i="4"/>
  <c r="E49"/>
  <c r="E54"/>
  <c r="E23" i="3"/>
  <c r="J16" i="8"/>
  <c r="J19"/>
  <c r="J12"/>
  <c r="J17"/>
  <c r="J20"/>
  <c r="E40" i="6"/>
  <c r="E53"/>
  <c r="E65"/>
  <c r="E66"/>
  <c r="D68"/>
  <c r="J59" i="4"/>
  <c r="J58"/>
  <c r="A11" i="8" l="1"/>
  <c r="F13"/>
  <c r="C51" i="4"/>
  <c r="C71" s="1"/>
  <c r="B54"/>
  <c r="E13" i="15"/>
  <c r="F11" i="7"/>
  <c r="E13" i="4" s="1"/>
  <c r="E12" i="5"/>
  <c r="E11" i="7"/>
  <c r="E11" i="15"/>
  <c r="D13" i="7"/>
  <c r="D11" s="1"/>
  <c r="G16" i="10"/>
  <c r="G20" s="1"/>
  <c r="G24" s="1"/>
  <c r="F74" i="5"/>
  <c r="E25" i="3"/>
  <c r="E70" i="5"/>
  <c r="E75"/>
  <c r="D17" i="8"/>
  <c r="D19" s="1"/>
  <c r="E45" i="5"/>
  <c r="D90"/>
  <c r="B76" s="1"/>
  <c r="D29" i="15"/>
  <c r="D31"/>
  <c r="D55" s="1"/>
  <c r="B17" i="8"/>
  <c r="B19" s="1"/>
  <c r="E30" i="15"/>
  <c r="G55" s="1"/>
  <c r="B29" i="13"/>
  <c r="A12" i="14"/>
  <c r="B58" i="15"/>
  <c r="D70"/>
  <c r="B59" s="1"/>
  <c r="E7"/>
  <c r="E11" i="5"/>
  <c r="E21" s="1"/>
  <c r="D88"/>
  <c r="B38" s="1"/>
  <c r="E7"/>
  <c r="D27" i="4"/>
  <c r="E29" i="3"/>
  <c r="F57" i="15"/>
  <c r="E58"/>
  <c r="F17" i="8"/>
  <c r="F19" s="1"/>
  <c r="E53" i="15"/>
  <c r="E59" i="5"/>
  <c r="E60" s="1"/>
  <c r="E76" s="1"/>
  <c r="E78" s="1"/>
  <c r="F15" i="7"/>
  <c r="D7" i="4" l="1"/>
  <c r="D29" s="1"/>
  <c r="D51" s="1"/>
  <c r="G45" s="1"/>
  <c r="E12"/>
  <c r="E15" i="7"/>
  <c r="E11" i="4"/>
  <c r="E28" s="1"/>
  <c r="G46" s="1"/>
  <c r="D15" i="7"/>
  <c r="E22" i="5"/>
  <c r="E38" s="1"/>
  <c r="E40" s="1"/>
  <c r="G26" i="10"/>
  <c r="J28" s="1"/>
  <c r="J30" s="1"/>
  <c r="E31" i="15"/>
  <c r="E59" s="1"/>
  <c r="E61" s="1"/>
  <c r="G62" s="1"/>
  <c r="G25" i="3"/>
  <c r="F25"/>
  <c r="F24"/>
  <c r="G24"/>
  <c r="E20" i="5"/>
  <c r="E58"/>
  <c r="E7" i="4" l="1"/>
  <c r="E29" s="1"/>
  <c r="E55" s="1"/>
  <c r="E57" s="1"/>
  <c r="G53" s="1"/>
  <c r="D71"/>
  <c r="B55" s="1"/>
  <c r="E29" i="15"/>
  <c r="J32" i="10"/>
  <c r="J34" s="1"/>
  <c r="G56" i="15"/>
  <c r="G57" s="1"/>
  <c r="G60" s="1"/>
  <c r="E27" i="4"/>
  <c r="G16" i="8" l="1"/>
  <c r="G17" s="1"/>
  <c r="M19" s="1"/>
  <c r="M21" s="1"/>
  <c r="F23" i="3"/>
  <c r="F29" s="1"/>
  <c r="F30" s="1"/>
  <c r="G47" i="4"/>
  <c r="G48" s="1"/>
  <c r="G51" s="1"/>
  <c r="H16" i="8" l="1"/>
  <c r="H17" s="1"/>
</calcChain>
</file>

<file path=xl/sharedStrings.xml><?xml version="1.0" encoding="utf-8"?>
<sst xmlns="http://schemas.openxmlformats.org/spreadsheetml/2006/main" count="1103" uniqueCount="746">
  <si>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</si>
  <si>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</si>
  <si>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</si>
  <si>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</si>
  <si>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</si>
  <si>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</si>
  <si>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</si>
  <si>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</si>
  <si>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</si>
  <si>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</si>
  <si>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</si>
  <si>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</si>
  <si>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</si>
  <si>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</si>
  <si>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</si>
  <si>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</si>
  <si>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</si>
  <si>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</si>
  <si>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</si>
  <si>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</si>
  <si>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</si>
  <si>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</si>
  <si>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</si>
  <si>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</si>
  <si>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</si>
  <si>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</si>
  <si>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</si>
  <si>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</si>
  <si>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</si>
  <si>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</si>
  <si>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</si>
  <si>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</si>
  <si>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</si>
  <si>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</si>
  <si>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</si>
  <si>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</si>
  <si>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</si>
  <si>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</si>
  <si>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</si>
  <si>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</si>
  <si>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</si>
  <si>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</si>
  <si>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</si>
  <si>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</si>
  <si>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</si>
  <si>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</si>
  <si>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</si>
  <si>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</si>
  <si>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</si>
  <si>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</si>
  <si>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</si>
  <si>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</si>
  <si>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</si>
  <si>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</si>
  <si>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</si>
  <si>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</si>
  <si>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</si>
  <si>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</si>
  <si>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</si>
  <si>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</si>
  <si>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</si>
  <si>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</si>
  <si>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</si>
  <si>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</si>
  <si>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</si>
  <si>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</si>
  <si>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</si>
  <si>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</si>
  <si>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</si>
  <si>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</si>
  <si>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</si>
  <si>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</si>
  <si>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</si>
  <si>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</si>
  <si>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</si>
  <si>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</si>
  <si>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</si>
  <si>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</si>
  <si>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</si>
  <si>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</si>
  <si>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</si>
  <si>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</si>
  <si>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</si>
  <si>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</si>
  <si>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</si>
  <si>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</si>
  <si>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</si>
  <si>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</si>
  <si>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</si>
  <si>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</si>
  <si>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</si>
  <si>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</si>
  <si>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</si>
  <si>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</si>
  <si>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</si>
  <si>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</si>
  <si>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</si>
  <si>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</si>
  <si>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</si>
  <si>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</si>
  <si>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</si>
  <si>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</si>
  <si>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</si>
  <si>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</si>
  <si>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</si>
  <si>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</si>
  <si>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</si>
  <si>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</si>
  <si>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</si>
  <si>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</si>
  <si>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</si>
  <si>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</si>
  <si>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</si>
  <si>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</si>
  <si>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</si>
  <si>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</si>
  <si>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</si>
  <si>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</si>
  <si>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</si>
  <si>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</si>
  <si>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</si>
  <si>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</si>
  <si>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</si>
  <si>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</si>
  <si>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</si>
  <si>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</si>
  <si>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</si>
  <si>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</si>
  <si>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</si>
  <si>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</si>
  <si>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</si>
  <si>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</si>
  <si>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</si>
  <si>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</si>
  <si>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</si>
  <si>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</si>
  <si>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</si>
  <si>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</si>
  <si>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</si>
  <si>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</si>
  <si>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</si>
  <si>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</si>
  <si>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</si>
  <si>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</si>
  <si>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</si>
  <si>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</si>
  <si>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</si>
  <si>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</si>
  <si>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</si>
  <si>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</si>
  <si>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</si>
  <si>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</si>
  <si>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</si>
  <si>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</si>
  <si>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</si>
  <si>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</si>
  <si>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</si>
  <si>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</si>
  <si>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</si>
  <si>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</si>
  <si>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</si>
  <si>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</si>
  <si>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</si>
  <si>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</si>
  <si>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</si>
  <si>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</si>
  <si>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</si>
  <si>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</si>
  <si>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</si>
  <si>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</si>
  <si>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</si>
  <si>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</si>
  <si>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</si>
  <si>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</si>
  <si>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</si>
  <si>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</si>
  <si>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</si>
  <si>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</si>
  <si>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</si>
  <si>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</si>
  <si>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</si>
  <si>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</si>
  <si>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</si>
  <si>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</si>
  <si>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</si>
  <si>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</si>
  <si>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</si>
  <si>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</si>
  <si>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</si>
  <si>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</si>
  <si>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</si>
  <si>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</si>
  <si>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</si>
  <si>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</si>
  <si>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</si>
  <si>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</si>
  <si>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</si>
  <si>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</si>
  <si>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</si>
  <si>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</si>
  <si>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</si>
  <si>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</si>
  <si>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</si>
  <si>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</si>
  <si>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</si>
  <si>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</si>
  <si>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</si>
  <si>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</si>
  <si>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</si>
  <si>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</si>
  <si>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</si>
  <si>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</si>
  <si>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</si>
  <si>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</si>
  <si>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</si>
  <si>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</si>
  <si>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</si>
  <si>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</si>
  <si>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</si>
  <si>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</si>
  <si>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</si>
  <si>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</si>
  <si>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</si>
  <si>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</si>
  <si>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</si>
  <si>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</si>
  <si>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</si>
  <si>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</si>
  <si>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</si>
  <si>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</si>
  <si>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</si>
  <si>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</si>
  <si>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</si>
  <si>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</si>
  <si>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</si>
  <si>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</si>
  <si>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</si>
  <si>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</si>
  <si>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</si>
  <si>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</si>
  <si>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</si>
  <si>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</si>
  <si>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</si>
  <si>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</si>
  <si>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</si>
  <si>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</si>
  <si>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</si>
  <si>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</si>
  <si>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</si>
  <si>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</si>
  <si>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</si>
  <si>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</si>
  <si>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</si>
  <si>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</si>
  <si>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</si>
  <si>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</si>
  <si>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</si>
  <si>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</si>
  <si>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</si>
  <si>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</si>
  <si>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</si>
  <si>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</si>
  <si>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</si>
  <si>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</si>
  <si>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</si>
  <si>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</si>
  <si>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</si>
  <si>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</si>
  <si>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</si>
  <si>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</si>
  <si>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</si>
  <si>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</si>
  <si>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</si>
  <si>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</si>
  <si>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</si>
  <si>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</si>
  <si>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</si>
  <si>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</si>
  <si>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</si>
  <si>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</si>
  <si>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</si>
  <si>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</si>
  <si>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</si>
  <si>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</si>
  <si>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</si>
  <si>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</si>
  <si>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</si>
  <si>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</si>
  <si>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</si>
  <si>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</si>
  <si>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</si>
  <si>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</si>
  <si>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</si>
  <si>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</si>
  <si>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</si>
  <si>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</si>
  <si>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</si>
  <si>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</si>
  <si>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</si>
  <si>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</si>
  <si>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</si>
  <si>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</si>
  <si>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</si>
  <si>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</si>
  <si>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</si>
  <si>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</si>
  <si>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</si>
  <si>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</si>
  <si>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</si>
  <si>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</si>
  <si>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</si>
  <si>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</si>
  <si>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</si>
  <si>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</si>
  <si>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</si>
  <si>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</si>
  <si>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</si>
  <si>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</si>
  <si>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</si>
  <si>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</si>
  <si>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</si>
  <si>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</si>
  <si>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</si>
  <si>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</si>
  <si>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</si>
  <si>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</si>
  <si>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</si>
  <si>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</si>
  <si>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</si>
  <si>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</si>
  <si>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</si>
  <si>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</si>
  <si>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</si>
  <si>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</si>
  <si>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</si>
  <si>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</si>
  <si>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</si>
  <si>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</si>
  <si>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</si>
  <si>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</si>
  <si>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</si>
  <si>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</si>
  <si>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</si>
  <si>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</si>
  <si>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</si>
  <si>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</si>
  <si>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</si>
  <si>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</si>
  <si>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</si>
  <si>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</si>
  <si>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</si>
  <si>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</si>
  <si>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</si>
  <si>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</si>
  <si>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</si>
  <si>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</si>
  <si>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</si>
  <si>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</si>
  <si>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</si>
  <si>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</si>
  <si>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</si>
  <si>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</si>
  <si>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</si>
  <si>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</si>
  <si>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</si>
  <si>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</si>
  <si>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</si>
  <si>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</si>
  <si>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</si>
  <si>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</si>
  <si>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</si>
  <si>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</si>
  <si>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</si>
  <si>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</si>
  <si>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</si>
  <si>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</si>
  <si>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</si>
  <si>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</si>
  <si>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</si>
  <si>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</si>
  <si>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</si>
  <si>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</si>
  <si>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</si>
  <si>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</si>
  <si>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</si>
  <si>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</si>
  <si>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</si>
  <si>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</si>
  <si>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</si>
  <si>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</si>
  <si>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</si>
  <si>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</si>
  <si>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</si>
  <si>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</si>
  <si>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</si>
  <si>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</si>
  <si>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</si>
  <si>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</si>
  <si>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</si>
  <si>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</si>
  <si>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</si>
  <si>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</si>
  <si>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</si>
  <si>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</si>
  <si>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</si>
  <si>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</si>
  <si>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</si>
  <si>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</si>
  <si>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</si>
  <si>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</si>
  <si>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</si>
  <si>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</si>
  <si>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</si>
  <si>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</si>
  <si>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</si>
  <si>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</si>
  <si>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</si>
  <si>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</si>
  <si>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</si>
  <si>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</si>
  <si>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</si>
  <si>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</si>
  <si>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</si>
  <si>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</si>
  <si>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</si>
  <si>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</si>
  <si>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</si>
  <si>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</si>
  <si>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</si>
  <si>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</si>
  <si>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</si>
  <si>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</si>
  <si>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</si>
  <si>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</si>
  <si>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</si>
  <si>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</si>
  <si>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</si>
  <si>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</si>
  <si>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</si>
  <si>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</si>
  <si>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</si>
  <si>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</si>
  <si>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</si>
  <si>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</si>
  <si>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</si>
  <si>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</si>
  <si>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</si>
  <si>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</si>
  <si>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</si>
  <si>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</si>
  <si>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</si>
  <si>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</si>
  <si>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</si>
  <si>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</si>
  <si>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</si>
  <si>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</si>
  <si>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</si>
  <si>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</si>
  <si>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</si>
  <si>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</si>
  <si>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</si>
  <si>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</si>
  <si>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</si>
  <si>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</si>
  <si>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</si>
  <si>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</si>
  <si>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</si>
  <si>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</si>
  <si>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</si>
  <si>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</si>
  <si>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</si>
  <si>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</si>
  <si>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</si>
  <si>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</si>
  <si>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</si>
  <si>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</si>
  <si>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</si>
  <si>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</si>
  <si>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</si>
  <si>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</si>
  <si>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</si>
  <si>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</si>
  <si>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</si>
  <si>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</si>
  <si>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</si>
  <si>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</si>
  <si>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</si>
  <si>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</si>
  <si>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</si>
  <si>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</si>
  <si>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</si>
  <si>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</si>
  <si>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</si>
  <si>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</si>
  <si>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</si>
  <si>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</si>
  <si>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</si>
  <si>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</si>
  <si>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</si>
  <si>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</si>
  <si>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</si>
  <si>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</si>
  <si>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</si>
  <si>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</si>
  <si>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</si>
  <si>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</si>
  <si>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</si>
  <si>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</si>
  <si>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</si>
  <si>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</si>
  <si>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</si>
  <si>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</si>
  <si>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</si>
  <si>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</si>
  <si>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</si>
  <si>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</si>
  <si>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</si>
  <si>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</si>
  <si>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</si>
  <si>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</si>
  <si>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</si>
  <si>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</si>
  <si>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</si>
  <si>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</si>
  <si>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</si>
  <si>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</si>
  <si>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</si>
  <si>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</si>
  <si>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</si>
  <si>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</si>
  <si>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</si>
  <si>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</si>
  <si>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</si>
  <si>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</si>
  <si>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</si>
  <si>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</si>
  <si>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</si>
  <si>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</si>
  <si>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</si>
  <si>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</si>
  <si>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</si>
  <si>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</si>
  <si>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</si>
  <si>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</si>
  <si>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</si>
  <si>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</si>
  <si>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</si>
  <si>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</si>
  <si>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</si>
  <si>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</si>
  <si>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</si>
  <si>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</si>
  <si>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</si>
  <si>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</si>
  <si>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</si>
  <si>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</si>
  <si>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</si>
  <si>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</si>
  <si>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</si>
  <si>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</si>
  <si>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</si>
  <si>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</si>
  <si>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</si>
  <si>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</si>
  <si>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</si>
  <si>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</si>
  <si>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</si>
  <si>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</si>
  <si>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</si>
  <si>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</si>
  <si>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</si>
  <si>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</si>
  <si>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</si>
  <si>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</si>
  <si>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</si>
  <si>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</si>
  <si>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</si>
  <si>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</si>
  <si>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</si>
  <si>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</si>
  <si>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</si>
  <si>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</si>
  <si>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</si>
  <si>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</si>
  <si>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</si>
  <si>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</si>
  <si>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</si>
  <si>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</si>
  <si>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</si>
  <si>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</si>
  <si>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</si>
  <si>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</si>
  <si>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</si>
  <si>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</si>
  <si>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</si>
  <si>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</si>
  <si>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</si>
  <si>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</si>
  <si>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</si>
  <si>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</si>
  <si>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</si>
  <si>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</si>
  <si>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</si>
  <si>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</si>
  <si>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</si>
  <si>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</si>
  <si>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</si>
  <si>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</si>
  <si>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</si>
  <si>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</si>
  <si>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</si>
  <si>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</si>
  <si>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</si>
  <si>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</si>
  <si>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</si>
  <si>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</si>
  <si>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</si>
  <si>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</si>
  <si>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</si>
  <si>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</si>
  <si>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</si>
  <si>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</si>
  <si>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</si>
  <si>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</si>
  <si>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</si>
  <si>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</si>
  <si>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</si>
  <si>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</si>
  <si>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</si>
  <si>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</si>
  <si>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</si>
  <si>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</si>
  <si>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</si>
  <si>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</si>
  <si>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</si>
  <si>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</si>
  <si>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</si>
  <si>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</si>
  <si>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</si>
  <si>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</si>
  <si>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</si>
  <si>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</si>
  <si>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</si>
  <si>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</si>
  <si>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</si>
  <si>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</si>
  <si>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</si>
  <si>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</si>
  <si>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</si>
  <si>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</si>
  <si>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</si>
  <si>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</si>
  <si>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</si>
  <si>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</si>
  <si>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</si>
  <si>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</si>
  <si>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</si>
  <si>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</si>
  <si>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</si>
  <si>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</si>
  <si>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</si>
  <si>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</si>
  <si>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</si>
  <si>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</si>
  <si>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</si>
  <si>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</si>
  <si>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</si>
  <si>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</si>
  <si>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</si>
  <si>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</si>
  <si>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</si>
  <si>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</si>
  <si>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</si>
  <si>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</si>
  <si>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</si>
  <si>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</si>
  <si>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</si>
  <si>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</si>
  <si>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</si>
  <si>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</si>
  <si>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</si>
  <si>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</si>
  <si>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</si>
  <si>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</si>
  <si>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</si>
  <si>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</si>
  <si>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</si>
  <si>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</si>
  <si>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</si>
  <si>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</si>
  <si>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</si>
  <si>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</si>
  <si>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</si>
  <si>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</si>
  <si>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</si>
  <si>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</si>
  <si>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</si>
  <si>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</si>
  <si>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</si>
  <si>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</si>
  <si>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</si>
  <si>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</si>
  <si>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</si>
  <si>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</si>
  <si>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</si>
  <si>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</si>
  <si>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</si>
  <si>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</si>
  <si>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</si>
  <si>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</si>
  <si>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</si>
  <si>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</si>
  <si>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</si>
  <si>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</si>
  <si>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</si>
  <si>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</si>
  <si>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</si>
  <si>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</si>
  <si>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</si>
  <si>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</si>
  <si>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</si>
  <si>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</si>
  <si>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</si>
  <si>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</si>
  <si>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</si>
  <si>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</si>
  <si>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</si>
  <si>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</si>
  <si>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</si>
  <si>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</si>
  <si>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</si>
  <si>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</si>
  <si>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</si>
  <si>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</si>
  <si>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Princeton Cemetery</t>
  </si>
  <si>
    <t>17-1330</t>
  </si>
  <si>
    <t>Princeton Fire Station</t>
  </si>
  <si>
    <t>Sales of Lots</t>
  </si>
  <si>
    <t>Opening &amp; Closing</t>
  </si>
  <si>
    <t>Transfer from CD</t>
  </si>
  <si>
    <t>Misc</t>
  </si>
  <si>
    <t>Operations</t>
  </si>
  <si>
    <t>Mowing</t>
  </si>
  <si>
    <t>August 7, 2012</t>
  </si>
  <si>
    <t>6:30 p.m.</t>
  </si>
  <si>
    <t>/s/ Wilma Atchison</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</si>
</sst>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172042</xdr:colOff>
      <xdr:row>52</xdr:row>
      <xdr:rowOff>152400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38405</v>
      </c>
      <c r="E19" s="37">
        <v>14592</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14592</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38405</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1.97</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1.97</v>
      </c>
      <c r="E42" s="39"/>
    </row>
    <row r="43" spans="1:5" ht="16.5" thickTop="1">
      <c r="A43" s="18"/>
      <c r="B43" s="18"/>
      <c r="C43" s="18"/>
      <c r="D43" s="18"/>
      <c r="E43" s="39"/>
    </row>
    <row r="44" spans="1:5">
      <c r="A44" s="51" t="str">
        <f>CONCATENATE("Total Tax Levied (",D6-2," budget column)")</f>
        <v>Total Tax Levied (2011 budget column)</v>
      </c>
      <c r="B44" s="29"/>
      <c r="C44" s="18"/>
      <c r="D44" s="18"/>
      <c r="E44" s="52">
        <v>14469</v>
      </c>
    </row>
    <row r="45" spans="1:5">
      <c r="A45" s="51" t="str">
        <f>CONCATENATE("Assessed Valuation (",D6-2," budget column)")</f>
        <v>Assessed Valuation (2011 budget column)</v>
      </c>
      <c r="B45" s="29"/>
      <c r="C45" s="18"/>
      <c r="D45" s="18"/>
      <c r="E45" s="53">
        <v>7346942</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Princeton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7641132</v>
      </c>
    </row>
    <row r="8" spans="1:5" ht="15.75">
      <c r="A8" s="62" t="str">
        <f>CONCATENATE("New Improvements for ",inputPrYr!D6-1,"")</f>
        <v>New Improvements for 2012</v>
      </c>
      <c r="B8" s="63"/>
      <c r="C8" s="63"/>
      <c r="D8" s="63"/>
      <c r="E8" s="64">
        <v>15602</v>
      </c>
    </row>
    <row r="9" spans="1:5" ht="15.75">
      <c r="A9" s="62" t="str">
        <f>CONCATENATE("Personal Property excluding oil, gas, and mobile homes- ",inputPrYr!D6-1,"")</f>
        <v>Personal Property excluding oil, gas, and mobile homes- 2012</v>
      </c>
      <c r="B9" s="63"/>
      <c r="C9" s="63"/>
      <c r="D9" s="63"/>
      <c r="E9" s="64">
        <v>148155</v>
      </c>
    </row>
    <row r="10" spans="1:5" ht="15.75">
      <c r="A10" s="62" t="str">
        <f>CONCATENATE("Property that has changed in use for ",inputPrYr!D6-1,"")</f>
        <v>Property that has changed in use for 2012</v>
      </c>
      <c r="B10" s="63"/>
      <c r="C10" s="63"/>
      <c r="D10" s="63"/>
      <c r="E10" s="64">
        <v>37747</v>
      </c>
    </row>
    <row r="11" spans="1:5" ht="15.75">
      <c r="A11" s="61" t="str">
        <f>CONCATENATE("Personal Property excluding oil, gas, and mobile homes- ",inputPrYr!D6-2,"")</f>
        <v>Personal Property excluding oil, gas, and mobile homes- 2011</v>
      </c>
      <c r="B11" s="42"/>
      <c r="C11" s="42"/>
      <c r="D11" s="42"/>
      <c r="E11" s="64">
        <v>134965</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1.9710000000000001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1.9710000000000001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7407074</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1951</v>
      </c>
    </row>
    <row r="28" spans="1:5" ht="15.75">
      <c r="A28" s="62" t="s">
        <v>15</v>
      </c>
      <c r="B28" s="63"/>
      <c r="C28" s="63"/>
      <c r="D28" s="80"/>
      <c r="E28" s="37">
        <v>62</v>
      </c>
    </row>
    <row r="29" spans="1:5" ht="15.75">
      <c r="A29" s="62" t="s">
        <v>166</v>
      </c>
      <c r="B29" s="63"/>
      <c r="C29" s="63"/>
      <c r="D29" s="80"/>
      <c r="E29" s="37">
        <v>125</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35629</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9" sqref="B9"/>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743</v>
      </c>
      <c r="C5" s="360"/>
      <c r="D5" s="358" t="s">
        <v>726</v>
      </c>
      <c r="E5" s="356"/>
      <c r="F5" s="356"/>
    </row>
    <row r="6" spans="1:6" ht="15.75">
      <c r="A6" s="358"/>
      <c r="B6" s="361"/>
      <c r="C6" s="362"/>
      <c r="D6" s="358" t="s">
        <v>725</v>
      </c>
      <c r="E6" s="356"/>
      <c r="F6" s="356"/>
    </row>
    <row r="7" spans="1:6" ht="15.75">
      <c r="A7" s="358" t="s">
        <v>321</v>
      </c>
      <c r="B7" s="359" t="s">
        <v>744</v>
      </c>
      <c r="C7" s="363"/>
      <c r="D7" s="358"/>
      <c r="E7" s="356"/>
      <c r="F7" s="356"/>
    </row>
    <row r="8" spans="1:6" ht="15.75">
      <c r="A8" s="358"/>
      <c r="B8" s="358"/>
      <c r="C8" s="358"/>
      <c r="D8" s="358"/>
      <c r="E8" s="356"/>
      <c r="F8" s="356"/>
    </row>
    <row r="9" spans="1:6" ht="15.75">
      <c r="A9" s="358" t="s">
        <v>322</v>
      </c>
      <c r="B9" s="364" t="s">
        <v>736</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topLeftCell="A7" workbookViewId="0">
      <selection activeCell="A7" sqref="A7"/>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Princeton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22161</v>
      </c>
      <c r="F23" s="117">
        <f>IF(gen!$E$57&lt;&gt;0,gen!$E$57,"  ")</f>
        <v>14720</v>
      </c>
      <c r="G23" s="118">
        <v>1.927</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22161</v>
      </c>
      <c r="F29" s="405">
        <f>SUM(F23:F27)</f>
        <v>14720</v>
      </c>
      <c r="G29" s="409">
        <v>1.927</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7642231</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6"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6"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Princeton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14592</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14592</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15602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148155</v>
      </c>
      <c r="F14" s="149"/>
      <c r="G14" s="39"/>
      <c r="H14" s="39"/>
      <c r="I14" s="152"/>
      <c r="J14" s="39"/>
    </row>
    <row r="15" spans="1:10" ht="15.75">
      <c r="A15" s="148"/>
      <c r="B15" s="18" t="s">
        <v>98</v>
      </c>
      <c r="C15" s="18" t="str">
        <f>CONCATENATE("Personal Property ",J1-2,"")</f>
        <v>Personal Property 2011</v>
      </c>
      <c r="D15" s="148" t="s">
        <v>94</v>
      </c>
      <c r="E15" s="43">
        <f>inputOth!E11</f>
        <v>134965</v>
      </c>
      <c r="F15" s="149"/>
      <c r="G15" s="152"/>
      <c r="H15" s="152"/>
      <c r="I15" s="39"/>
      <c r="J15" s="39"/>
    </row>
    <row r="16" spans="1:10" ht="15.75">
      <c r="A16" s="148"/>
      <c r="B16" s="18" t="s">
        <v>99</v>
      </c>
      <c r="C16" s="18" t="s">
        <v>113</v>
      </c>
      <c r="D16" s="18"/>
      <c r="E16" s="39"/>
      <c r="F16" s="39" t="s">
        <v>91</v>
      </c>
      <c r="G16" s="151">
        <f>IF(E14&gt;E15,E14-E15,0)</f>
        <v>13190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37747</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66539</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7641132</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7574593</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8.7844983882302326E-3</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128</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14720</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14720</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6"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Princeton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14592</v>
      </c>
      <c r="D11" s="121">
        <f>IF(E17=0,0,E17-D12-D13-D14)</f>
        <v>1951</v>
      </c>
      <c r="E11" s="121">
        <f>IF(E19=0,0,E19-E12-E13-E14)</f>
        <v>62</v>
      </c>
      <c r="F11" s="121">
        <f>IF(E21=0,0,E21-F12-F13-F14)</f>
        <v>125</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14592</v>
      </c>
      <c r="D15" s="130">
        <f>SUM(D11:D14)</f>
        <v>1951</v>
      </c>
      <c r="E15" s="130">
        <f>SUM(E11:E14)</f>
        <v>62</v>
      </c>
      <c r="F15" s="130">
        <f>SUM(F11:F14)</f>
        <v>125</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1951</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62</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125</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0.13370339912280702</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4.24890350877193E-3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8.5663377192982462E-3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Princeton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Princeton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Princeton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c r="D7" s="394">
        <f>C51</f>
        <v>5570</v>
      </c>
      <c r="E7" s="47">
        <f>D51</f>
        <v>4603</v>
      </c>
    </row>
    <row r="8" spans="2:6">
      <c r="B8" s="239" t="s">
        <v>126</v>
      </c>
      <c r="C8" s="240"/>
      <c r="D8" s="240"/>
      <c r="E8" s="121"/>
    </row>
    <row r="9" spans="2:6">
      <c r="B9" s="115" t="s">
        <v>33</v>
      </c>
      <c r="C9" s="387">
        <v>10631</v>
      </c>
      <c r="D9" s="394">
        <f>inputPrYr!E19</f>
        <v>14592</v>
      </c>
      <c r="E9" s="128" t="s">
        <v>28</v>
      </c>
    </row>
    <row r="10" spans="2:6">
      <c r="B10" s="115" t="s">
        <v>34</v>
      </c>
      <c r="C10" s="387"/>
      <c r="D10" s="387"/>
      <c r="E10" s="202"/>
    </row>
    <row r="11" spans="2:6">
      <c r="B11" s="115" t="s">
        <v>35</v>
      </c>
      <c r="C11" s="387"/>
      <c r="D11" s="387">
        <v>2063</v>
      </c>
      <c r="E11" s="47">
        <f>mvalloc!D11</f>
        <v>1951</v>
      </c>
    </row>
    <row r="12" spans="2:6">
      <c r="B12" s="115" t="s">
        <v>36</v>
      </c>
      <c r="C12" s="387"/>
      <c r="D12" s="387">
        <v>71</v>
      </c>
      <c r="E12" s="47">
        <f>mvalloc!E11</f>
        <v>62</v>
      </c>
    </row>
    <row r="13" spans="2:6">
      <c r="B13" s="240" t="s">
        <v>108</v>
      </c>
      <c r="C13" s="387"/>
      <c r="D13" s="387">
        <v>157</v>
      </c>
      <c r="E13" s="47">
        <f>mvalloc!F11</f>
        <v>125</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737</v>
      </c>
      <c r="C17" s="387">
        <v>1590</v>
      </c>
      <c r="D17" s="387">
        <v>900</v>
      </c>
      <c r="E17" s="202">
        <v>500</v>
      </c>
    </row>
    <row r="18" spans="2:5">
      <c r="B18" s="241" t="s">
        <v>738</v>
      </c>
      <c r="C18" s="387">
        <v>350</v>
      </c>
      <c r="D18" s="387">
        <v>175</v>
      </c>
      <c r="E18" s="202">
        <v>200</v>
      </c>
    </row>
    <row r="19" spans="2:5">
      <c r="B19" s="241" t="s">
        <v>739</v>
      </c>
      <c r="C19" s="387">
        <v>7135</v>
      </c>
      <c r="D19" s="387"/>
      <c r="E19" s="202"/>
    </row>
    <row r="20" spans="2:5">
      <c r="B20" s="241" t="s">
        <v>740</v>
      </c>
      <c r="C20" s="387">
        <v>61</v>
      </c>
      <c r="D20" s="387">
        <v>475</v>
      </c>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19767</v>
      </c>
      <c r="D28" s="389">
        <f>SUM(D9:D26)</f>
        <v>18433</v>
      </c>
      <c r="E28" s="247">
        <f>SUM(E9:E26)</f>
        <v>2838</v>
      </c>
    </row>
    <row r="29" spans="2:5">
      <c r="B29" s="246" t="s">
        <v>40</v>
      </c>
      <c r="C29" s="389">
        <f>C7+C28</f>
        <v>19767</v>
      </c>
      <c r="D29" s="389">
        <f>D7+D28</f>
        <v>24003</v>
      </c>
      <c r="E29" s="247">
        <f>E7+E28</f>
        <v>7441</v>
      </c>
    </row>
    <row r="30" spans="2:5">
      <c r="B30" s="115" t="s">
        <v>41</v>
      </c>
      <c r="C30" s="119"/>
      <c r="D30" s="119"/>
      <c r="E30" s="38"/>
    </row>
    <row r="31" spans="2:5">
      <c r="B31" s="241" t="s">
        <v>741</v>
      </c>
      <c r="C31" s="387">
        <v>7139</v>
      </c>
      <c r="D31" s="387">
        <v>10800</v>
      </c>
      <c r="E31" s="202">
        <v>13561</v>
      </c>
    </row>
    <row r="32" spans="2:5">
      <c r="B32" s="241" t="s">
        <v>742</v>
      </c>
      <c r="C32" s="387">
        <v>7058</v>
      </c>
      <c r="D32" s="387">
        <v>8600</v>
      </c>
      <c r="E32" s="202">
        <v>8600</v>
      </c>
    </row>
    <row r="33" spans="2:10">
      <c r="B33" s="241"/>
      <c r="C33" s="387"/>
      <c r="D33" s="387"/>
      <c r="E33" s="202"/>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4603</v>
      </c>
      <c r="H45" s="541" t="str">
        <f>CONCATENATE("",F3-1," Ending Cash Balance (est.)")</f>
        <v>2012 Ending Cash Balance (est.)</v>
      </c>
      <c r="I45" s="533"/>
      <c r="J45" s="534"/>
    </row>
    <row r="46" spans="2:10">
      <c r="B46" s="241"/>
      <c r="C46" s="387"/>
      <c r="D46" s="387"/>
      <c r="E46" s="202"/>
      <c r="G46" s="542">
        <f>E28</f>
        <v>2838</v>
      </c>
      <c r="H46" s="533" t="str">
        <f>CONCATENATE("",F3," Non-AV Receipts (est.)")</f>
        <v>2013 Non-AV Receipts (est.)</v>
      </c>
      <c r="I46" s="533"/>
      <c r="J46" s="534"/>
    </row>
    <row r="47" spans="2:10">
      <c r="B47" s="119" t="s">
        <v>218</v>
      </c>
      <c r="C47" s="387"/>
      <c r="D47" s="387"/>
      <c r="E47" s="207" t="str">
        <f>Nhood!E7</f>
        <v/>
      </c>
      <c r="G47" s="532">
        <f>E57</f>
        <v>14720</v>
      </c>
      <c r="H47" s="533" t="str">
        <f>CONCATENATE("",F3," Ad Valorem Tax (est.)")</f>
        <v>2013 Ad Valorem Tax (est.)</v>
      </c>
      <c r="I47" s="533"/>
      <c r="J47" s="534"/>
    </row>
    <row r="48" spans="2:10">
      <c r="B48" s="119" t="s">
        <v>217</v>
      </c>
      <c r="C48" s="387"/>
      <c r="D48" s="387"/>
      <c r="E48" s="37"/>
      <c r="G48" s="542">
        <f>SUM(G45:G47)</f>
        <v>22161</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14197</v>
      </c>
      <c r="D50" s="389">
        <f>SUM(D31:D48)</f>
        <v>19400</v>
      </c>
      <c r="E50" s="247">
        <f>SUM(E31:E48)</f>
        <v>22161</v>
      </c>
      <c r="G50" s="532">
        <f>C50*0.05+C50</f>
        <v>14906.85</v>
      </c>
      <c r="H50" s="533" t="str">
        <f>CONCATENATE("Less ",F3-2," Expenditures + 5%")</f>
        <v>Less 2011 Expenditures + 5%</v>
      </c>
      <c r="I50" s="533"/>
      <c r="J50" s="534"/>
    </row>
    <row r="51" spans="2:10">
      <c r="B51" s="115" t="s">
        <v>125</v>
      </c>
      <c r="C51" s="390">
        <f>C29-C50</f>
        <v>5570</v>
      </c>
      <c r="D51" s="390">
        <f>D29-D50</f>
        <v>4603</v>
      </c>
      <c r="E51" s="128" t="s">
        <v>28</v>
      </c>
      <c r="G51" s="530">
        <f>G48-G50</f>
        <v>7254.15</v>
      </c>
      <c r="H51" s="529" t="str">
        <f>CONCATENATE("Projected ",F3+1," Carryover (est.)")</f>
        <v>Projected 2014 Carryover (est.)</v>
      </c>
      <c r="I51" s="515"/>
      <c r="J51" s="528"/>
    </row>
    <row r="52" spans="2:10">
      <c r="B52" s="138" t="str">
        <f>CONCATENATE("",F3-2,"/",F3-1," Budget Authority Amount:")</f>
        <v>2011/2012 Budget Authority Amount:</v>
      </c>
      <c r="C52" s="116">
        <f>inputOth!B42</f>
        <v>35629</v>
      </c>
      <c r="D52" s="415">
        <f>inputPrYr!D19</f>
        <v>38405</v>
      </c>
      <c r="E52" s="128" t="s">
        <v>28</v>
      </c>
      <c r="F52" s="248"/>
      <c r="G52" s="16"/>
      <c r="H52" s="16"/>
      <c r="I52" s="16"/>
      <c r="J52" s="16"/>
    </row>
    <row r="53" spans="2:10">
      <c r="B53" s="138"/>
      <c r="C53" s="616" t="s">
        <v>673</v>
      </c>
      <c r="D53" s="617"/>
      <c r="E53" s="37"/>
      <c r="F53" s="248" t="str">
        <f>IF(E50/0.95-E50&lt;E53,"Exceeds 5%","")</f>
        <v/>
      </c>
      <c r="G53" s="527">
        <f>IF(inputOth!E7=0,"",ROUND(gen!E57/inputOth!E7*1000,3))</f>
        <v>1.9259999999999999</v>
      </c>
      <c r="H53" s="526" t="str">
        <f>CONCATENATE("Projected ",F3-1," Mill Rate (est.)")</f>
        <v>Projected 2012 Mill Rate (est.)</v>
      </c>
      <c r="I53" s="525"/>
      <c r="J53" s="524"/>
    </row>
    <row r="54" spans="2:10">
      <c r="B54" s="413" t="str">
        <f>CONCATENATE(C70,"     ",D70)</f>
        <v xml:space="preserve">     </v>
      </c>
      <c r="C54" s="618" t="s">
        <v>674</v>
      </c>
      <c r="D54" s="619"/>
      <c r="E54" s="47">
        <f>E50+E53</f>
        <v>22161</v>
      </c>
      <c r="G54" s="523"/>
      <c r="H54" s="523"/>
      <c r="I54" s="523"/>
      <c r="J54" s="523"/>
    </row>
    <row r="55" spans="2:10">
      <c r="B55" s="413" t="str">
        <f>CONCATENATE(C71,"     ",D71)</f>
        <v xml:space="preserve">     </v>
      </c>
      <c r="C55" s="547"/>
      <c r="D55" s="546" t="s">
        <v>675</v>
      </c>
      <c r="E55" s="44">
        <f>IF(E54-E29&gt;0,E54-E29,0)</f>
        <v>14720</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14720</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Princeton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Princeton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Princeton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Princeton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workbookViewId="0">
      <selection activeCell="E22" sqref="E22"/>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Princeton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7, 2012 at 6:30 p.m. at Princeton Fire Station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7641</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14197</v>
      </c>
      <c r="C16" s="118">
        <f>IF(inputPrYr!D38&gt;0,inputPrYr!D38,"  ")</f>
        <v>1.97</v>
      </c>
      <c r="D16" s="121">
        <f>IF(gen!$D$50&lt;&gt;0,gen!$D$50,"  ")</f>
        <v>19400</v>
      </c>
      <c r="E16" s="118">
        <f>IF(inputOth!D16&gt;0,inputOth!D16,"  ")</f>
        <v>1.9710000000000001</v>
      </c>
      <c r="F16" s="121">
        <f>IF(gen!$E$50&lt;&gt;0,gen!$E$50,"  ")</f>
        <v>22161</v>
      </c>
      <c r="G16" s="121">
        <f>IF(gen!$E$57&lt;&gt;0,gen!$E$57,"  ")</f>
        <v>14720</v>
      </c>
      <c r="H16" s="118">
        <f>IF(gen!E57&gt;0,ROUND(G16/$F$21*1000,3)," ")</f>
        <v>1.9259999999999999</v>
      </c>
      <c r="J16" s="629" t="str">
        <f>CONCATENATE("Want The Mill Rate The Same As For ",I3-1,"?")</f>
        <v>Want The Mill Rate The Same As For 2012?</v>
      </c>
      <c r="K16" s="632"/>
      <c r="L16" s="632"/>
      <c r="M16" s="633"/>
    </row>
    <row r="17" spans="1:13">
      <c r="A17" s="35" t="s">
        <v>133</v>
      </c>
      <c r="B17" s="314">
        <f t="shared" ref="B17:H17" si="0">SUM(B16:B16)</f>
        <v>14197</v>
      </c>
      <c r="C17" s="537">
        <f t="shared" si="0"/>
        <v>1.97</v>
      </c>
      <c r="D17" s="314">
        <f t="shared" si="0"/>
        <v>19400</v>
      </c>
      <c r="E17" s="537">
        <f t="shared" si="0"/>
        <v>1.9710000000000001</v>
      </c>
      <c r="F17" s="314">
        <f t="shared" si="0"/>
        <v>22161</v>
      </c>
      <c r="G17" s="314">
        <f t="shared" si="0"/>
        <v>14720</v>
      </c>
      <c r="H17" s="537">
        <f t="shared" si="0"/>
        <v>1.9259999999999999</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14197</v>
      </c>
      <c r="C19" s="313"/>
      <c r="D19" s="129">
        <f>SUM(D17-D18)</f>
        <v>19400</v>
      </c>
      <c r="E19" s="313"/>
      <c r="F19" s="536">
        <f>SUM(F17-F18)</f>
        <v>22161</v>
      </c>
      <c r="G19" s="253"/>
      <c r="H19" s="312"/>
      <c r="J19" s="561" t="str">
        <f>CONCATENATE("",I3," Ad Valorem Tax Revenue:")</f>
        <v>2013 Ad Valorem Tax Revenue:</v>
      </c>
      <c r="K19" s="556"/>
      <c r="L19" s="556"/>
      <c r="M19" s="557">
        <f>G17</f>
        <v>14720</v>
      </c>
    </row>
    <row r="20" spans="1:13" ht="16.5" thickTop="1">
      <c r="A20" s="35" t="s">
        <v>54</v>
      </c>
      <c r="B20" s="314">
        <f>inputPrYr!E44</f>
        <v>14469</v>
      </c>
      <c r="C20" s="223"/>
      <c r="D20" s="314">
        <f>inputPrYr!E24</f>
        <v>14592</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7346942</v>
      </c>
      <c r="C21" s="223"/>
      <c r="D21" s="207">
        <f>inputOth!E24</f>
        <v>7407074</v>
      </c>
      <c r="E21" s="223"/>
      <c r="F21" s="207">
        <f>inputOth!E7</f>
        <v>7641132</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745</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9"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Princeton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7641132</v>
      </c>
      <c r="E16" s="18"/>
      <c r="F16" s="54"/>
    </row>
    <row r="17" spans="1:6" ht="15.75">
      <c r="A17" s="18"/>
      <c r="B17" s="18"/>
      <c r="C17" s="18"/>
      <c r="D17" s="18"/>
      <c r="E17" s="18"/>
      <c r="F17" s="54"/>
    </row>
    <row r="18" spans="1:6" ht="15.75">
      <c r="A18" s="18"/>
      <c r="B18" s="644" t="s">
        <v>318</v>
      </c>
      <c r="C18" s="644"/>
      <c r="D18" s="325">
        <f>IF(D16&gt;0,(D16*0.001),"")</f>
        <v>7641.1320000000005</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Princeton Cemetery District with respect to financing the 2013 annual budget for Princeton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Princeton Cemetery district budget exceed the amount levied to finance the</v>
      </c>
      <c r="C9"/>
      <c r="D9"/>
      <c r="E9"/>
      <c r="F9"/>
      <c r="G9"/>
      <c r="H9"/>
    </row>
    <row r="10" spans="2:10">
      <c r="B10" s="12" t="str">
        <f>CONCATENATE("",inputPrYr!D6-1," ",inputPrYr!D3," except with regard to revenue produced and attributable to the")</f>
        <v>2012 Princeton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Princeton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Princeton Cemetery that is our desire to notify the public of the possibility of increased property taxes to finance the 2013 Princeton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Princeton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Princeton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2012-07-19T15:11:04Z</cp:lastPrinted>
  <dcterms:created xsi:type="dcterms:W3CDTF">1999-08-06T13:59:57Z</dcterms:created>
  <dcterms:modified xsi:type="dcterms:W3CDTF">2012-11-08T21:28:30Z</dcterms:modified>
</cp:coreProperties>
</file>