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summ!$A$1:$I$26</definedName>
  </definedNames>
  <calcPr calcId="125725"/>
</workbook>
</file>

<file path=xl/calcChain.xml><?xml version="1.0" encoding="utf-8"?>
<calcChain xmlns="http://schemas.openxmlformats.org/spreadsheetml/2006/main">
  <c r="D37" i="5"/>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1" i="8" s="1"/>
  <c r="D33" i="6"/>
  <c r="D34"/>
  <c r="C33"/>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D33" i="5"/>
  <c r="D9"/>
  <c r="C33"/>
  <c r="D20"/>
  <c r="D19" s="1"/>
  <c r="C20"/>
  <c r="C21"/>
  <c r="C31"/>
  <c r="C32"/>
  <c r="D31"/>
  <c r="F3"/>
  <c r="C74" s="1"/>
  <c r="D69"/>
  <c r="D84"/>
  <c r="C69"/>
  <c r="E14" i="4"/>
  <c r="D9"/>
  <c r="D33" s="1"/>
  <c r="C61"/>
  <c r="G60" s="1"/>
  <c r="C33"/>
  <c r="C34" s="1"/>
  <c r="D61"/>
  <c r="D16" i="8" s="1"/>
  <c r="D18" s="1"/>
  <c r="D20" s="1"/>
  <c r="D9" i="15"/>
  <c r="D30" s="1"/>
  <c r="C54"/>
  <c r="G58"/>
  <c r="C30"/>
  <c r="C31"/>
  <c r="D54"/>
  <c r="G53"/>
  <c r="D56"/>
  <c r="D69"/>
  <c r="C56"/>
  <c r="E1"/>
  <c r="H59" s="1"/>
  <c r="D63" i="4"/>
  <c r="C63"/>
  <c r="F3"/>
  <c r="G65" s="1"/>
  <c r="A28" i="3"/>
  <c r="I5" i="17"/>
  <c r="G5"/>
  <c r="E5"/>
  <c r="C5"/>
  <c r="A5"/>
  <c r="K1"/>
  <c r="F2" s="1"/>
  <c r="J6" i="10"/>
  <c r="J5"/>
  <c r="J7"/>
  <c r="D41" i="2"/>
  <c r="E22"/>
  <c r="D33"/>
  <c r="A33"/>
  <c r="A29"/>
  <c r="A50"/>
  <c r="A51"/>
  <c r="J28" i="17"/>
  <c r="J29"/>
  <c r="H28"/>
  <c r="F28"/>
  <c r="D28" i="3"/>
  <c r="A1" i="17"/>
  <c r="K7"/>
  <c r="B17"/>
  <c r="D17"/>
  <c r="D18"/>
  <c r="F17"/>
  <c r="H17"/>
  <c r="H18"/>
  <c r="H29"/>
  <c r="H30"/>
  <c r="J17"/>
  <c r="B28"/>
  <c r="B29"/>
  <c r="D28"/>
  <c r="J18"/>
  <c r="F18"/>
  <c r="B18"/>
  <c r="C68" i="4"/>
  <c r="E6" i="6"/>
  <c r="E40" s="1"/>
  <c r="D6"/>
  <c r="C6"/>
  <c r="C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32" i="4"/>
  <c r="C60"/>
  <c r="A1" i="16"/>
  <c r="D11"/>
  <c r="D12"/>
  <c r="C13"/>
  <c r="A114" i="14"/>
  <c r="A113"/>
  <c r="A112"/>
  <c r="A111"/>
  <c r="A110"/>
  <c r="A109"/>
  <c r="E1"/>
  <c r="A106" s="1"/>
  <c r="J2" i="7"/>
  <c r="C9" s="1"/>
  <c r="B22" i="8"/>
  <c r="E60" i="14"/>
  <c r="D22" i="8" s="1"/>
  <c r="A16"/>
  <c r="A59" i="14"/>
  <c r="A58"/>
  <c r="A57"/>
  <c r="A56"/>
  <c r="A55"/>
  <c r="D30" i="3"/>
  <c r="F22" i="8"/>
  <c r="B16"/>
  <c r="B18" s="1"/>
  <c r="B20" s="1"/>
  <c r="B21"/>
  <c r="D52" i="14"/>
  <c r="A27"/>
  <c r="A13"/>
  <c r="A6"/>
  <c r="A44"/>
  <c r="A40"/>
  <c r="A33"/>
  <c r="A26"/>
  <c r="A19"/>
  <c r="A12"/>
  <c r="B31" i="12"/>
  <c r="B27"/>
  <c r="B23"/>
  <c r="B19"/>
  <c r="B10"/>
  <c r="B9"/>
  <c r="B5"/>
  <c r="J6"/>
  <c r="F41" i="9"/>
  <c r="E20"/>
  <c r="E16"/>
  <c r="E12"/>
  <c r="E24" i="13"/>
  <c r="E26"/>
  <c r="F19" i="8"/>
  <c r="D24" i="13"/>
  <c r="D26"/>
  <c r="D19" i="8"/>
  <c r="C24" i="13"/>
  <c r="C26"/>
  <c r="B19" i="8"/>
  <c r="E17"/>
  <c r="E16"/>
  <c r="D17"/>
  <c r="C17"/>
  <c r="C16"/>
  <c r="B17"/>
  <c r="I3"/>
  <c r="A5"/>
  <c r="A4"/>
  <c r="B46" i="2"/>
  <c r="B45"/>
  <c r="G3" i="3"/>
  <c r="C48" s="1"/>
  <c r="A4"/>
  <c r="D40" i="6"/>
  <c r="F1" i="13"/>
  <c r="E9" s="1"/>
  <c r="A3"/>
  <c r="A2"/>
  <c r="B14" i="7"/>
  <c r="B13"/>
  <c r="B12"/>
  <c r="B11"/>
  <c r="B2"/>
  <c r="B1"/>
  <c r="B9"/>
  <c r="B1" i="15"/>
  <c r="C2" i="10"/>
  <c r="C1"/>
  <c r="A36"/>
  <c r="B22"/>
  <c r="C14"/>
  <c r="B11"/>
  <c r="B6"/>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A10" i="3"/>
  <c r="B69" i="5"/>
  <c r="G14" i="7"/>
  <c r="E50" i="5" s="1"/>
  <c r="G12" i="7"/>
  <c r="E14" i="15" s="1"/>
  <c r="G13" i="7"/>
  <c r="E14" i="5" s="1"/>
  <c r="G11" i="7"/>
  <c r="E15" i="4" s="1"/>
  <c r="B56" i="15"/>
  <c r="B33" i="5"/>
  <c r="B67" i="6"/>
  <c r="J7" i="9"/>
  <c r="H7"/>
  <c r="G28"/>
  <c r="D13" i="8"/>
  <c r="A62" i="14"/>
  <c r="A60"/>
  <c r="A94"/>
  <c r="C107"/>
  <c r="A42"/>
  <c r="K28" i="17"/>
  <c r="D9" i="13"/>
  <c r="B29" s="1"/>
  <c r="F13" i="8"/>
  <c r="A5" i="14"/>
  <c r="B107"/>
  <c r="C61" i="15"/>
  <c r="B13" i="8"/>
  <c r="A54" i="14"/>
  <c r="A95"/>
  <c r="D10" i="16"/>
  <c r="E10"/>
  <c r="E64" i="5" s="1"/>
  <c r="E67" s="1"/>
  <c r="D9" i="16"/>
  <c r="E9"/>
  <c r="E28" i="5" s="1"/>
  <c r="E31" s="1"/>
  <c r="D7" i="16"/>
  <c r="D8"/>
  <c r="E8"/>
  <c r="E51" i="15"/>
  <c r="E54" s="1"/>
  <c r="D30" i="6"/>
  <c r="E6" i="16"/>
  <c r="E8" i="9"/>
  <c r="F28" s="1"/>
  <c r="D6" i="16"/>
  <c r="A27"/>
  <c r="B6"/>
  <c r="C6"/>
  <c r="D60" i="4"/>
  <c r="F29" i="17"/>
  <c r="F30"/>
  <c r="K17"/>
  <c r="K30"/>
  <c r="K18"/>
  <c r="D29"/>
  <c r="D30"/>
  <c r="F40" i="3"/>
  <c r="A9"/>
  <c r="E12"/>
  <c r="A11" i="8"/>
  <c r="F13" i="3"/>
  <c r="D9" i="7"/>
  <c r="C6" i="5"/>
  <c r="C42" s="1"/>
  <c r="E6"/>
  <c r="E42" s="1"/>
  <c r="C38"/>
  <c r="C18" i="8"/>
  <c r="C19" i="5"/>
  <c r="D30"/>
  <c r="E18" i="8"/>
  <c r="M17" s="1"/>
  <c r="M20" s="1"/>
  <c r="D6" i="4"/>
  <c r="B63"/>
  <c r="C6"/>
  <c r="G14" i="8"/>
  <c r="A10"/>
  <c r="B4" i="16"/>
  <c r="C9" i="13"/>
  <c r="B5" i="10"/>
  <c r="B9"/>
  <c r="B13"/>
  <c r="C15"/>
  <c r="B32"/>
  <c r="D6" i="5"/>
  <c r="D42" s="1"/>
  <c r="D13" i="16"/>
  <c r="E7"/>
  <c r="E58" i="4" s="1"/>
  <c r="E61" s="1"/>
  <c r="C85" i="5"/>
  <c r="C84"/>
  <c r="B71" s="1"/>
  <c r="D82"/>
  <c r="C82"/>
  <c r="B35" s="1"/>
  <c r="C55" i="15"/>
  <c r="D7"/>
  <c r="C69"/>
  <c r="B58" s="1"/>
  <c r="C70"/>
  <c r="C68" i="6"/>
  <c r="C79" i="4"/>
  <c r="D16" i="16"/>
  <c r="D18"/>
  <c r="C15" i="7"/>
  <c r="F31" s="1"/>
  <c r="B30" i="17"/>
  <c r="J83" i="26"/>
  <c r="J123"/>
  <c r="J103"/>
  <c r="E13" i="16"/>
  <c r="E73" i="5"/>
  <c r="E37"/>
  <c r="E60" i="15"/>
  <c r="E67" i="4"/>
  <c r="A17" i="3"/>
  <c r="E6" i="15"/>
  <c r="D6"/>
  <c r="H55" i="4"/>
  <c r="H57"/>
  <c r="H60"/>
  <c r="H63"/>
  <c r="G69"/>
  <c r="H53" i="15"/>
  <c r="H55"/>
  <c r="H58"/>
  <c r="H61"/>
  <c r="J15" i="8"/>
  <c r="J20"/>
  <c r="G53" i="4"/>
  <c r="H56"/>
  <c r="H58"/>
  <c r="H61"/>
  <c r="G51" i="15"/>
  <c r="H54"/>
  <c r="H56"/>
  <c r="J11" i="8"/>
  <c r="J17"/>
  <c r="J19"/>
  <c r="M13"/>
  <c r="C34" i="6"/>
  <c r="D7" i="5"/>
  <c r="D21"/>
  <c r="D32" s="1"/>
  <c r="C83"/>
  <c r="C66" i="6"/>
  <c r="D41"/>
  <c r="D54"/>
  <c r="D66"/>
  <c r="C69"/>
  <c r="D7"/>
  <c r="D20"/>
  <c r="D32"/>
  <c r="C35"/>
  <c r="J30" i="17"/>
  <c r="K29"/>
  <c r="E41" i="6"/>
  <c r="E54"/>
  <c r="E66"/>
  <c r="E67"/>
  <c r="D69"/>
  <c r="E7"/>
  <c r="E20"/>
  <c r="E32"/>
  <c r="E33"/>
  <c r="D35"/>
  <c r="J69" i="4"/>
  <c r="J68"/>
  <c r="D79" l="1"/>
  <c r="B65" s="1"/>
  <c r="G55"/>
  <c r="C62"/>
  <c r="D7" s="1"/>
  <c r="D34" s="1"/>
  <c r="D62" s="1"/>
  <c r="D80" s="1"/>
  <c r="B66" s="1"/>
  <c r="C80"/>
  <c r="C25" i="7"/>
  <c r="D12" s="1"/>
  <c r="D14"/>
  <c r="E47" i="5" s="1"/>
  <c r="D13" i="7"/>
  <c r="E11" i="5" s="1"/>
  <c r="D27" i="7"/>
  <c r="E12" s="1"/>
  <c r="E11" i="15"/>
  <c r="D11" i="7"/>
  <c r="E11" i="4" s="1"/>
  <c r="G16" i="10"/>
  <c r="G20" s="1"/>
  <c r="G24" s="1"/>
  <c r="D32" i="4"/>
  <c r="D15" i="7"/>
  <c r="E29"/>
  <c r="F13" s="1"/>
  <c r="E13" i="5" s="1"/>
  <c r="G15" i="7"/>
  <c r="C6" i="15"/>
  <c r="D55" i="5"/>
  <c r="D57"/>
  <c r="D68" s="1"/>
  <c r="E6" i="4"/>
  <c r="F64"/>
  <c r="E65"/>
  <c r="F16" i="8"/>
  <c r="E60" i="4"/>
  <c r="E22" i="3"/>
  <c r="E23"/>
  <c r="E53" i="15"/>
  <c r="E58"/>
  <c r="F17" i="8"/>
  <c r="F57" i="15"/>
  <c r="E35" i="5"/>
  <c r="E24" i="3"/>
  <c r="E30" i="5"/>
  <c r="F34"/>
  <c r="F70"/>
  <c r="E71"/>
  <c r="E25" i="3"/>
  <c r="E66" i="5"/>
  <c r="D29" i="15"/>
  <c r="D31"/>
  <c r="D55" s="1"/>
  <c r="D83" i="5"/>
  <c r="B36" s="1"/>
  <c r="E7"/>
  <c r="D85"/>
  <c r="B72" s="1"/>
  <c r="E43"/>
  <c r="E7" i="4" l="1"/>
  <c r="F14" i="7"/>
  <c r="E49" i="5" s="1"/>
  <c r="F12" i="7"/>
  <c r="E12" i="15"/>
  <c r="E13" i="7"/>
  <c r="E12" i="5" s="1"/>
  <c r="E20" s="1"/>
  <c r="E19" s="1"/>
  <c r="E14" i="7"/>
  <c r="E48" i="5" s="1"/>
  <c r="E56" s="1"/>
  <c r="G26" i="10"/>
  <c r="J28" s="1"/>
  <c r="J30" s="1"/>
  <c r="E21" i="5"/>
  <c r="D70" i="15"/>
  <c r="B59" s="1"/>
  <c r="E7"/>
  <c r="E57" i="5"/>
  <c r="E72" s="1"/>
  <c r="E74" s="1"/>
  <c r="E36"/>
  <c r="E38" s="1"/>
  <c r="E29" i="3"/>
  <c r="F18" i="8"/>
  <c r="F20" s="1"/>
  <c r="E13" i="15" l="1"/>
  <c r="E30" s="1"/>
  <c r="F11" i="7"/>
  <c r="E11"/>
  <c r="F25" i="3"/>
  <c r="G25"/>
  <c r="E55" i="5"/>
  <c r="G24" i="3"/>
  <c r="F24"/>
  <c r="E29" i="15" l="1"/>
  <c r="G54"/>
  <c r="E31"/>
  <c r="E59" s="1"/>
  <c r="E61" s="1"/>
  <c r="E13" i="4"/>
  <c r="F15" i="7"/>
  <c r="E12" i="4"/>
  <c r="E33" s="1"/>
  <c r="E15" i="7"/>
  <c r="G61" i="15" l="1"/>
  <c r="G17" i="8"/>
  <c r="G23" i="3"/>
  <c r="H17" i="8"/>
  <c r="J32" i="10"/>
  <c r="J34" s="1"/>
  <c r="F23" i="3"/>
  <c r="G55" i="15"/>
  <c r="G56" s="1"/>
  <c r="G59" s="1"/>
  <c r="E34" i="4"/>
  <c r="E66" s="1"/>
  <c r="E68" s="1"/>
  <c r="E32" s="1"/>
  <c r="G56"/>
  <c r="G63" l="1"/>
  <c r="H16" i="8"/>
  <c r="H18" s="1"/>
  <c r="G16"/>
  <c r="G18" s="1"/>
  <c r="M19" s="1"/>
  <c r="M21" s="1"/>
  <c r="F22" i="3"/>
  <c r="F29" s="1"/>
  <c r="F30" s="1"/>
  <c r="G57" i="4"/>
  <c r="G58" s="1"/>
  <c r="G61" s="1"/>
</calcChain>
</file>

<file path=xl/sharedStrings.xml><?xml version="1.0" encoding="utf-8"?>
<sst xmlns="http://schemas.openxmlformats.org/spreadsheetml/2006/main" count="1147" uniqueCount="759">
  <si>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</si>
  <si>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</si>
  <si>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</si>
  <si>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</si>
  <si>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</si>
  <si>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</si>
  <si>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</si>
  <si>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</si>
  <si>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</si>
  <si>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</si>
  <si>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</si>
  <si>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</si>
  <si>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</si>
  <si>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</si>
  <si>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</si>
  <si>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</si>
  <si>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</si>
  <si>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</si>
  <si>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</si>
  <si>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</si>
  <si>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</si>
  <si>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</si>
  <si>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</si>
  <si>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</si>
  <si>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</si>
  <si>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</si>
  <si>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</si>
  <si>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</si>
  <si>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</si>
  <si>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</si>
  <si>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</si>
  <si>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</si>
  <si>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</si>
  <si>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</si>
  <si>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</si>
  <si>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</si>
  <si>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</si>
  <si>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</si>
  <si>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</si>
  <si>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</si>
  <si>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</si>
  <si>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</si>
  <si>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</si>
  <si>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</si>
  <si>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</si>
  <si>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</si>
  <si>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</si>
  <si>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</si>
  <si>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</si>
  <si>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</si>
  <si>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</si>
  <si>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</si>
  <si>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</si>
  <si>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</si>
  <si>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</si>
  <si>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</si>
  <si>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</si>
  <si>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</si>
  <si>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</si>
  <si>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</si>
  <si>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</si>
  <si>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</si>
  <si>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</si>
  <si>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</si>
  <si>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</si>
  <si>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</si>
  <si>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</si>
  <si>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</si>
  <si>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</si>
  <si>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</si>
  <si>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</si>
  <si>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</si>
  <si>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</si>
  <si>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</si>
  <si>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</si>
  <si>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</si>
  <si>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</si>
  <si>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</si>
  <si>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</si>
  <si>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</si>
  <si>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</si>
  <si>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</si>
  <si>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</si>
  <si>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</si>
  <si>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</si>
  <si>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</si>
  <si>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</si>
  <si>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</si>
  <si>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</si>
  <si>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</si>
  <si>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</si>
  <si>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</si>
  <si>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</si>
  <si>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</si>
  <si>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</si>
  <si>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</si>
  <si>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</si>
  <si>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</si>
  <si>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</si>
  <si>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</si>
  <si>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</si>
  <si>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</si>
  <si>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</si>
  <si>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</si>
  <si>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</si>
  <si>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</si>
  <si>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</si>
  <si>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</si>
  <si>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</si>
  <si>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</si>
  <si>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</si>
  <si>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</si>
  <si>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</si>
  <si>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</si>
  <si>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</si>
  <si>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</si>
  <si>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</si>
  <si>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</si>
  <si>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</si>
  <si>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</si>
  <si>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</si>
  <si>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</si>
  <si>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</si>
  <si>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</si>
  <si>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</si>
  <si>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</si>
  <si>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</si>
  <si>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</si>
  <si>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</si>
  <si>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</si>
  <si>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</si>
  <si>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</si>
  <si>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</si>
  <si>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</si>
  <si>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</si>
  <si>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</si>
  <si>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</si>
  <si>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</si>
  <si>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</si>
  <si>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</si>
  <si>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</si>
  <si>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</si>
  <si>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</si>
  <si>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</si>
  <si>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</si>
  <si>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</si>
  <si>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</si>
  <si>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</si>
  <si>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</si>
  <si>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</si>
  <si>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</si>
  <si>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</si>
  <si>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</si>
  <si>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</si>
  <si>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</si>
  <si>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</si>
  <si>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</si>
  <si>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</si>
  <si>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</si>
  <si>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</si>
  <si>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</si>
  <si>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</si>
  <si>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</si>
  <si>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</si>
  <si>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</si>
  <si>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</si>
  <si>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</si>
  <si>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</si>
  <si>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</si>
  <si>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</si>
  <si>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</si>
  <si>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</si>
  <si>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</si>
  <si>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</si>
  <si>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</si>
  <si>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</si>
  <si>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</si>
  <si>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</si>
  <si>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</si>
  <si>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</si>
  <si>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</si>
  <si>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</si>
  <si>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</si>
  <si>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</si>
  <si>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</si>
  <si>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</si>
  <si>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</si>
  <si>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</si>
  <si>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</si>
  <si>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</si>
  <si>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</si>
  <si>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</si>
  <si>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</si>
  <si>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</si>
  <si>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</si>
  <si>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</si>
  <si>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</si>
  <si>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</si>
  <si>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</si>
  <si>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</si>
  <si>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</si>
  <si>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</si>
  <si>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</si>
  <si>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</si>
  <si>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</si>
  <si>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</si>
  <si>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</si>
  <si>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</si>
  <si>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</si>
  <si>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</si>
  <si>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</si>
  <si>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</si>
  <si>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</si>
  <si>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</si>
  <si>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</si>
  <si>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</si>
  <si>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</si>
  <si>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</si>
  <si>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</si>
  <si>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</si>
  <si>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</si>
  <si>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</si>
  <si>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</si>
  <si>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</si>
  <si>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</si>
  <si>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</si>
  <si>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</si>
  <si>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</si>
  <si>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</si>
  <si>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</si>
  <si>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</si>
  <si>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</si>
  <si>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</si>
  <si>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</si>
  <si>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</si>
  <si>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</si>
  <si>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</si>
  <si>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</si>
  <si>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</si>
  <si>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</si>
  <si>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</si>
  <si>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</si>
  <si>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</si>
  <si>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</si>
  <si>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</si>
  <si>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</si>
  <si>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</si>
  <si>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</si>
  <si>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</si>
  <si>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</si>
  <si>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</si>
  <si>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</si>
  <si>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</si>
  <si>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</si>
  <si>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</si>
  <si>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</si>
  <si>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</si>
  <si>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</si>
  <si>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</si>
  <si>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</si>
  <si>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</si>
  <si>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</si>
  <si>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</si>
  <si>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</si>
  <si>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</si>
  <si>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</si>
  <si>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</si>
  <si>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</si>
  <si>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</si>
  <si>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</si>
  <si>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</si>
  <si>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</si>
  <si>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</si>
  <si>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</si>
  <si>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</si>
  <si>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</si>
  <si>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</si>
  <si>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</si>
  <si>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</si>
  <si>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</si>
  <si>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</si>
  <si>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</si>
  <si>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</si>
  <si>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</si>
  <si>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</si>
  <si>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</si>
  <si>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</si>
  <si>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</si>
  <si>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</si>
  <si>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</si>
  <si>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</si>
  <si>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</si>
  <si>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</si>
  <si>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</si>
  <si>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</si>
  <si>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</si>
  <si>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</si>
  <si>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</si>
  <si>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</si>
  <si>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</si>
  <si>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</si>
  <si>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</si>
  <si>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</si>
  <si>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</si>
  <si>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</si>
  <si>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</si>
  <si>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</si>
  <si>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</si>
  <si>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</si>
  <si>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</si>
  <si>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</si>
  <si>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</si>
  <si>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</si>
  <si>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</si>
  <si>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</si>
  <si>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</si>
  <si>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</si>
  <si>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</si>
  <si>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</si>
  <si>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</si>
  <si>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</si>
  <si>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</si>
  <si>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</si>
  <si>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</si>
  <si>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</si>
  <si>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</si>
  <si>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</si>
  <si>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</si>
  <si>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</si>
  <si>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</si>
  <si>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</si>
  <si>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</si>
  <si>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</si>
  <si>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</si>
  <si>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</si>
  <si>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</si>
  <si>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</si>
  <si>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</si>
  <si>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</si>
  <si>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</si>
  <si>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</si>
  <si>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</si>
  <si>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</si>
  <si>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</si>
  <si>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</si>
  <si>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</si>
  <si>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</si>
  <si>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</si>
  <si>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</si>
  <si>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</si>
  <si>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</si>
  <si>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</si>
  <si>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</si>
  <si>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</si>
  <si>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</si>
  <si>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</si>
  <si>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</si>
  <si>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</si>
  <si>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</si>
  <si>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</si>
  <si>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</si>
  <si>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</si>
  <si>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</si>
  <si>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</si>
  <si>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</si>
  <si>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</si>
  <si>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</si>
  <si>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</si>
  <si>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</si>
  <si>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</si>
  <si>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</si>
  <si>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</si>
  <si>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</si>
  <si>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</si>
  <si>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</si>
  <si>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</si>
  <si>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</si>
  <si>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</si>
  <si>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</si>
  <si>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</si>
  <si>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</si>
  <si>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</si>
  <si>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</si>
  <si>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</si>
  <si>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</si>
  <si>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</si>
  <si>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</si>
  <si>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</si>
  <si>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</si>
  <si>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</si>
  <si>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</si>
  <si>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</si>
  <si>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</si>
  <si>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</si>
  <si>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</si>
  <si>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</si>
  <si>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</si>
  <si>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</si>
  <si>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</si>
  <si>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</si>
  <si>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</si>
  <si>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</si>
  <si>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</si>
  <si>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</si>
  <si>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</si>
  <si>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</si>
  <si>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</si>
  <si>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</si>
  <si>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</si>
  <si>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</si>
  <si>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</si>
  <si>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</si>
  <si>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</si>
  <si>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</si>
  <si>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</si>
  <si>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</si>
  <si>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</si>
  <si>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</si>
  <si>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</si>
  <si>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</si>
  <si>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</si>
  <si>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</si>
  <si>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</si>
  <si>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</si>
  <si>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</si>
  <si>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</si>
  <si>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</si>
  <si>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</si>
  <si>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</si>
  <si>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</si>
  <si>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</si>
  <si>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</si>
  <si>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</si>
  <si>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</si>
  <si>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</si>
  <si>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</si>
  <si>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</si>
  <si>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</si>
  <si>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</si>
  <si>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</si>
  <si>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</si>
  <si>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</si>
  <si>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</si>
  <si>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</si>
  <si>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</si>
  <si>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</si>
  <si>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</si>
  <si>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</si>
  <si>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</si>
  <si>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</si>
  <si>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</si>
  <si>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</si>
  <si>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</si>
  <si>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</si>
  <si>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</si>
  <si>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</si>
  <si>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</si>
  <si>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</si>
  <si>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</si>
  <si>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</si>
  <si>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</si>
  <si>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</si>
  <si>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</si>
  <si>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</si>
  <si>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</si>
  <si>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</si>
  <si>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</si>
  <si>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</si>
  <si>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</si>
  <si>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</si>
  <si>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</si>
  <si>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</si>
  <si>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</si>
  <si>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</si>
  <si>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</si>
  <si>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</si>
  <si>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</si>
  <si>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</si>
  <si>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</si>
  <si>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</si>
  <si>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</si>
  <si>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</si>
  <si>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</si>
  <si>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</si>
  <si>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</si>
  <si>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</si>
  <si>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</si>
  <si>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</si>
  <si>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</si>
  <si>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</si>
  <si>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</si>
  <si>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</si>
  <si>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</si>
  <si>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</si>
  <si>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</si>
  <si>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</si>
  <si>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</si>
  <si>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</si>
  <si>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</si>
  <si>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</si>
  <si>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</si>
  <si>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</si>
  <si>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</si>
  <si>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</si>
  <si>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</si>
  <si>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</si>
  <si>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</si>
  <si>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</si>
  <si>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</si>
  <si>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</si>
  <si>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</si>
  <si>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</si>
  <si>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</si>
  <si>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</si>
  <si>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</si>
  <si>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</si>
  <si>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</si>
  <si>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</si>
  <si>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</si>
  <si>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</si>
  <si>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</si>
  <si>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</si>
  <si>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</si>
  <si>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</si>
  <si>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</si>
  <si>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</si>
  <si>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</si>
  <si>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</si>
  <si>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</si>
  <si>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</si>
  <si>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</si>
  <si>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</si>
  <si>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</si>
  <si>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</si>
  <si>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</si>
  <si>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</si>
  <si>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</si>
  <si>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</si>
  <si>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</si>
  <si>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</si>
  <si>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</si>
  <si>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</si>
  <si>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</si>
  <si>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</si>
  <si>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</si>
  <si>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</si>
  <si>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</si>
  <si>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</si>
  <si>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</si>
  <si>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</si>
  <si>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</si>
  <si>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</si>
  <si>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</si>
  <si>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</si>
  <si>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</si>
  <si>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</si>
  <si>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</si>
  <si>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</si>
  <si>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</si>
  <si>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</si>
  <si>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</si>
  <si>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</si>
  <si>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</si>
  <si>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</si>
  <si>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</si>
  <si>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</si>
  <si>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</si>
  <si>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</si>
  <si>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</si>
  <si>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</si>
  <si>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</si>
  <si>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</si>
  <si>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</si>
  <si>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</si>
  <si>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</si>
  <si>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</si>
  <si>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</si>
  <si>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</si>
  <si>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</si>
  <si>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</si>
  <si>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</si>
  <si>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</si>
  <si>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</si>
  <si>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</si>
  <si>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</si>
  <si>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</si>
  <si>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</si>
  <si>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</si>
  <si>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</si>
  <si>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</si>
  <si>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</si>
  <si>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</si>
  <si>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</si>
  <si>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</si>
  <si>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</si>
  <si>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</si>
  <si>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</si>
  <si>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</si>
  <si>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</si>
  <si>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</si>
  <si>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</si>
  <si>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</si>
  <si>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</si>
  <si>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</si>
  <si>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</si>
  <si>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</si>
  <si>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</si>
  <si>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</si>
  <si>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</si>
  <si>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</si>
  <si>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</si>
  <si>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</si>
  <si>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</si>
  <si>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</si>
  <si>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</si>
  <si>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</si>
  <si>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</si>
  <si>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</si>
  <si>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</si>
  <si>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</si>
  <si>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</si>
  <si>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</si>
  <si>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</si>
  <si>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</si>
  <si>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</si>
  <si>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</si>
  <si>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</si>
  <si>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</si>
  <si>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</si>
  <si>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</si>
  <si>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</si>
  <si>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</si>
  <si>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</si>
  <si>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</si>
  <si>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</si>
  <si>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</si>
  <si>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</si>
  <si>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</si>
  <si>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</si>
  <si>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</si>
  <si>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</si>
  <si>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</si>
  <si>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</si>
  <si>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</si>
  <si>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</si>
  <si>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</si>
  <si>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</si>
  <si>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</si>
  <si>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</si>
  <si>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</si>
  <si>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</si>
  <si>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</si>
  <si>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</si>
  <si>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</si>
  <si>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</si>
  <si>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</si>
  <si>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</si>
  <si>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</si>
  <si>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</si>
  <si>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</si>
  <si>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</si>
  <si>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</si>
  <si>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</si>
  <si>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</si>
  <si>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</si>
  <si>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</si>
  <si>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</si>
  <si>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</si>
  <si>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</si>
  <si>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</si>
  <si>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</si>
  <si>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</si>
  <si>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</si>
  <si>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</si>
  <si>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</si>
  <si>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</si>
  <si>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</si>
  <si>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</si>
  <si>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</si>
  <si>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</si>
  <si>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</si>
  <si>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</si>
  <si>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</si>
  <si>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</si>
  <si>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</si>
  <si>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</si>
  <si>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</si>
  <si>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</si>
  <si>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</si>
  <si>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</si>
  <si>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</si>
  <si>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</si>
  <si>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</si>
  <si>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</si>
  <si>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</si>
  <si>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</si>
  <si>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</si>
  <si>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</si>
  <si>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</si>
  <si>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</si>
  <si>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</si>
  <si>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</si>
  <si>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</si>
  <si>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</si>
  <si>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</si>
  <si>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</si>
  <si>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</si>
  <si>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</si>
  <si>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</si>
  <si>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</si>
  <si>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</si>
  <si>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</si>
  <si>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</si>
  <si>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</si>
  <si>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</si>
  <si>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</si>
  <si>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</si>
  <si>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</si>
  <si>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</si>
  <si>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</si>
  <si>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</si>
  <si>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</si>
  <si>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</si>
  <si>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</si>
  <si>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</si>
  <si>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</si>
  <si>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</si>
  <si>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</si>
  <si>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</si>
  <si>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</si>
  <si>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</si>
  <si>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</si>
  <si>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</si>
  <si>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</si>
  <si>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</si>
  <si>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</si>
  <si>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</si>
  <si>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</si>
  <si>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</si>
  <si>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</si>
  <si>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</si>
  <si>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</si>
  <si>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</si>
  <si>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</si>
  <si>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</si>
  <si>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</si>
  <si>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</si>
  <si>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</si>
  <si>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Richmond &amp; Berea Cemetery</t>
  </si>
  <si>
    <t>Anderson County</t>
  </si>
  <si>
    <t>17-1330</t>
  </si>
  <si>
    <t>7:00 p.m.</t>
  </si>
  <si>
    <t>Richmond Community Building</t>
  </si>
  <si>
    <t>Sale of Lots</t>
  </si>
  <si>
    <t>Operations</t>
  </si>
  <si>
    <t>Mowing</t>
  </si>
  <si>
    <t>Remove interest 209</t>
  </si>
  <si>
    <t>August 7, 2012</t>
  </si>
  <si>
    <t>/s/ Robert Cardell</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</si>
</sst>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20">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3" fontId="3" fillId="13" borderId="5" xfId="0" applyNumberFormat="1" applyFont="1" applyFill="1" applyBorder="1" applyAlignment="1" applyProtection="1">
      <alignment horizontal="center"/>
    </xf>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0" applyFont="1" applyAlignment="1">
      <alignment horizontal="left" wrapText="1"/>
    </xf>
    <xf numFmtId="0" fontId="0" fillId="0" borderId="0" xfId="0" applyAlignment="1">
      <alignment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0" fontId="6" fillId="0" borderId="0" xfId="346" applyFont="1" applyAlignment="1">
      <alignment horizontal="center"/>
    </xf>
    <xf numFmtId="177" fontId="36" fillId="15" borderId="1" xfId="0" applyNumberFormat="1" applyFont="1" applyFill="1" applyBorder="1" applyAlignment="1" applyProtection="1">
      <alignment horizontal="center"/>
      <protection locked="0"/>
    </xf>
    <xf numFmtId="0" fontId="47" fillId="13" borderId="0" xfId="0" applyFont="1" applyFill="1" applyAlignment="1">
      <alignment horizontal="center" wrapText="1"/>
    </xf>
    <xf numFmtId="0" fontId="36" fillId="0" borderId="0" xfId="0" applyFont="1" applyAlignment="1">
      <alignment horizontal="center" wrapText="1"/>
    </xf>
    <xf numFmtId="0" fontId="47" fillId="13" borderId="0" xfId="0" applyFont="1" applyFill="1" applyAlignment="1">
      <alignment horizontal="center" vertical="center"/>
    </xf>
    <xf numFmtId="0" fontId="47" fillId="0" borderId="0" xfId="0" applyFont="1" applyAlignment="1">
      <alignment horizontal="center" vertical="center"/>
    </xf>
    <xf numFmtId="0" fontId="47" fillId="13" borderId="0" xfId="0" applyFont="1" applyFill="1" applyAlignment="1">
      <alignment horizontal="center"/>
    </xf>
    <xf numFmtId="0" fontId="36" fillId="13" borderId="0" xfId="0" applyFont="1" applyFill="1" applyAlignment="1">
      <alignment wrapText="1"/>
    </xf>
    <xf numFmtId="177" fontId="36" fillId="13" borderId="0" xfId="0" applyNumberFormat="1" applyFont="1" applyFill="1" applyAlignment="1"/>
    <xf numFmtId="0" fontId="47" fillId="13" borderId="20" xfId="0" applyFont="1" applyFill="1" applyBorder="1" applyAlignment="1">
      <alignment horizontal="center" vertical="center"/>
    </xf>
    <xf numFmtId="0" fontId="36" fillId="0" borderId="0" xfId="0" applyFont="1" applyAlignment="1">
      <alignment wrapText="1"/>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5" fontId="36" fillId="13" borderId="1" xfId="0" applyNumberFormat="1" applyFont="1" applyFill="1" applyBorder="1" applyAlignment="1">
      <alignment horizont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36" fillId="13" borderId="0" xfId="0" applyFont="1" applyFill="1" applyBorder="1" applyAlignment="1">
      <alignment horizontal="center"/>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567</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741</v>
      </c>
    </row>
    <row r="28" spans="1:1" ht="9" customHeight="1">
      <c r="A28" s="142"/>
    </row>
    <row r="29" spans="1:1" ht="62.25" customHeight="1">
      <c r="A29" s="387" t="s">
        <v>717</v>
      </c>
    </row>
    <row r="30" spans="1:1" ht="51.75" customHeight="1">
      <c r="A30" s="602" t="s">
        <v>224</v>
      </c>
    </row>
    <row r="31" spans="1:1" ht="55.5" customHeight="1">
      <c r="A31" s="418" t="s">
        <v>541</v>
      </c>
    </row>
    <row r="32" spans="1:1" ht="74.099999999999994" customHeight="1">
      <c r="A32" s="419" t="s">
        <v>542</v>
      </c>
    </row>
    <row r="33" spans="1:1" ht="16.5" customHeight="1">
      <c r="A33" s="142"/>
    </row>
    <row r="34" spans="1:1" ht="56.25" customHeight="1">
      <c r="A34" s="387" t="s">
        <v>718</v>
      </c>
    </row>
    <row r="35" spans="1:1" ht="52.5" customHeight="1">
      <c r="A35" s="387" t="s">
        <v>543</v>
      </c>
    </row>
    <row r="36" spans="1:1" ht="101.25" customHeight="1">
      <c r="A36" s="387" t="s">
        <v>719</v>
      </c>
    </row>
    <row r="37" spans="1:1" ht="15.75" customHeight="1">
      <c r="A37" s="387"/>
    </row>
    <row r="38" spans="1:1" ht="69" customHeight="1">
      <c r="A38" s="387" t="s">
        <v>544</v>
      </c>
    </row>
    <row r="39" spans="1:1" ht="79.5" customHeight="1">
      <c r="A39" s="387" t="s">
        <v>720</v>
      </c>
    </row>
    <row r="40" spans="1:1" ht="52.5" customHeight="1">
      <c r="A40" s="387" t="s">
        <v>545</v>
      </c>
    </row>
    <row r="41" spans="1:1" ht="16.5" customHeight="1">
      <c r="A41" s="387"/>
    </row>
    <row r="42" spans="1:1" ht="73.5" customHeight="1">
      <c r="A42" s="387" t="s">
        <v>546</v>
      </c>
    </row>
    <row r="43" spans="1:1" ht="53.25" customHeight="1">
      <c r="A43" s="387" t="s">
        <v>547</v>
      </c>
    </row>
    <row r="44" spans="1:1" ht="38.25" customHeight="1">
      <c r="A44" s="387" t="s">
        <v>548</v>
      </c>
    </row>
    <row r="45" spans="1:1" ht="16.5" customHeight="1">
      <c r="A45" s="142"/>
    </row>
    <row r="46" spans="1:1" ht="53.25" customHeight="1">
      <c r="A46" s="387" t="s">
        <v>549</v>
      </c>
    </row>
    <row r="47" spans="1:1" ht="15.75" customHeight="1">
      <c r="A47" s="142"/>
    </row>
    <row r="48" spans="1:1" ht="49.5" customHeight="1">
      <c r="A48" s="387" t="s">
        <v>550</v>
      </c>
    </row>
    <row r="49" spans="1:1" ht="41.25" customHeight="1">
      <c r="A49" s="142" t="s">
        <v>551</v>
      </c>
    </row>
    <row r="50" spans="1:1" ht="66" customHeight="1">
      <c r="A50" s="387" t="s">
        <v>570</v>
      </c>
    </row>
    <row r="51" spans="1:1" ht="34.5" customHeight="1">
      <c r="A51" s="387" t="s">
        <v>552</v>
      </c>
    </row>
    <row r="52" spans="1:1" ht="15.75" customHeight="1">
      <c r="A52" s="142"/>
    </row>
    <row r="53" spans="1:1" ht="72" customHeight="1">
      <c r="A53" s="387" t="s">
        <v>553</v>
      </c>
    </row>
    <row r="54" spans="1:1" s="4" customFormat="1" ht="18.75" customHeight="1">
      <c r="A54" s="142"/>
    </row>
    <row r="55" spans="1:1" ht="75" customHeight="1">
      <c r="A55" s="387" t="s">
        <v>554</v>
      </c>
    </row>
    <row r="56" spans="1:1" s="4" customFormat="1" ht="18.75" customHeight="1">
      <c r="A56" s="387"/>
    </row>
    <row r="57" spans="1:1" ht="48" customHeight="1">
      <c r="A57" s="387" t="s">
        <v>721</v>
      </c>
    </row>
    <row r="58" spans="1:1" ht="66.75" customHeight="1">
      <c r="A58" s="601" t="s">
        <v>722</v>
      </c>
    </row>
    <row r="59" spans="1:1" ht="65.25" customHeight="1">
      <c r="A59" s="601" t="s">
        <v>723</v>
      </c>
    </row>
    <row r="60" spans="1:1" ht="66.75" customHeight="1">
      <c r="A60" s="603" t="s">
        <v>724</v>
      </c>
    </row>
    <row r="61" spans="1:1" ht="83.25" customHeight="1">
      <c r="A61" s="601" t="s">
        <v>725</v>
      </c>
    </row>
    <row r="62" spans="1:1" ht="75.75" customHeight="1">
      <c r="A62" s="387" t="s">
        <v>726</v>
      </c>
    </row>
    <row r="63" spans="1:1" ht="64.5" customHeight="1">
      <c r="A63" s="387" t="s">
        <v>727</v>
      </c>
    </row>
    <row r="64" spans="1:1" ht="88.5" customHeight="1">
      <c r="A64" s="388" t="s">
        <v>728</v>
      </c>
    </row>
    <row r="65" spans="1:1" ht="82.5" customHeight="1">
      <c r="A65" s="389" t="s">
        <v>729</v>
      </c>
    </row>
    <row r="66" spans="1:1" ht="52.5" customHeight="1">
      <c r="A66" s="390" t="s">
        <v>730</v>
      </c>
    </row>
    <row r="67" spans="1:1" ht="87.75" customHeight="1">
      <c r="A67" s="387" t="s">
        <v>731</v>
      </c>
    </row>
    <row r="68" spans="1:1" ht="107.25" customHeight="1">
      <c r="A68" s="391" t="s">
        <v>732</v>
      </c>
    </row>
    <row r="69" spans="1:1" ht="17.25" customHeight="1">
      <c r="A69" s="387"/>
    </row>
    <row r="70" spans="1:1" ht="114" customHeight="1">
      <c r="A70" s="387" t="s">
        <v>555</v>
      </c>
    </row>
    <row r="71" spans="1:1" ht="48.75" customHeight="1">
      <c r="A71" s="604" t="s">
        <v>556</v>
      </c>
    </row>
    <row r="72" spans="1:1" ht="54" customHeight="1">
      <c r="A72" s="604" t="s">
        <v>557</v>
      </c>
    </row>
    <row r="73" spans="1:1" ht="25.5" customHeight="1">
      <c r="A73" s="387" t="s">
        <v>558</v>
      </c>
    </row>
    <row r="74" spans="1:1" ht="12" customHeight="1">
      <c r="A74" s="387"/>
    </row>
    <row r="75" spans="1:1" ht="58.5" customHeight="1">
      <c r="A75" s="387" t="s">
        <v>559</v>
      </c>
    </row>
    <row r="76" spans="1:1" ht="38.25" customHeight="1">
      <c r="A76" s="387" t="s">
        <v>733</v>
      </c>
    </row>
    <row r="77" spans="1:1" ht="67.5" customHeight="1">
      <c r="A77" s="601" t="s">
        <v>734</v>
      </c>
    </row>
    <row r="78" spans="1:1" ht="81.75" customHeight="1">
      <c r="A78" s="601" t="s">
        <v>735</v>
      </c>
    </row>
    <row r="79" spans="1:1" ht="33.75" customHeight="1">
      <c r="A79" s="387" t="s">
        <v>736</v>
      </c>
    </row>
    <row r="80" spans="1:1" ht="59.25" customHeight="1">
      <c r="A80" s="387" t="s">
        <v>737</v>
      </c>
    </row>
    <row r="81" spans="1:1">
      <c r="A81" s="142"/>
    </row>
    <row r="82" spans="1:1" ht="31.5">
      <c r="A82" s="387" t="s">
        <v>560</v>
      </c>
    </row>
    <row r="83" spans="1:1">
      <c r="A83" s="142"/>
    </row>
    <row r="84" spans="1:1">
      <c r="A84" s="387" t="s">
        <v>561</v>
      </c>
    </row>
    <row r="85" spans="1:1">
      <c r="A85" s="142"/>
    </row>
    <row r="86" spans="1:1" ht="53.25" customHeight="1">
      <c r="A86" s="601" t="s">
        <v>738</v>
      </c>
    </row>
    <row r="87" spans="1:1" ht="85.5" customHeight="1">
      <c r="A87" s="601" t="s">
        <v>739</v>
      </c>
    </row>
    <row r="88" spans="1:1" ht="100.5" customHeight="1">
      <c r="A88" s="601" t="s">
        <v>740</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topLeftCell="A28" workbookViewId="0">
      <selection activeCell="D3" sqref="D3"/>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5" t="s">
        <v>2</v>
      </c>
      <c r="B1" s="614"/>
      <c r="C1" s="614"/>
      <c r="D1" s="614"/>
      <c r="E1" s="614"/>
    </row>
    <row r="2" spans="1:5">
      <c r="A2" s="99"/>
      <c r="B2" s="100"/>
      <c r="C2" s="100"/>
      <c r="D2" s="100"/>
      <c r="E2" s="100"/>
    </row>
    <row r="3" spans="1:5">
      <c r="A3" s="101" t="s">
        <v>123</v>
      </c>
      <c r="B3" s="100"/>
      <c r="C3" s="100"/>
      <c r="D3" s="102" t="s">
        <v>748</v>
      </c>
      <c r="E3" s="103"/>
    </row>
    <row r="4" spans="1:5">
      <c r="A4" s="101" t="s">
        <v>230</v>
      </c>
      <c r="B4" s="100"/>
      <c r="C4" s="100"/>
      <c r="D4" s="104" t="s">
        <v>747</v>
      </c>
      <c r="E4" s="103"/>
    </row>
    <row r="5" spans="1:5">
      <c r="A5" s="101" t="s">
        <v>153</v>
      </c>
      <c r="B5" s="100"/>
      <c r="C5" s="100"/>
      <c r="D5" s="105"/>
      <c r="E5" s="103"/>
    </row>
    <row r="6" spans="1:5">
      <c r="A6" s="106" t="s">
        <v>231</v>
      </c>
      <c r="B6" s="107"/>
      <c r="C6" s="107"/>
      <c r="D6" s="102" t="s">
        <v>749</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2013</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3" t="s">
        <v>154</v>
      </c>
      <c r="B17" s="614"/>
      <c r="C17" s="614"/>
      <c r="D17" s="614"/>
      <c r="E17" s="614"/>
    </row>
    <row r="18" spans="1:5">
      <c r="A18" s="112"/>
      <c r="B18" s="112"/>
      <c r="C18" s="112"/>
      <c r="D18" s="112"/>
      <c r="E18" s="112"/>
    </row>
    <row r="19" spans="1:5">
      <c r="A19" s="113" t="s">
        <v>152</v>
      </c>
      <c r="B19" s="114"/>
      <c r="C19" s="100"/>
      <c r="D19" s="100"/>
      <c r="E19" s="100"/>
    </row>
    <row r="20" spans="1:5">
      <c r="A20" s="115" t="str">
        <f>CONCATENATE("the ",D11-1," Budget, Certificate Page:")</f>
        <v>the 2012 Budget, Certificate Page:</v>
      </c>
      <c r="B20" s="116"/>
      <c r="C20" s="100"/>
      <c r="D20" s="100"/>
      <c r="E20" s="100"/>
    </row>
    <row r="21" spans="1:5">
      <c r="A21" s="115" t="s">
        <v>293</v>
      </c>
      <c r="B21" s="116"/>
      <c r="C21" s="100"/>
      <c r="D21" s="100"/>
      <c r="E21" s="100"/>
    </row>
    <row r="22" spans="1:5" ht="15.75" customHeight="1">
      <c r="A22" s="100"/>
      <c r="B22" s="100"/>
      <c r="C22" s="117"/>
      <c r="D22" s="118">
        <f>D11-1</f>
        <v>2012</v>
      </c>
      <c r="E22" s="616" t="str">
        <f>CONCATENATE("Amount of ",D11-2,"     Ad Valorem Tax")</f>
        <v>Amount of 2011     Ad Valorem Tax</v>
      </c>
    </row>
    <row r="23" spans="1:5">
      <c r="A23" s="99" t="s">
        <v>3</v>
      </c>
      <c r="B23" s="100"/>
      <c r="C23" s="117" t="s">
        <v>4</v>
      </c>
      <c r="D23" s="119" t="s">
        <v>294</v>
      </c>
      <c r="E23" s="617"/>
    </row>
    <row r="24" spans="1:5">
      <c r="A24" s="100"/>
      <c r="B24" s="120" t="s">
        <v>5</v>
      </c>
      <c r="C24" s="121" t="s">
        <v>750</v>
      </c>
      <c r="D24" s="122">
        <v>27442</v>
      </c>
      <c r="E24" s="122">
        <v>10525</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2012 Budgeted Year</v>
      </c>
      <c r="B29" s="127"/>
      <c r="C29" s="127"/>
      <c r="D29" s="128"/>
      <c r="E29" s="129">
        <f>SUM(E24:E28)</f>
        <v>10525</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2012 Budgeted Year</v>
      </c>
      <c r="B33" s="127"/>
      <c r="C33" s="131"/>
      <c r="D33" s="132">
        <f>SUM(D24:D25,D27:D28,D31:D32)</f>
        <v>27442</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1" t="str">
        <f>CONCATENATE("",D11-3," Tax Rate         (",D11-2," Column)")</f>
        <v>2010 Tax Rate         (2011 Column)</v>
      </c>
      <c r="E41" s="124"/>
    </row>
    <row r="42" spans="1:5">
      <c r="A42" s="115" t="str">
        <f>CONCATENATE("the ",D11-1," Budget, Budget Summary Page")</f>
        <v>the 2012 Budget, Budget Summary Page</v>
      </c>
      <c r="B42" s="116"/>
      <c r="C42" s="100"/>
      <c r="D42" s="612"/>
      <c r="E42" s="124"/>
    </row>
    <row r="43" spans="1:5">
      <c r="A43" s="100"/>
      <c r="B43" s="134" t="str">
        <f>B24</f>
        <v>General</v>
      </c>
      <c r="C43" s="100"/>
      <c r="D43" s="135">
        <v>1.833</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1.833</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(2011 budget column):</v>
      </c>
      <c r="B50" s="114"/>
      <c r="C50" s="100"/>
      <c r="D50" s="100"/>
      <c r="E50" s="139">
        <v>10460</v>
      </c>
    </row>
    <row r="51" spans="1:5">
      <c r="A51" s="138" t="str">
        <f>CONCATENATE("Assessed Valuation (",D11-2," budget column):")</f>
        <v>Assessed Valuation (2011 budget column):</v>
      </c>
      <c r="B51" s="114"/>
      <c r="C51" s="100"/>
      <c r="D51" s="100"/>
      <c r="E51" s="139">
        <v>5707425</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topLeftCell="A85" workbookViewId="0">
      <selection activeCell="A110" sqref="A110"/>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Richmond &amp; Berea Cemetery</v>
      </c>
      <c r="B1" s="37"/>
      <c r="C1" s="37"/>
      <c r="D1" s="37"/>
      <c r="E1" s="15">
        <f>inputPrYr!D11</f>
        <v>2013</v>
      </c>
    </row>
    <row r="2" spans="1:5">
      <c r="A2" s="37"/>
      <c r="B2" s="37"/>
      <c r="C2" s="37"/>
      <c r="D2" s="37"/>
      <c r="E2" s="37"/>
    </row>
    <row r="3" spans="1:5">
      <c r="A3" s="618" t="s">
        <v>154</v>
      </c>
      <c r="B3" s="619"/>
      <c r="C3" s="619"/>
      <c r="D3" s="619"/>
      <c r="E3" s="619"/>
    </row>
    <row r="4" spans="1:5" ht="15.75">
      <c r="A4" s="55"/>
      <c r="B4" s="55"/>
      <c r="C4" s="55"/>
      <c r="D4" s="55"/>
      <c r="E4" s="55"/>
    </row>
    <row r="5" spans="1:5" ht="15.75">
      <c r="A5" s="38" t="str">
        <f>CONCATENATE("From the County Clerks ",E1," Budget Information:")</f>
        <v>From the County Clerks 2013 Budget Information:</v>
      </c>
      <c r="B5" s="32"/>
      <c r="C5" s="32"/>
      <c r="D5" s="15"/>
      <c r="E5" s="24"/>
    </row>
    <row r="6" spans="1:5" ht="15.75">
      <c r="A6" s="63" t="str">
        <f>CONCATENATE("Assessed Valuation for ",inputPrYr!D11-1,":")</f>
        <v>Assessed Valuation for 2012:</v>
      </c>
      <c r="B6" s="21"/>
      <c r="C6" s="21"/>
      <c r="D6" s="21"/>
      <c r="E6" s="54"/>
    </row>
    <row r="7" spans="1:5" ht="15.75">
      <c r="A7" s="28" t="str">
        <f>inputPrYr!$D$4</f>
        <v>Franklin County</v>
      </c>
      <c r="B7" s="21"/>
      <c r="C7" s="21"/>
      <c r="D7" s="12">
        <v>5561308</v>
      </c>
      <c r="E7" s="25"/>
    </row>
    <row r="8" spans="1:5" ht="15.75">
      <c r="A8" s="28" t="str">
        <f>inputPrYr!$D$6</f>
        <v>Anderson County</v>
      </c>
      <c r="B8" s="21"/>
      <c r="C8" s="21"/>
      <c r="D8" s="12">
        <v>363604</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2012</v>
      </c>
      <c r="B12" s="21"/>
      <c r="C12" s="21"/>
      <c r="D12" s="21"/>
      <c r="E12" s="71">
        <f>SUM(D7:D11)</f>
        <v>5924912</v>
      </c>
    </row>
    <row r="13" spans="1:5" ht="16.5" thickTop="1">
      <c r="A13" s="63" t="str">
        <f>CONCATENATE("New Improvements for ",inputPrYr!D11-1,":")</f>
        <v>New Improvements for 2012:</v>
      </c>
      <c r="B13" s="21"/>
      <c r="C13" s="21"/>
      <c r="D13" s="21"/>
      <c r="E13" s="60"/>
    </row>
    <row r="14" spans="1:5" ht="15.75">
      <c r="A14" s="28" t="str">
        <f>inputPrYr!$D$4</f>
        <v>Franklin County</v>
      </c>
      <c r="B14" s="21"/>
      <c r="C14" s="21"/>
      <c r="D14" s="51">
        <v>17822</v>
      </c>
      <c r="E14" s="15"/>
    </row>
    <row r="15" spans="1:5" ht="15.75">
      <c r="A15" s="28" t="str">
        <f>inputPrYr!$D$6</f>
        <v>Anderson County</v>
      </c>
      <c r="B15" s="21"/>
      <c r="C15" s="21"/>
      <c r="D15" s="14">
        <v>0</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2012</v>
      </c>
      <c r="B19" s="21"/>
      <c r="C19" s="21"/>
      <c r="D19" s="21"/>
      <c r="E19" s="72">
        <f>SUM(D14:D18)</f>
        <v>17822</v>
      </c>
    </row>
    <row r="20" spans="1:5" ht="16.5" thickTop="1">
      <c r="A20" s="63" t="str">
        <f>CONCATENATE("Personal Property excluding oil, gas, and mobile homes - ",inputPrYr!D11-1,":")</f>
        <v>Personal Property excluding oil, gas, and mobile homes - 2012:</v>
      </c>
      <c r="B20" s="21"/>
      <c r="C20" s="21"/>
      <c r="D20" s="21"/>
      <c r="E20" s="60"/>
    </row>
    <row r="21" spans="1:5" ht="15.75">
      <c r="A21" s="28" t="str">
        <f>inputPrYr!$D$4</f>
        <v>Franklin County</v>
      </c>
      <c r="B21" s="21"/>
      <c r="C21" s="21"/>
      <c r="D21" s="51">
        <v>125976</v>
      </c>
      <c r="E21" s="15"/>
    </row>
    <row r="22" spans="1:5" ht="15.75">
      <c r="A22" s="28" t="str">
        <f>inputPrYr!$D$6</f>
        <v>Anderson County</v>
      </c>
      <c r="B22" s="21"/>
      <c r="C22" s="21"/>
      <c r="D22" s="51">
        <v>13053</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- 2012</v>
      </c>
      <c r="B26" s="21"/>
      <c r="C26" s="21"/>
      <c r="D26" s="21"/>
      <c r="E26" s="72">
        <f>SUM(D21:D25)</f>
        <v>139029</v>
      </c>
    </row>
    <row r="27" spans="1:5" ht="16.5" thickTop="1">
      <c r="A27" s="63" t="str">
        <f>CONCATENATE("Property that has changed in use for ",inputPrYr!D11-1,":")</f>
        <v>Property that has changed in use for 2012:</v>
      </c>
      <c r="B27" s="21"/>
      <c r="C27" s="21"/>
      <c r="D27" s="21"/>
      <c r="E27" s="60"/>
    </row>
    <row r="28" spans="1:5" ht="15.75">
      <c r="A28" s="28" t="str">
        <f>inputPrYr!$D$4</f>
        <v>Franklin County</v>
      </c>
      <c r="B28" s="21"/>
      <c r="C28" s="21"/>
      <c r="D28" s="51">
        <v>23657</v>
      </c>
      <c r="E28" s="15"/>
    </row>
    <row r="29" spans="1:5" ht="15.75">
      <c r="A29" s="28" t="str">
        <f>inputPrYr!$D$6</f>
        <v>Anderson County</v>
      </c>
      <c r="B29" s="21"/>
      <c r="C29" s="21"/>
      <c r="D29" s="51">
        <v>136</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2012</v>
      </c>
      <c r="B33" s="21"/>
      <c r="C33" s="21"/>
      <c r="D33" s="21"/>
      <c r="E33" s="72">
        <f>SUM(D28:D32)</f>
        <v>23793</v>
      </c>
    </row>
    <row r="34" spans="1:5" ht="16.5" thickTop="1">
      <c r="A34" s="63" t="str">
        <f>CONCATENATE("Personal Property excludes oil, gas, and mobile homes- ",inputPrYr!D11-2,":")</f>
        <v>Personal Property excludes oil, gas, and mobile homes- 2011:</v>
      </c>
      <c r="B34" s="21"/>
      <c r="C34" s="21"/>
      <c r="D34" s="21"/>
      <c r="E34" s="60"/>
    </row>
    <row r="35" spans="1:5" ht="15.75">
      <c r="A35" s="28" t="str">
        <f>inputPrYr!$D$4</f>
        <v>Franklin County</v>
      </c>
      <c r="B35" s="21"/>
      <c r="C35" s="21"/>
      <c r="D35" s="81">
        <v>142604</v>
      </c>
      <c r="E35" s="60"/>
    </row>
    <row r="36" spans="1:5" ht="15.75">
      <c r="A36" s="28" t="str">
        <f>inputPrYr!$D$6</f>
        <v>Anderson County</v>
      </c>
      <c r="B36" s="21"/>
      <c r="C36" s="21"/>
      <c r="D36" s="82">
        <v>15581</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- 2011</v>
      </c>
      <c r="B40" s="15"/>
      <c r="C40" s="15"/>
      <c r="D40" s="15"/>
      <c r="E40" s="71">
        <f>SUM(D35:D39)</f>
        <v>158185</v>
      </c>
    </row>
    <row r="41" spans="1:5" ht="16.5" thickTop="1">
      <c r="A41" s="27"/>
      <c r="B41" s="15"/>
      <c r="C41" s="15"/>
      <c r="D41" s="15"/>
      <c r="E41" s="54"/>
    </row>
    <row r="42" spans="1:5" ht="15.75">
      <c r="A42" s="80" t="str">
        <f>CONCATENATE("Neighborhood Revitalization - ",E1,":")</f>
        <v>Neighborhood Revitalization - 2013:</v>
      </c>
      <c r="B42" s="15"/>
      <c r="C42" s="15"/>
      <c r="D42" s="81"/>
      <c r="E42" s="54"/>
    </row>
    <row r="43" spans="1:5" ht="15.75">
      <c r="A43" s="27"/>
      <c r="B43" s="15"/>
      <c r="C43" s="15"/>
      <c r="D43" s="15"/>
      <c r="E43" s="54"/>
    </row>
    <row r="44" spans="1:5" ht="15.75">
      <c r="A44" s="70" t="str">
        <f>CONCATENATE("Actual Tax Rates for the ",E1-1," Budget:")</f>
        <v>Actual Tax Rates for the 2012 Budget:</v>
      </c>
      <c r="B44" s="21"/>
      <c r="C44" s="21"/>
      <c r="D44" s="21"/>
      <c r="E44" s="50"/>
    </row>
    <row r="45" spans="1:5" ht="15.75">
      <c r="A45" s="620" t="s">
        <v>19</v>
      </c>
      <c r="B45" s="621"/>
      <c r="C45" s="37"/>
      <c r="D45" s="56" t="s">
        <v>53</v>
      </c>
      <c r="E45" s="50"/>
    </row>
    <row r="46" spans="1:5" ht="15.75">
      <c r="A46" s="57" t="s">
        <v>5</v>
      </c>
      <c r="B46" s="18"/>
      <c r="C46" s="21"/>
      <c r="D46" s="77">
        <v>1.859</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1.859</v>
      </c>
      <c r="E52" s="37"/>
    </row>
    <row r="53" spans="1:5">
      <c r="A53" s="37"/>
      <c r="B53" s="37"/>
      <c r="C53" s="37"/>
      <c r="D53" s="37"/>
      <c r="E53" s="37"/>
    </row>
    <row r="54" spans="1:5" ht="15.75">
      <c r="A54" s="75" t="str">
        <f>CONCATENATE("Final Assessed Valuation from the November 1, ",E1-2," Abstract:")</f>
        <v>Final Assessed Valuation from the November 1, 2011 Abstract:</v>
      </c>
      <c r="B54" s="74"/>
      <c r="C54" s="74"/>
      <c r="D54" s="74"/>
      <c r="E54" s="76"/>
    </row>
    <row r="55" spans="1:5" ht="15.75">
      <c r="A55" s="28" t="str">
        <f>inputPrYr!$D$4</f>
        <v>Franklin County</v>
      </c>
      <c r="B55" s="37"/>
      <c r="C55" s="37"/>
      <c r="D55" s="81">
        <v>5418986</v>
      </c>
      <c r="E55" s="37"/>
    </row>
    <row r="56" spans="1:5" ht="15.75">
      <c r="A56" s="28" t="str">
        <f>inputPrYr!$D$6</f>
        <v>Anderson County</v>
      </c>
      <c r="B56" s="37"/>
      <c r="C56" s="37"/>
      <c r="D56" s="82">
        <v>243763</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2011 Abstract</v>
      </c>
      <c r="B60" s="37"/>
      <c r="C60" s="37"/>
      <c r="D60" s="37"/>
      <c r="E60" s="71">
        <f>SUM(D55:D59)</f>
        <v>5662749</v>
      </c>
    </row>
    <row r="61" spans="1:5" ht="15.75" thickTop="1">
      <c r="A61" s="37"/>
      <c r="B61" s="37"/>
      <c r="C61" s="37"/>
      <c r="D61" s="37"/>
      <c r="E61" s="37"/>
    </row>
    <row r="62" spans="1:5" ht="15.75">
      <c r="A62" s="33" t="str">
        <f>CONCATENATE("From the County Treasurer's Budget Information - ",E1," Budget Year Estimates:")</f>
        <v>From the County Treasurer's Budget Information - 2013 Budget Year Estimates:</v>
      </c>
      <c r="B62" s="34"/>
      <c r="C62" s="34"/>
      <c r="D62" s="34"/>
      <c r="E62" s="24"/>
    </row>
    <row r="63" spans="1:5" ht="15.75">
      <c r="A63" s="64" t="s">
        <v>144</v>
      </c>
      <c r="B63" s="15"/>
      <c r="C63" s="15"/>
      <c r="D63" s="15"/>
      <c r="E63" s="50"/>
    </row>
    <row r="64" spans="1:5" ht="15.75">
      <c r="A64" s="28" t="str">
        <f>inputPrYr!$D$4</f>
        <v>Franklin County</v>
      </c>
      <c r="B64" s="15"/>
      <c r="C64" s="15"/>
      <c r="D64" s="12">
        <v>1448</v>
      </c>
      <c r="E64" s="25"/>
    </row>
    <row r="65" spans="1:5" ht="15.75">
      <c r="A65" s="28" t="str">
        <f>inputPrYr!$D$6</f>
        <v>Anderson County</v>
      </c>
      <c r="B65" s="15"/>
      <c r="C65" s="15"/>
      <c r="D65" s="12">
        <v>57</v>
      </c>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1505</v>
      </c>
    </row>
    <row r="70" spans="1:5" ht="16.5" thickTop="1">
      <c r="A70" s="64" t="s">
        <v>145</v>
      </c>
      <c r="B70" s="15"/>
      <c r="C70" s="15"/>
      <c r="D70" s="15"/>
      <c r="E70" s="50"/>
    </row>
    <row r="71" spans="1:5" ht="15.75">
      <c r="A71" s="28" t="str">
        <f>inputPrYr!$D$4</f>
        <v>Franklin County</v>
      </c>
      <c r="B71" s="15"/>
      <c r="C71" s="15"/>
      <c r="D71" s="12">
        <v>18</v>
      </c>
      <c r="E71" s="25"/>
    </row>
    <row r="72" spans="1:5" ht="15.75">
      <c r="A72" s="28" t="str">
        <f>inputPrYr!$D$6</f>
        <v>Anderson County</v>
      </c>
      <c r="B72" s="15"/>
      <c r="C72" s="15"/>
      <c r="D72" s="13"/>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18</v>
      </c>
    </row>
    <row r="77" spans="1:5" ht="16.5" thickTop="1">
      <c r="A77" s="64" t="s">
        <v>141</v>
      </c>
      <c r="B77" s="15"/>
      <c r="C77" s="15"/>
      <c r="D77" s="15"/>
      <c r="E77" s="50"/>
    </row>
    <row r="78" spans="1:5" ht="15.75">
      <c r="A78" s="28" t="str">
        <f>inputPrYr!$D$4</f>
        <v>Franklin County</v>
      </c>
      <c r="B78" s="15"/>
      <c r="C78" s="15"/>
      <c r="D78" s="12">
        <v>44</v>
      </c>
      <c r="E78" s="25"/>
    </row>
    <row r="79" spans="1:5" ht="15.75">
      <c r="A79" s="28" t="str">
        <f>inputPrYr!$D$6</f>
        <v>Anderson County</v>
      </c>
      <c r="B79" s="15"/>
      <c r="C79" s="15"/>
      <c r="D79" s="13">
        <v>10</v>
      </c>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54</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Anderson County</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2010 Uncollected Taxes</v>
      </c>
      <c r="B94" s="20"/>
      <c r="C94" s="19" t="s">
        <v>25</v>
      </c>
      <c r="D94" s="19" t="s">
        <v>25</v>
      </c>
      <c r="E94" s="52"/>
    </row>
    <row r="95" spans="1:5" ht="15.75">
      <c r="A95" s="84" t="str">
        <f>CONCATENATE("and ",E1-2," Ad Valorem Levied:")</f>
        <v>and 2011 Ad Valorem Levied:</v>
      </c>
      <c r="B95" s="23"/>
      <c r="C95" s="29" t="s">
        <v>212</v>
      </c>
      <c r="D95" s="29" t="s">
        <v>213</v>
      </c>
      <c r="E95" s="52"/>
    </row>
    <row r="96" spans="1:5" ht="15.75">
      <c r="A96" s="28" t="str">
        <f>inputPrYr!$D$4</f>
        <v>Franklin County</v>
      </c>
      <c r="B96" s="22"/>
      <c r="C96" s="92"/>
      <c r="D96" s="62"/>
      <c r="E96" s="52"/>
    </row>
    <row r="97" spans="1:5" ht="15.75">
      <c r="A97" s="28" t="str">
        <f>inputPrYr!$D$6</f>
        <v>Anderson County</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2" t="str">
        <f>CONCATENATE("From the ",E1-2," Budget Certificate Page")</f>
        <v>From the 2011 Budget Certificate Page</v>
      </c>
      <c r="B106" s="623"/>
      <c r="C106" s="86"/>
      <c r="D106" s="86"/>
      <c r="E106" s="86"/>
    </row>
    <row r="107" spans="1:5" ht="15.75">
      <c r="A107" s="87"/>
      <c r="B107" s="87" t="str">
        <f>CONCATENATE("",E1-2," Expenditure Amounts")</f>
        <v>2011 Expenditure Amounts</v>
      </c>
      <c r="C107" s="624" t="str">
        <f>CONCATENATE("Note: If the ",E1-2," budget was amended, then the")</f>
        <v>Note: If the 2011 budget was amended, then the</v>
      </c>
      <c r="D107" s="625"/>
      <c r="E107" s="625"/>
    </row>
    <row r="108" spans="1:5" ht="15.75">
      <c r="A108" s="88" t="s">
        <v>216</v>
      </c>
      <c r="B108" s="88" t="s">
        <v>217</v>
      </c>
      <c r="C108" s="85" t="s">
        <v>218</v>
      </c>
      <c r="D108" s="89"/>
      <c r="E108" s="89"/>
    </row>
    <row r="109" spans="1:5" ht="15.75">
      <c r="A109" s="90" t="str">
        <f>inputPrYr!B24</f>
        <v>General</v>
      </c>
      <c r="B109" s="62">
        <v>16034</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626" t="s">
        <v>334</v>
      </c>
      <c r="B2" s="627"/>
      <c r="C2" s="627"/>
      <c r="D2" s="627"/>
      <c r="E2" s="627"/>
      <c r="F2" s="627"/>
    </row>
    <row r="4" spans="1:6" ht="15.75">
      <c r="A4" s="396"/>
      <c r="B4" s="396"/>
      <c r="C4" s="396"/>
      <c r="D4" s="397"/>
      <c r="E4" s="396"/>
      <c r="F4" s="396"/>
    </row>
    <row r="5" spans="1:6" ht="15.75">
      <c r="A5" s="398" t="s">
        <v>335</v>
      </c>
      <c r="B5" s="399" t="s">
        <v>757</v>
      </c>
      <c r="C5" s="400"/>
      <c r="D5" s="398" t="s">
        <v>743</v>
      </c>
      <c r="E5" s="396"/>
      <c r="F5" s="396"/>
    </row>
    <row r="6" spans="1:6" ht="15.75">
      <c r="A6" s="398"/>
      <c r="B6" s="401"/>
      <c r="C6" s="402"/>
      <c r="D6" s="398" t="s">
        <v>742</v>
      </c>
      <c r="E6" s="396"/>
      <c r="F6" s="396"/>
    </row>
    <row r="7" spans="1:6" ht="15.75">
      <c r="A7" s="398" t="s">
        <v>336</v>
      </c>
      <c r="B7" s="399" t="s">
        <v>751</v>
      </c>
      <c r="C7" s="403"/>
      <c r="D7" s="398"/>
      <c r="E7" s="396"/>
      <c r="F7" s="396"/>
    </row>
    <row r="8" spans="1:6" ht="15.75">
      <c r="A8" s="398"/>
      <c r="B8" s="398"/>
      <c r="C8" s="398"/>
      <c r="D8" s="398"/>
      <c r="E8" s="396"/>
      <c r="F8" s="396"/>
    </row>
    <row r="9" spans="1:6" ht="15.75">
      <c r="A9" s="398" t="s">
        <v>337</v>
      </c>
      <c r="B9" s="404" t="s">
        <v>752</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338</v>
      </c>
      <c r="B12" s="404" t="s">
        <v>744</v>
      </c>
      <c r="C12" s="404"/>
      <c r="D12" s="404"/>
      <c r="E12" s="405"/>
      <c r="F12" s="396"/>
    </row>
    <row r="15" spans="1:6" ht="15.75">
      <c r="A15" s="628" t="s">
        <v>339</v>
      </c>
      <c r="B15" s="628"/>
      <c r="C15" s="398"/>
      <c r="D15" s="398"/>
      <c r="E15" s="398"/>
      <c r="F15" s="396"/>
    </row>
    <row r="16" spans="1:6" ht="15.75">
      <c r="A16" s="398"/>
      <c r="B16" s="398"/>
      <c r="C16" s="398"/>
      <c r="D16" s="398"/>
      <c r="E16" s="398"/>
      <c r="F16" s="396"/>
    </row>
    <row r="17" spans="1:5" ht="15.75">
      <c r="A17" s="398" t="s">
        <v>335</v>
      </c>
      <c r="B17" s="401" t="s">
        <v>340</v>
      </c>
      <c r="C17" s="398"/>
      <c r="D17" s="398"/>
      <c r="E17" s="398"/>
    </row>
    <row r="18" spans="1:5" ht="15.75">
      <c r="A18" s="398"/>
      <c r="B18" s="398"/>
      <c r="C18" s="398"/>
      <c r="D18" s="398"/>
      <c r="E18" s="398"/>
    </row>
    <row r="19" spans="1:5" ht="15.75">
      <c r="A19" s="398" t="s">
        <v>336</v>
      </c>
      <c r="B19" s="398" t="s">
        <v>341</v>
      </c>
      <c r="C19" s="398"/>
      <c r="D19" s="398"/>
      <c r="E19" s="398"/>
    </row>
    <row r="20" spans="1:5" ht="15.75">
      <c r="A20" s="398"/>
      <c r="B20" s="398"/>
      <c r="C20" s="398"/>
      <c r="D20" s="398"/>
      <c r="E20" s="398"/>
    </row>
    <row r="21" spans="1:5" ht="15.75">
      <c r="A21" s="398" t="s">
        <v>337</v>
      </c>
      <c r="B21" s="398" t="s">
        <v>342</v>
      </c>
      <c r="C21" s="398"/>
      <c r="D21" s="398"/>
      <c r="E21" s="398"/>
    </row>
    <row r="22" spans="1:5" ht="15.75">
      <c r="A22" s="398"/>
      <c r="B22" s="398"/>
      <c r="C22" s="398"/>
      <c r="D22" s="398"/>
      <c r="E22" s="398"/>
    </row>
    <row r="23" spans="1:5" ht="15.75">
      <c r="A23" s="398" t="s">
        <v>338</v>
      </c>
      <c r="B23" s="398" t="s">
        <v>343</v>
      </c>
      <c r="C23" s="398"/>
      <c r="D23" s="398"/>
      <c r="E23" s="39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tabSelected="1" workbookViewId="0">
      <selection activeCell="B3" sqref="B3"/>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2" t="s">
        <v>71</v>
      </c>
      <c r="B2" s="632"/>
      <c r="C2" s="632"/>
      <c r="D2" s="632"/>
      <c r="E2" s="632"/>
      <c r="F2" s="632"/>
      <c r="G2" s="632"/>
    </row>
    <row r="3" spans="1:8">
      <c r="A3" s="100"/>
      <c r="B3" s="100"/>
      <c r="C3" s="100"/>
      <c r="D3" s="100"/>
      <c r="E3" s="100"/>
      <c r="F3" s="100"/>
      <c r="G3" s="110">
        <f>inputPrYr!D11</f>
        <v>2013</v>
      </c>
    </row>
    <row r="4" spans="1:8">
      <c r="A4" s="635" t="str">
        <f>CONCATENATE("To the Clerk of ",inputPrYr!D4,", State of Kansas")</f>
        <v>To the Clerk of Franklin County, State of Kansas</v>
      </c>
      <c r="B4" s="635"/>
      <c r="C4" s="635"/>
      <c r="D4" s="635"/>
      <c r="E4" s="635"/>
      <c r="F4" s="635"/>
      <c r="G4" s="635"/>
    </row>
    <row r="5" spans="1:8">
      <c r="A5" s="144" t="s">
        <v>171</v>
      </c>
      <c r="B5" s="110"/>
      <c r="C5" s="110"/>
      <c r="D5" s="110"/>
      <c r="E5" s="110"/>
      <c r="F5" s="110"/>
      <c r="G5" s="110"/>
    </row>
    <row r="6" spans="1:8">
      <c r="A6" s="615" t="str">
        <f>inputPrYr!D3</f>
        <v>Richmond &amp; Berea Cemetery</v>
      </c>
      <c r="B6" s="615"/>
      <c r="C6" s="615"/>
      <c r="D6" s="615"/>
      <c r="E6" s="615"/>
      <c r="F6" s="615"/>
      <c r="G6" s="615"/>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2013; and</v>
      </c>
      <c r="B9" s="110"/>
      <c r="C9" s="110"/>
      <c r="D9" s="110"/>
      <c r="E9" s="110"/>
      <c r="F9" s="110"/>
      <c r="G9" s="110"/>
    </row>
    <row r="10" spans="1:8">
      <c r="A10" s="144" t="str">
        <f>CONCATENATE("(3) the Amount(s) of  ",G3-1," Ad Valorem Tax are within statutory limitations for the ",G3," Budget.")</f>
        <v>(3) the Amount(s) of  2012 Ad Valorem Tax are within statutory limitations for the 2013 Budget.</v>
      </c>
      <c r="B10" s="110"/>
      <c r="C10" s="110"/>
      <c r="D10" s="110"/>
      <c r="E10" s="110"/>
      <c r="F10" s="110"/>
      <c r="G10" s="110"/>
    </row>
    <row r="11" spans="1:8">
      <c r="A11" s="99"/>
      <c r="B11" s="100"/>
      <c r="C11" s="100"/>
      <c r="D11" s="145"/>
      <c r="E11" s="177"/>
      <c r="F11" s="177"/>
      <c r="G11" s="177"/>
    </row>
    <row r="12" spans="1:8">
      <c r="A12" s="100"/>
      <c r="B12" s="100"/>
      <c r="C12" s="100"/>
      <c r="D12" s="100"/>
      <c r="E12" s="636" t="str">
        <f>CONCATENATE("",G3," Adopted Budget")</f>
        <v>2013 Adopted Budget</v>
      </c>
      <c r="F12" s="637"/>
      <c r="G12" s="638"/>
    </row>
    <row r="13" spans="1:8">
      <c r="A13" s="99"/>
      <c r="B13" s="100"/>
      <c r="C13" s="100"/>
      <c r="D13" s="127"/>
      <c r="E13" s="202" t="s">
        <v>11</v>
      </c>
      <c r="F13" s="633" t="str">
        <f>CONCATENATE("Amount of  ",G3-1," Ad Valorem Tax")</f>
        <v>Amount of  2012 Ad Valorem Tax</v>
      </c>
      <c r="G13" s="203" t="s">
        <v>12</v>
      </c>
      <c r="H13" s="204"/>
    </row>
    <row r="14" spans="1:8">
      <c r="A14" s="100"/>
      <c r="B14" s="100"/>
      <c r="C14" s="100"/>
      <c r="D14" s="205" t="s">
        <v>13</v>
      </c>
      <c r="E14" s="150" t="s">
        <v>217</v>
      </c>
      <c r="F14" s="634"/>
      <c r="G14" s="203" t="s">
        <v>14</v>
      </c>
    </row>
    <row r="15" spans="1:8">
      <c r="A15" s="101" t="s">
        <v>15</v>
      </c>
      <c r="B15" s="100"/>
      <c r="C15" s="100"/>
      <c r="D15" s="150" t="s">
        <v>16</v>
      </c>
      <c r="E15" s="150" t="s">
        <v>581</v>
      </c>
      <c r="F15" s="634"/>
      <c r="G15" s="203" t="s">
        <v>18</v>
      </c>
    </row>
    <row r="16" spans="1:8" ht="4.5" customHeight="1">
      <c r="A16" s="177"/>
      <c r="B16" s="177"/>
      <c r="C16" s="177"/>
      <c r="D16" s="206"/>
      <c r="E16" s="206"/>
      <c r="F16" s="207"/>
      <c r="G16" s="207"/>
    </row>
    <row r="17" spans="1:7">
      <c r="A17" s="208" t="str">
        <f>CONCATENATE("Computation to Determine Limit for ",G3,"")</f>
        <v>Computation to Determine Limit for 2013</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5" t="s">
        <v>19</v>
      </c>
      <c r="B21" s="214"/>
      <c r="C21" s="606" t="s">
        <v>20</v>
      </c>
      <c r="D21" s="209"/>
      <c r="E21" s="215"/>
      <c r="F21" s="127"/>
      <c r="G21" s="131"/>
    </row>
    <row r="22" spans="1:7">
      <c r="A22" s="216" t="s">
        <v>5</v>
      </c>
      <c r="B22" s="214"/>
      <c r="C22" s="217" t="str">
        <f>inputPrYr!C24</f>
        <v>17-1330</v>
      </c>
      <c r="D22" s="190">
        <v>6</v>
      </c>
      <c r="E22" s="218">
        <f>IF(gen!$E$61&lt;&gt;0,gen!$E$61,"  ")</f>
        <v>23372</v>
      </c>
      <c r="F22" s="218">
        <f>IF(gen!$E$68&lt;&gt;0,gen!$E$68,"  ")</f>
        <v>10599</v>
      </c>
      <c r="G22" s="219">
        <v>1.79</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23372</v>
      </c>
      <c r="F29" s="170">
        <f>SUM(F22:F27)</f>
        <v>10599</v>
      </c>
      <c r="G29" s="230">
        <v>1.79</v>
      </c>
    </row>
    <row r="30" spans="1:7" ht="16.5" thickTop="1">
      <c r="A30" s="216" t="s">
        <v>199</v>
      </c>
      <c r="B30" s="221"/>
      <c r="C30" s="214"/>
      <c r="D30" s="231">
        <f>summ!E26</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7"/>
      <c r="F32" s="234"/>
      <c r="G32" s="99"/>
    </row>
    <row r="33" spans="1:7">
      <c r="A33" s="99" t="s">
        <v>22</v>
      </c>
      <c r="B33" s="99" t="s">
        <v>22</v>
      </c>
      <c r="C33" s="99" t="s">
        <v>22</v>
      </c>
      <c r="D33" s="235" t="s">
        <v>147</v>
      </c>
      <c r="E33" s="127"/>
      <c r="F33" s="641" t="s">
        <v>127</v>
      </c>
      <c r="G33" s="638"/>
    </row>
    <row r="34" spans="1:7">
      <c r="A34" s="100" t="s">
        <v>332</v>
      </c>
      <c r="B34" s="100"/>
      <c r="C34" s="99" t="s">
        <v>22</v>
      </c>
      <c r="D34" s="216" t="str">
        <f>inputPrYr!D4</f>
        <v>Franklin County</v>
      </c>
      <c r="E34" s="221"/>
      <c r="F34" s="642">
        <v>5560430</v>
      </c>
      <c r="G34" s="643"/>
    </row>
    <row r="35" spans="1:7">
      <c r="A35" s="236" t="s">
        <v>744</v>
      </c>
      <c r="B35" s="236"/>
      <c r="C35" s="99" t="s">
        <v>22</v>
      </c>
      <c r="D35" s="216" t="str">
        <f>inputPrYr!D6</f>
        <v>Anderson County</v>
      </c>
      <c r="E35" s="221"/>
      <c r="F35" s="642">
        <v>363604</v>
      </c>
      <c r="G35" s="643"/>
    </row>
    <row r="36" spans="1:7">
      <c r="A36" s="237"/>
      <c r="B36" s="237"/>
      <c r="C36" s="99" t="s">
        <v>22</v>
      </c>
      <c r="D36" s="216">
        <f>inputPrYr!D7</f>
        <v>0</v>
      </c>
      <c r="E36" s="221"/>
      <c r="F36" s="642"/>
      <c r="G36" s="643"/>
    </row>
    <row r="37" spans="1:7">
      <c r="A37" s="103" t="s">
        <v>333</v>
      </c>
      <c r="B37" s="210"/>
      <c r="C37" s="99" t="s">
        <v>22</v>
      </c>
      <c r="D37" s="216">
        <f>inputPrYr!D8</f>
        <v>0</v>
      </c>
      <c r="E37" s="221"/>
      <c r="F37" s="642"/>
      <c r="G37" s="643"/>
    </row>
    <row r="38" spans="1:7">
      <c r="A38" s="236" t="s">
        <v>745</v>
      </c>
      <c r="B38" s="236"/>
      <c r="C38" s="99" t="s">
        <v>22</v>
      </c>
      <c r="D38" s="216">
        <f>inputPrYr!D9</f>
        <v>0</v>
      </c>
      <c r="E38" s="221"/>
      <c r="F38" s="642"/>
      <c r="G38" s="643"/>
    </row>
    <row r="39" spans="1:7">
      <c r="A39" s="237" t="s">
        <v>746</v>
      </c>
      <c r="B39" s="237"/>
      <c r="C39" s="99" t="s">
        <v>22</v>
      </c>
      <c r="D39" s="216" t="s">
        <v>148</v>
      </c>
      <c r="E39" s="221"/>
      <c r="F39" s="644">
        <f>SUM(F34:F38)</f>
        <v>5924034</v>
      </c>
      <c r="G39" s="645"/>
    </row>
    <row r="40" spans="1:7">
      <c r="A40" s="237"/>
      <c r="B40" s="237"/>
      <c r="C40" s="99" t="s">
        <v>22</v>
      </c>
      <c r="D40" s="99" t="s">
        <v>22</v>
      </c>
      <c r="E40" s="107"/>
      <c r="F40" s="641" t="str">
        <f>CONCATENATE("November 1, ",G3-1," Valuation")</f>
        <v>November 1, 2012 Valuation</v>
      </c>
      <c r="G40" s="643"/>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10" t="s">
        <v>22</v>
      </c>
      <c r="C45" s="107"/>
      <c r="D45" s="107"/>
      <c r="E45" s="107"/>
      <c r="F45" s="608"/>
      <c r="G45" s="608"/>
    </row>
    <row r="46" spans="1:7">
      <c r="A46" s="99" t="s">
        <v>22</v>
      </c>
      <c r="B46" s="99" t="s">
        <v>22</v>
      </c>
      <c r="C46" s="107"/>
      <c r="D46" s="107"/>
      <c r="E46" s="107"/>
      <c r="F46" s="608"/>
      <c r="G46" s="608"/>
    </row>
    <row r="47" spans="1:7">
      <c r="A47" s="99" t="s">
        <v>22</v>
      </c>
      <c r="B47" s="99" t="s">
        <v>22</v>
      </c>
      <c r="C47" s="107"/>
      <c r="D47" s="224"/>
      <c r="E47" s="224"/>
      <c r="F47" s="609"/>
      <c r="G47" s="609"/>
    </row>
    <row r="48" spans="1:7">
      <c r="A48" s="99" t="s">
        <v>172</v>
      </c>
      <c r="B48" s="107"/>
      <c r="C48" s="99">
        <f>G3-1</f>
        <v>2012</v>
      </c>
      <c r="D48" s="127"/>
      <c r="E48" s="127"/>
      <c r="F48" s="176"/>
      <c r="G48" s="176"/>
    </row>
    <row r="49" spans="1:7">
      <c r="A49" s="99" t="s">
        <v>22</v>
      </c>
      <c r="B49" s="99" t="s">
        <v>22</v>
      </c>
      <c r="C49" s="99" t="s">
        <v>22</v>
      </c>
      <c r="D49" s="100"/>
      <c r="E49" s="100"/>
      <c r="F49" s="110"/>
      <c r="G49" s="110"/>
    </row>
    <row r="50" spans="1:7">
      <c r="A50" s="629"/>
      <c r="B50" s="630"/>
      <c r="C50" s="100"/>
      <c r="D50" s="127"/>
      <c r="E50" s="127"/>
      <c r="F50" s="127"/>
      <c r="G50" s="127"/>
    </row>
    <row r="51" spans="1:7">
      <c r="A51" s="110" t="s">
        <v>24</v>
      </c>
      <c r="B51" s="110"/>
      <c r="C51" s="100"/>
      <c r="D51" s="639" t="s">
        <v>23</v>
      </c>
      <c r="E51" s="640"/>
      <c r="F51" s="640"/>
      <c r="G51" s="640"/>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1"/>
    </row>
    <row r="55" spans="1:7">
      <c r="A55" s="98"/>
      <c r="B55" s="98"/>
      <c r="C55" s="98"/>
      <c r="D55" s="98"/>
      <c r="E55" s="98"/>
      <c r="F55" s="98"/>
      <c r="G55" s="631"/>
    </row>
    <row r="56" spans="1:7">
      <c r="A56" s="98"/>
      <c r="B56" s="98"/>
      <c r="C56" s="98"/>
      <c r="D56" s="98"/>
      <c r="E56" s="98"/>
      <c r="F56" s="98"/>
      <c r="G56" s="631"/>
    </row>
    <row r="57" spans="1:7">
      <c r="A57" s="98"/>
      <c r="B57" s="98"/>
      <c r="C57" s="98"/>
      <c r="D57" s="98"/>
      <c r="E57" s="98"/>
      <c r="F57" s="98"/>
      <c r="G57" s="631"/>
    </row>
    <row r="58" spans="1:7">
      <c r="A58" s="98"/>
      <c r="B58" s="98"/>
      <c r="C58" s="98"/>
      <c r="D58" s="238"/>
      <c r="E58" s="98"/>
      <c r="F58" s="98"/>
      <c r="G58" s="631"/>
    </row>
    <row r="59" spans="1:7">
      <c r="G59" s="631"/>
    </row>
    <row r="60" spans="1:7">
      <c r="G60" s="631"/>
    </row>
    <row r="61" spans="1:7">
      <c r="G61" s="631"/>
    </row>
    <row r="62" spans="1:7">
      <c r="G62" s="631"/>
    </row>
    <row r="63" spans="1:7">
      <c r="G63" s="631"/>
    </row>
    <row r="64" spans="1:7">
      <c r="G64" s="631"/>
    </row>
    <row r="65" spans="7:7">
      <c r="G65" s="631"/>
    </row>
    <row r="66" spans="7:7">
      <c r="G66" s="631"/>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Richmond &amp; Berea Cemetery</v>
      </c>
      <c r="D1" s="100"/>
      <c r="E1" s="100"/>
      <c r="F1" s="100"/>
      <c r="G1" s="100"/>
      <c r="H1" s="100"/>
      <c r="I1" s="100"/>
      <c r="J1" s="100">
        <f>inputPrYr!D11</f>
        <v>2013</v>
      </c>
    </row>
    <row r="2" spans="1:10" ht="15.95" customHeight="1">
      <c r="A2" s="100"/>
      <c r="B2" s="100"/>
      <c r="C2" s="100" t="str">
        <f>inputPrYr!D4</f>
        <v>Franklin County</v>
      </c>
      <c r="D2" s="100"/>
      <c r="E2" s="100"/>
      <c r="F2" s="100"/>
      <c r="G2" s="100"/>
      <c r="H2" s="100"/>
      <c r="I2" s="100"/>
      <c r="J2" s="100"/>
    </row>
    <row r="3" spans="1:10" ht="15.75">
      <c r="A3" s="646" t="str">
        <f>CONCATENATE("Computation to Determine Limit for ",J1,"")</f>
        <v>Computation to Determine Limit for 2013</v>
      </c>
      <c r="B3" s="632"/>
      <c r="C3" s="632"/>
      <c r="D3" s="632"/>
      <c r="E3" s="632"/>
      <c r="F3" s="632"/>
      <c r="G3" s="632"/>
      <c r="H3" s="632"/>
      <c r="I3" s="632"/>
      <c r="J3" s="632"/>
    </row>
    <row r="4" spans="1:10" ht="15.75">
      <c r="A4" s="100"/>
      <c r="B4" s="100"/>
      <c r="C4" s="100"/>
      <c r="D4" s="100"/>
      <c r="E4" s="632"/>
      <c r="F4" s="632"/>
      <c r="G4" s="632"/>
      <c r="H4" s="182"/>
      <c r="I4" s="100"/>
      <c r="J4" s="240" t="s">
        <v>82</v>
      </c>
    </row>
    <row r="5" spans="1:10" ht="15.75">
      <c r="A5" s="241" t="s">
        <v>83</v>
      </c>
      <c r="B5" s="100" t="str">
        <f>CONCATENATE("Total Tax Levy Amount in ",J1-1," Budget")</f>
        <v>Total Tax Levy Amount in 2012 Budget</v>
      </c>
      <c r="C5" s="100"/>
      <c r="D5" s="100"/>
      <c r="E5" s="124"/>
      <c r="F5" s="124"/>
      <c r="G5" s="124"/>
      <c r="H5" s="242" t="s">
        <v>84</v>
      </c>
      <c r="I5" s="124" t="s">
        <v>85</v>
      </c>
      <c r="J5" s="425">
        <f>inputPrYr!E29</f>
        <v>10525</v>
      </c>
    </row>
    <row r="6" spans="1:10" ht="15.75">
      <c r="A6" s="241" t="s">
        <v>86</v>
      </c>
      <c r="B6" s="100" t="str">
        <f>CONCATENATE("Debt Service Levy in ",J1-1," Budget")</f>
        <v>Debt Service Levy in 2012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10525</v>
      </c>
    </row>
    <row r="8" spans="1:10" ht="15.75">
      <c r="A8" s="100"/>
      <c r="B8" s="100"/>
      <c r="C8" s="100"/>
      <c r="D8" s="100"/>
      <c r="E8" s="124"/>
      <c r="F8" s="124"/>
      <c r="G8" s="124"/>
      <c r="H8" s="124"/>
      <c r="I8" s="124"/>
      <c r="J8" s="124"/>
    </row>
    <row r="9" spans="1:10" ht="15.75">
      <c r="A9" s="100"/>
      <c r="B9" s="111" t="str">
        <f>CONCATENATE("",J1-1," Valuation Information for Valuation Adjustments:")</f>
        <v>2012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2012:</v>
      </c>
      <c r="C11" s="100"/>
      <c r="D11" s="100"/>
      <c r="E11" s="242"/>
      <c r="F11" s="242" t="s">
        <v>84</v>
      </c>
      <c r="G11" s="243">
        <f>inputOth!E19</f>
        <v>17822</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2012:</v>
      </c>
      <c r="C13" s="100"/>
      <c r="D13" s="100"/>
      <c r="E13" s="242"/>
      <c r="F13" s="242"/>
      <c r="G13" s="245"/>
      <c r="H13" s="245"/>
      <c r="I13" s="124"/>
      <c r="J13" s="124"/>
    </row>
    <row r="14" spans="1:10" ht="15.75">
      <c r="A14" s="100"/>
      <c r="B14" s="100" t="s">
        <v>90</v>
      </c>
      <c r="C14" s="100" t="str">
        <f>CONCATENATE("Personal Property ",J1-1,"")</f>
        <v>Personal Property 2012</v>
      </c>
      <c r="D14" s="241" t="s">
        <v>84</v>
      </c>
      <c r="E14" s="243">
        <f>inputOth!E26</f>
        <v>139029</v>
      </c>
      <c r="F14" s="242"/>
      <c r="G14" s="124"/>
      <c r="H14" s="124"/>
      <c r="I14" s="245"/>
      <c r="J14" s="124"/>
    </row>
    <row r="15" spans="1:10" ht="15.75">
      <c r="A15" s="241"/>
      <c r="B15" s="100" t="s">
        <v>91</v>
      </c>
      <c r="C15" s="100" t="str">
        <f>CONCATENATE("Personal Property ",J1-2,"")</f>
        <v>Personal Property 2011</v>
      </c>
      <c r="D15" s="241" t="s">
        <v>87</v>
      </c>
      <c r="E15" s="244">
        <f>inputOth!E40</f>
        <v>158185</v>
      </c>
      <c r="F15" s="242"/>
      <c r="G15" s="245"/>
      <c r="H15" s="245"/>
      <c r="I15" s="124"/>
      <c r="J15" s="124"/>
    </row>
    <row r="16" spans="1:10" ht="15.75">
      <c r="A16" s="241"/>
      <c r="B16" s="100" t="s">
        <v>92</v>
      </c>
      <c r="C16" s="100" t="s">
        <v>106</v>
      </c>
      <c r="D16" s="100"/>
      <c r="E16" s="124"/>
      <c r="F16" s="124" t="s">
        <v>84</v>
      </c>
      <c r="G16" s="243">
        <f>IF(E14&gt;E15,E14-E15,0)</f>
        <v>0</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2012:</v>
      </c>
      <c r="C18" s="100"/>
      <c r="D18" s="241"/>
      <c r="E18" s="124"/>
      <c r="F18" s="124"/>
      <c r="G18" s="124">
        <f>inputOth!E33</f>
        <v>23793</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41615</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1,2012</v>
      </c>
      <c r="C22" s="100"/>
      <c r="D22" s="100"/>
      <c r="E22" s="243">
        <f>inputOth!E12</f>
        <v>5924912</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5883297</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7.0734147876607284E-3</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74</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10599</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2013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10599</v>
      </c>
    </row>
    <row r="35" spans="1:10" ht="16.5" thickTop="1">
      <c r="A35" s="100"/>
      <c r="B35" s="100"/>
      <c r="C35" s="100"/>
      <c r="D35" s="100"/>
      <c r="E35" s="100"/>
      <c r="F35" s="100"/>
      <c r="G35" s="100"/>
      <c r="H35" s="100"/>
      <c r="I35" s="100"/>
      <c r="J35" s="100"/>
    </row>
    <row r="36" spans="1:10" ht="15.75">
      <c r="A36" s="639" t="str">
        <f>CONCATENATE("If the ",J1," budget includes tax levies exceeding the total on line 14, you must")</f>
        <v>If the 2013 budget includes tax levies exceeding the total on line 14, you must</v>
      </c>
      <c r="B36" s="639"/>
      <c r="C36" s="639"/>
      <c r="D36" s="639"/>
      <c r="E36" s="639"/>
      <c r="F36" s="639"/>
      <c r="G36" s="639"/>
      <c r="H36" s="639"/>
      <c r="I36" s="639"/>
      <c r="J36" s="639"/>
    </row>
    <row r="37" spans="1:10" ht="15.75">
      <c r="A37" s="639" t="s">
        <v>112</v>
      </c>
      <c r="B37" s="639"/>
      <c r="C37" s="639"/>
      <c r="D37" s="639"/>
      <c r="E37" s="639"/>
      <c r="F37" s="639"/>
      <c r="G37" s="639"/>
      <c r="H37" s="639"/>
      <c r="I37" s="639"/>
      <c r="J37" s="639"/>
    </row>
  </sheetData>
  <sheetProtection sheet="1"/>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Richmond &amp; Berea Cemetery</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2013</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9" t="s">
        <v>242</v>
      </c>
      <c r="C6" s="649"/>
      <c r="D6" s="649"/>
      <c r="E6" s="649"/>
      <c r="F6" s="649"/>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7" t="str">
        <f>CONCATENATE("",J2-1,"                    Budgeted Funds")</f>
        <v>2012                    Budgeted Funds</v>
      </c>
      <c r="C9" s="633" t="str">
        <f>CONCATENATE("Tax Levy Amount in ",J2-2," Budget")</f>
        <v>Tax Levy Amount in 2011 Budget</v>
      </c>
      <c r="D9" s="636" t="str">
        <f>CONCATENATE("Allocation for Year ",J2,"")</f>
        <v>Allocation for Year 2013</v>
      </c>
      <c r="E9" s="650"/>
      <c r="F9" s="650"/>
      <c r="G9" s="638"/>
      <c r="H9" s="100"/>
      <c r="I9" s="100"/>
      <c r="J9" s="100"/>
    </row>
    <row r="10" spans="1:10">
      <c r="A10" s="100"/>
      <c r="B10" s="648"/>
      <c r="C10" s="648"/>
      <c r="D10" s="153" t="s">
        <v>38</v>
      </c>
      <c r="E10" s="153" t="s">
        <v>39</v>
      </c>
      <c r="F10" s="153" t="s">
        <v>79</v>
      </c>
      <c r="G10" s="153" t="s">
        <v>170</v>
      </c>
      <c r="H10" s="100"/>
      <c r="I10" s="100"/>
      <c r="J10" s="100"/>
    </row>
    <row r="11" spans="1:10">
      <c r="A11" s="100"/>
      <c r="B11" s="134" t="str">
        <f>inputPrYr!B24</f>
        <v>General</v>
      </c>
      <c r="C11" s="155">
        <f>inputPrYr!E24</f>
        <v>10525</v>
      </c>
      <c r="D11" s="155">
        <f>IF(E17=0,0,E17-D12-D13-D14)</f>
        <v>1505</v>
      </c>
      <c r="E11" s="155">
        <f>IF(E19=0,0,E19-E12-E13-E14)</f>
        <v>18</v>
      </c>
      <c r="F11" s="155">
        <f>IF(E21=0,0,E21-F12-F13-F14)</f>
        <v>54</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10525</v>
      </c>
      <c r="D15" s="165">
        <f>SUM(D11:D14)</f>
        <v>1505</v>
      </c>
      <c r="E15" s="165">
        <f>SUM(E11:E14)</f>
        <v>18</v>
      </c>
      <c r="F15" s="165">
        <f>SUM(F11:F14)</f>
        <v>54</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1505</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18</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54</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0.14299287410926365</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1.7102137767220902E-3</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5.1306413301662711E-3</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2013</v>
      </c>
    </row>
    <row r="2" spans="1:6">
      <c r="A2" s="259" t="str">
        <f>inputPrYr!D3</f>
        <v>Richmond &amp; Berea Cemetery</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2" t="s">
        <v>136</v>
      </c>
      <c r="B5" s="632"/>
      <c r="C5" s="632"/>
      <c r="D5" s="632"/>
      <c r="E5" s="632"/>
      <c r="F5" s="632"/>
    </row>
    <row r="6" spans="1:6" ht="14.25" customHeight="1">
      <c r="A6" s="182"/>
      <c r="B6" s="260"/>
      <c r="C6" s="260"/>
      <c r="D6" s="260"/>
      <c r="E6" s="260"/>
      <c r="F6" s="260"/>
    </row>
    <row r="7" spans="1:6" ht="17.25" customHeight="1">
      <c r="A7" s="261" t="s">
        <v>17</v>
      </c>
      <c r="B7" s="261" t="s">
        <v>573</v>
      </c>
      <c r="C7" s="261" t="s">
        <v>44</v>
      </c>
      <c r="D7" s="261" t="s">
        <v>137</v>
      </c>
      <c r="E7" s="261" t="s">
        <v>138</v>
      </c>
      <c r="F7" s="261" t="s">
        <v>162</v>
      </c>
    </row>
    <row r="8" spans="1:6" ht="17.25" customHeight="1">
      <c r="A8" s="262" t="s">
        <v>574</v>
      </c>
      <c r="B8" s="262" t="s">
        <v>575</v>
      </c>
      <c r="C8" s="262" t="s">
        <v>163</v>
      </c>
      <c r="D8" s="262" t="s">
        <v>163</v>
      </c>
      <c r="E8" s="262" t="s">
        <v>163</v>
      </c>
      <c r="F8" s="262" t="s">
        <v>164</v>
      </c>
    </row>
    <row r="9" spans="1:6" s="265" customFormat="1" ht="18" customHeight="1">
      <c r="A9" s="263" t="s">
        <v>165</v>
      </c>
      <c r="B9" s="263" t="s">
        <v>166</v>
      </c>
      <c r="C9" s="264">
        <f>F1-2</f>
        <v>2011</v>
      </c>
      <c r="D9" s="264">
        <f>F1-1</f>
        <v>2012</v>
      </c>
      <c r="E9" s="264">
        <f>F1</f>
        <v>2013</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571</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572</v>
      </c>
      <c r="B29" s="431" t="str">
        <f>CONCATENATE("Adjustments are required only if the transfer is being made in ",D9," and/or ",E9," from a non-budgeted fund.")</f>
        <v>Adjustments are required only if the transfer is being made in 2012 and/or 2013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584</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585</v>
      </c>
    </row>
    <row r="29" spans="1:1" ht="15.75">
      <c r="A29" s="142"/>
    </row>
    <row r="30" spans="1:1" ht="15.75">
      <c r="A30" s="142"/>
    </row>
    <row r="31" spans="1:1" ht="78.75">
      <c r="A31" s="456" t="s">
        <v>586</v>
      </c>
    </row>
    <row r="32" spans="1:1" ht="15.75">
      <c r="A32" s="142"/>
    </row>
    <row r="33" spans="1:1" ht="15.75">
      <c r="A33" s="142"/>
    </row>
    <row r="34" spans="1:1" ht="47.25">
      <c r="A34" s="458" t="s">
        <v>587</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Richmond &amp; Berea Cemetery</v>
      </c>
      <c r="B1" s="100"/>
      <c r="C1" s="100"/>
      <c r="D1" s="100"/>
      <c r="E1" s="100"/>
      <c r="F1" s="100"/>
      <c r="G1" s="100"/>
      <c r="H1" s="100"/>
      <c r="I1" s="100"/>
      <c r="J1" s="100"/>
      <c r="K1" s="276">
        <f>inputPrYr!D11</f>
        <v>2013</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2012</v>
      </c>
      <c r="I7" s="284"/>
      <c r="J7" s="283">
        <f>K1</f>
        <v>2013</v>
      </c>
      <c r="K7" s="284"/>
    </row>
    <row r="8" spans="1:11" s="279" customFormat="1">
      <c r="A8" s="285" t="s">
        <v>55</v>
      </c>
      <c r="B8" s="153" t="s">
        <v>56</v>
      </c>
      <c r="C8" s="153" t="s">
        <v>36</v>
      </c>
      <c r="D8" s="153" t="s">
        <v>57</v>
      </c>
      <c r="E8" s="286" t="str">
        <f>CONCATENATE("Jan 1,",K1-1,"")</f>
        <v>Jan 1,2012</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1,2012</v>
      </c>
      <c r="G28" s="153">
        <f>K1-1</f>
        <v>2012</v>
      </c>
      <c r="H28" s="153">
        <f>K1</f>
        <v>2013</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19" workbookViewId="0">
      <selection activeCell="E37" sqref="E37"/>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Richmond &amp; Berea Cemetery</v>
      </c>
      <c r="C1" s="174"/>
      <c r="D1" s="100"/>
      <c r="E1" s="317"/>
      <c r="F1" s="175"/>
    </row>
    <row r="2" spans="2:6">
      <c r="B2" s="100" t="str">
        <f>inputPrYr!D4</f>
        <v>Franklin County</v>
      </c>
      <c r="C2" s="174"/>
      <c r="D2" s="100"/>
      <c r="E2" s="178"/>
      <c r="F2" s="175"/>
    </row>
    <row r="3" spans="2:6">
      <c r="B3" s="111"/>
      <c r="C3" s="174"/>
      <c r="D3" s="100"/>
      <c r="E3" s="318"/>
      <c r="F3" s="276">
        <f>inputPrYr!D11</f>
        <v>2013</v>
      </c>
    </row>
    <row r="4" spans="2:6">
      <c r="B4" s="598" t="s">
        <v>73</v>
      </c>
      <c r="C4" s="597"/>
      <c r="D4" s="210"/>
      <c r="E4" s="210"/>
      <c r="F4" s="175"/>
    </row>
    <row r="5" spans="2:6">
      <c r="B5" s="99" t="s">
        <v>26</v>
      </c>
      <c r="C5" s="437" t="s">
        <v>261</v>
      </c>
      <c r="D5" s="439" t="s">
        <v>263</v>
      </c>
      <c r="E5" s="319" t="s">
        <v>264</v>
      </c>
      <c r="F5" s="175"/>
    </row>
    <row r="6" spans="2:6">
      <c r="B6" s="449" t="str">
        <f>inputPrYr!B24</f>
        <v>General</v>
      </c>
      <c r="C6" s="438" t="str">
        <f>CONCATENATE("Actual ",F3-2,"")</f>
        <v>Actual 2011</v>
      </c>
      <c r="D6" s="438" t="str">
        <f>CONCATENATE("Estimate ",F3-1,"")</f>
        <v>Estimate 2012</v>
      </c>
      <c r="E6" s="264" t="str">
        <f>CONCATENATE("Year ",F3,"")</f>
        <v>Year 2013</v>
      </c>
      <c r="F6" s="175"/>
    </row>
    <row r="7" spans="2:6">
      <c r="B7" s="216" t="s">
        <v>117</v>
      </c>
      <c r="C7" s="432">
        <v>21715</v>
      </c>
      <c r="D7" s="436">
        <f>C62</f>
        <v>20409</v>
      </c>
      <c r="E7" s="157">
        <f>D62</f>
        <v>11196</v>
      </c>
      <c r="F7" s="175"/>
    </row>
    <row r="8" spans="2:6">
      <c r="B8" s="235" t="s">
        <v>119</v>
      </c>
      <c r="C8" s="320"/>
      <c r="D8" s="320"/>
      <c r="E8" s="155"/>
      <c r="F8" s="175"/>
    </row>
    <row r="9" spans="2:6">
      <c r="B9" s="216" t="s">
        <v>27</v>
      </c>
      <c r="C9" s="432">
        <v>11268</v>
      </c>
      <c r="D9" s="436">
        <f>inputPrYr!E24</f>
        <v>10525</v>
      </c>
      <c r="E9" s="228" t="s">
        <v>21</v>
      </c>
      <c r="F9" s="175"/>
    </row>
    <row r="10" spans="2:6">
      <c r="B10" s="216" t="s">
        <v>28</v>
      </c>
      <c r="C10" s="432"/>
      <c r="D10" s="432"/>
      <c r="E10" s="293"/>
      <c r="F10" s="175"/>
    </row>
    <row r="11" spans="2:6">
      <c r="B11" s="216" t="s">
        <v>29</v>
      </c>
      <c r="C11" s="432"/>
      <c r="D11" s="432">
        <v>1518</v>
      </c>
      <c r="E11" s="157">
        <f>mvalloc!D11</f>
        <v>1505</v>
      </c>
      <c r="F11" s="175"/>
    </row>
    <row r="12" spans="2:6">
      <c r="B12" s="216" t="s">
        <v>30</v>
      </c>
      <c r="C12" s="432"/>
      <c r="D12" s="432">
        <v>29</v>
      </c>
      <c r="E12" s="157">
        <f>mvalloc!E11</f>
        <v>18</v>
      </c>
      <c r="F12" s="175"/>
    </row>
    <row r="13" spans="2:6">
      <c r="B13" s="320" t="s">
        <v>101</v>
      </c>
      <c r="C13" s="432"/>
      <c r="D13" s="432">
        <v>215</v>
      </c>
      <c r="E13" s="157">
        <f>mvalloc!F11</f>
        <v>54</v>
      </c>
      <c r="F13" s="175"/>
    </row>
    <row r="14" spans="2:6">
      <c r="B14" s="320" t="s">
        <v>169</v>
      </c>
      <c r="C14" s="432"/>
      <c r="D14" s="432"/>
      <c r="E14" s="157">
        <f>inputOth!D91</f>
        <v>0</v>
      </c>
      <c r="F14" s="175"/>
    </row>
    <row r="15" spans="2:6">
      <c r="B15" s="320" t="s">
        <v>170</v>
      </c>
      <c r="C15" s="432"/>
      <c r="D15" s="432"/>
      <c r="E15" s="157">
        <f>mvalloc!G11</f>
        <v>0</v>
      </c>
      <c r="F15" s="175"/>
    </row>
    <row r="16" spans="2:6">
      <c r="B16" s="451" t="s">
        <v>753</v>
      </c>
      <c r="C16" s="432">
        <v>95</v>
      </c>
      <c r="D16" s="432"/>
      <c r="E16" s="293"/>
      <c r="F16" s="175"/>
    </row>
    <row r="17" spans="2:6">
      <c r="B17" s="321"/>
      <c r="C17" s="432"/>
      <c r="D17" s="432"/>
      <c r="E17" s="293"/>
      <c r="F17" s="175"/>
    </row>
    <row r="18" spans="2:6">
      <c r="B18" s="321"/>
      <c r="C18" s="432"/>
      <c r="D18" s="432"/>
      <c r="E18" s="293"/>
      <c r="F18" s="175"/>
    </row>
    <row r="19" spans="2:6">
      <c r="B19" s="321"/>
      <c r="C19" s="432"/>
      <c r="D19" s="432"/>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683</v>
      </c>
      <c r="C29" s="432"/>
      <c r="D29" s="432"/>
      <c r="E29" s="293"/>
      <c r="F29" s="175"/>
    </row>
    <row r="30" spans="2:6">
      <c r="B30" s="322" t="s">
        <v>31</v>
      </c>
      <c r="C30" s="432">
        <v>26</v>
      </c>
      <c r="D30" s="432"/>
      <c r="E30" s="293"/>
      <c r="F30" s="175"/>
    </row>
    <row r="31" spans="2:6">
      <c r="B31" s="323" t="s">
        <v>223</v>
      </c>
      <c r="C31" s="432"/>
      <c r="D31" s="432"/>
      <c r="E31" s="122"/>
      <c r="F31" s="175"/>
    </row>
    <row r="32" spans="2:6">
      <c r="B32" s="323" t="s">
        <v>582</v>
      </c>
      <c r="C32" s="434" t="str">
        <f>IF(C33*0.1&lt;C31,"Exceed 10% Rule","")</f>
        <v/>
      </c>
      <c r="D32" s="434" t="str">
        <f>IF(D33*0.1&lt;D31,"Exceed 10% Rule","")</f>
        <v/>
      </c>
      <c r="E32" s="450" t="str">
        <f>IF(E33*0.1+E68&lt;E31,"Exceed 10% Rule","")</f>
        <v/>
      </c>
      <c r="F32" s="175"/>
    </row>
    <row r="33" spans="2:6">
      <c r="B33" s="326" t="s">
        <v>32</v>
      </c>
      <c r="C33" s="435">
        <f>SUM(C9:C31)</f>
        <v>11389</v>
      </c>
      <c r="D33" s="435">
        <f>SUM(D9:D31)</f>
        <v>12287</v>
      </c>
      <c r="E33" s="327">
        <f>SUM(E9:E31)</f>
        <v>1577</v>
      </c>
      <c r="F33" s="175"/>
    </row>
    <row r="34" spans="2:6">
      <c r="B34" s="326" t="s">
        <v>33</v>
      </c>
      <c r="C34" s="435">
        <f>C7+C33</f>
        <v>33104</v>
      </c>
      <c r="D34" s="435">
        <f>D7+D33</f>
        <v>32696</v>
      </c>
      <c r="E34" s="327">
        <f>E7+E33</f>
        <v>12773</v>
      </c>
      <c r="F34" s="175"/>
    </row>
    <row r="35" spans="2:6">
      <c r="B35" s="216" t="s">
        <v>34</v>
      </c>
      <c r="C35" s="220"/>
      <c r="D35" s="220"/>
      <c r="E35" s="134"/>
      <c r="F35" s="175"/>
    </row>
    <row r="36" spans="2:6">
      <c r="B36" s="321" t="s">
        <v>754</v>
      </c>
      <c r="C36" s="432">
        <v>5479</v>
      </c>
      <c r="D36" s="432">
        <v>14000</v>
      </c>
      <c r="E36" s="122">
        <v>15372</v>
      </c>
      <c r="F36" s="175"/>
    </row>
    <row r="37" spans="2:6">
      <c r="B37" s="321" t="s">
        <v>755</v>
      </c>
      <c r="C37" s="432">
        <v>7200</v>
      </c>
      <c r="D37" s="432">
        <v>7500</v>
      </c>
      <c r="E37" s="122">
        <v>8000</v>
      </c>
      <c r="F37" s="175"/>
    </row>
    <row r="38" spans="2:6">
      <c r="B38" s="321" t="s">
        <v>756</v>
      </c>
      <c r="C38" s="432">
        <v>16</v>
      </c>
      <c r="D38" s="432"/>
      <c r="E38" s="122"/>
      <c r="F38" s="175"/>
    </row>
    <row r="39" spans="2:6">
      <c r="B39" s="321"/>
      <c r="C39" s="432"/>
      <c r="D39" s="432"/>
      <c r="E39" s="122"/>
      <c r="F39" s="175"/>
    </row>
    <row r="40" spans="2:6">
      <c r="B40" s="321"/>
      <c r="C40" s="432"/>
      <c r="D40" s="432"/>
      <c r="E40" s="122"/>
      <c r="F40" s="175"/>
    </row>
    <row r="41" spans="2:6">
      <c r="B41" s="321"/>
      <c r="C41" s="432"/>
      <c r="D41" s="432"/>
      <c r="E41" s="122"/>
      <c r="F41" s="175"/>
    </row>
    <row r="42" spans="2:6">
      <c r="B42" s="321"/>
      <c r="C42" s="432"/>
      <c r="D42" s="432"/>
      <c r="E42" s="122"/>
      <c r="F42" s="175"/>
    </row>
    <row r="43" spans="2:6">
      <c r="B43" s="321"/>
      <c r="C43" s="432"/>
      <c r="D43" s="432"/>
      <c r="E43" s="122"/>
      <c r="F43" s="175"/>
    </row>
    <row r="44" spans="2:6">
      <c r="B44" s="321"/>
      <c r="C44" s="432"/>
      <c r="D44" s="432"/>
      <c r="E44" s="122"/>
      <c r="F44" s="175"/>
    </row>
    <row r="45" spans="2:6">
      <c r="B45" s="321"/>
      <c r="C45" s="432"/>
      <c r="D45" s="432"/>
      <c r="E45" s="122"/>
      <c r="F45" s="175"/>
    </row>
    <row r="46" spans="2:6">
      <c r="B46" s="321"/>
      <c r="C46" s="432"/>
      <c r="D46" s="432"/>
      <c r="E46" s="122"/>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7" t="str">
        <f>CONCATENATE("Projected Carryover Into ",F3+1,"")</f>
        <v>Projected Carryover Into 2014</v>
      </c>
      <c r="H53" s="658"/>
      <c r="I53" s="658"/>
      <c r="J53" s="659"/>
    </row>
    <row r="54" spans="2:10">
      <c r="B54" s="321"/>
      <c r="C54" s="432"/>
      <c r="D54" s="432"/>
      <c r="E54" s="122"/>
      <c r="F54" s="175"/>
      <c r="G54" s="549"/>
      <c r="H54" s="550"/>
      <c r="I54" s="550"/>
      <c r="J54" s="551"/>
    </row>
    <row r="55" spans="2:10">
      <c r="B55" s="321"/>
      <c r="C55" s="432"/>
      <c r="D55" s="432"/>
      <c r="E55" s="122"/>
      <c r="F55" s="175"/>
      <c r="G55" s="552">
        <f>D61</f>
        <v>21500</v>
      </c>
      <c r="H55" s="553" t="str">
        <f>CONCATENATE("",F3-1," Ending Cash Balance (est.)")</f>
        <v>2012 Ending Cash Balance (est.)</v>
      </c>
      <c r="I55" s="554"/>
      <c r="J55" s="551"/>
    </row>
    <row r="56" spans="2:10">
      <c r="B56" s="321"/>
      <c r="C56" s="432"/>
      <c r="D56" s="432"/>
      <c r="E56" s="122"/>
      <c r="F56" s="175"/>
      <c r="G56" s="552">
        <f>E33</f>
        <v>1577</v>
      </c>
      <c r="H56" s="554" t="str">
        <f>CONCATENATE("",F3," Non-AV Receipts (est.)")</f>
        <v>2013 Non-AV Receipts (est.)</v>
      </c>
      <c r="I56" s="554"/>
      <c r="J56" s="551"/>
    </row>
    <row r="57" spans="2:10">
      <c r="B57" s="321"/>
      <c r="C57" s="432"/>
      <c r="D57" s="432"/>
      <c r="E57" s="122"/>
      <c r="F57" s="175"/>
      <c r="G57" s="555">
        <f>E68</f>
        <v>10599</v>
      </c>
      <c r="H57" s="554" t="str">
        <f>CONCATENATE("",F3," Ad Valorem Tax (est.)")</f>
        <v>2013 Ad Valorem Tax (est.)</v>
      </c>
      <c r="I57" s="554"/>
      <c r="J57" s="551"/>
    </row>
    <row r="58" spans="2:10">
      <c r="B58" s="220" t="s">
        <v>222</v>
      </c>
      <c r="C58" s="321"/>
      <c r="D58" s="321"/>
      <c r="E58" s="159" t="str">
        <f>Nhood!E7</f>
        <v/>
      </c>
      <c r="F58" s="175"/>
      <c r="G58" s="552">
        <f>SUM(G55:G57)</f>
        <v>33676</v>
      </c>
      <c r="H58" s="554" t="str">
        <f>CONCATENATE("Total ",F3," Resources Available")</f>
        <v>Total 2013 Resources Available</v>
      </c>
      <c r="I58" s="554"/>
      <c r="J58" s="551"/>
    </row>
    <row r="59" spans="2:10">
      <c r="B59" s="220" t="s">
        <v>223</v>
      </c>
      <c r="C59" s="432"/>
      <c r="D59" s="432"/>
      <c r="E59" s="122"/>
      <c r="F59" s="175"/>
      <c r="G59" s="556"/>
      <c r="H59" s="554"/>
      <c r="I59" s="554"/>
      <c r="J59" s="551"/>
    </row>
    <row r="60" spans="2:10">
      <c r="B60" s="220" t="s">
        <v>583</v>
      </c>
      <c r="C60" s="434" t="str">
        <f>IF(C61*0.1&lt;C59,"Exceed 10% Rule","")</f>
        <v/>
      </c>
      <c r="D60" s="434" t="str">
        <f>IF(D61*0.1&lt;D59,"Exceed 10% Rule","")</f>
        <v/>
      </c>
      <c r="E60" s="450" t="str">
        <f>IF(E61*0.1&lt;E59,"Exceed 10% Rule","")</f>
        <v/>
      </c>
      <c r="F60" s="175"/>
      <c r="G60" s="555">
        <f>C61*0.05+C61</f>
        <v>13329.75</v>
      </c>
      <c r="H60" s="554" t="str">
        <f>CONCATENATE("Less ",F3-2," Expenditures + 5%")</f>
        <v>Less 2011 Expenditures + 5%</v>
      </c>
      <c r="I60" s="554"/>
      <c r="J60" s="551"/>
    </row>
    <row r="61" spans="2:10">
      <c r="B61" s="326" t="s">
        <v>35</v>
      </c>
      <c r="C61" s="435">
        <f>SUM(C36:C59)</f>
        <v>12695</v>
      </c>
      <c r="D61" s="435">
        <f>SUM(D36:D59)</f>
        <v>21500</v>
      </c>
      <c r="E61" s="327">
        <f>SUM(E36:E59)</f>
        <v>23372</v>
      </c>
      <c r="F61" s="175"/>
      <c r="G61" s="557">
        <f>G58-G60</f>
        <v>20346.25</v>
      </c>
      <c r="H61" s="558" t="str">
        <f>CONCATENATE("Projected ",F3+1," Carryover (est.)")</f>
        <v>Projected 2014 Carryover (est.)</v>
      </c>
      <c r="I61" s="559"/>
      <c r="J61" s="560"/>
    </row>
    <row r="62" spans="2:10">
      <c r="B62" s="216" t="s">
        <v>118</v>
      </c>
      <c r="C62" s="433">
        <f>C34-C61</f>
        <v>20409</v>
      </c>
      <c r="D62" s="433">
        <f>D34-D61</f>
        <v>11196</v>
      </c>
      <c r="E62" s="228" t="s">
        <v>21</v>
      </c>
      <c r="F62" s="175"/>
      <c r="G62" s="98"/>
      <c r="H62" s="98"/>
      <c r="I62" s="98"/>
      <c r="J62" s="98"/>
    </row>
    <row r="63" spans="2:10">
      <c r="B63" s="178" t="str">
        <f>CONCATENATE("",F3-2,"/",F3-1," Budget Authority Amount:")</f>
        <v>2011/2012 Budget Authority Amount:</v>
      </c>
      <c r="C63" s="190">
        <f>inputOth!B109</f>
        <v>16034</v>
      </c>
      <c r="D63" s="171">
        <f>inputPrYr!D24</f>
        <v>27442</v>
      </c>
      <c r="E63" s="228" t="s">
        <v>21</v>
      </c>
      <c r="F63" s="328"/>
      <c r="G63" s="561">
        <f>IF(inputOth!E12=0,"",ROUND(gen!E68/inputOth!E12*1000,3))</f>
        <v>1.7889999999999999</v>
      </c>
      <c r="H63" s="562" t="str">
        <f>CONCATENATE("Projected ",F3-1," Mill Rate (est.)")</f>
        <v>Projected 2012 Mill Rate (est.)</v>
      </c>
      <c r="I63" s="563"/>
      <c r="J63" s="564"/>
    </row>
    <row r="64" spans="2:10">
      <c r="B64" s="178"/>
      <c r="C64" s="653" t="s">
        <v>684</v>
      </c>
      <c r="D64" s="654"/>
      <c r="E64" s="122"/>
      <c r="F64" s="328" t="str">
        <f>IF(E61/0.95-E61&lt;E64,"Exceeds 5%","")</f>
        <v/>
      </c>
      <c r="G64" s="565"/>
      <c r="H64" s="565"/>
      <c r="I64" s="565"/>
      <c r="J64" s="565"/>
    </row>
    <row r="65" spans="2:10">
      <c r="B65" s="544" t="str">
        <f>CONCATENATE(C79,"     ",D79)</f>
        <v xml:space="preserve">     </v>
      </c>
      <c r="C65" s="655" t="s">
        <v>685</v>
      </c>
      <c r="D65" s="656"/>
      <c r="E65" s="157">
        <f>E61+E64</f>
        <v>23372</v>
      </c>
      <c r="F65" s="175"/>
      <c r="G65" s="657" t="str">
        <f>CONCATENATE("Desired Carryover Into ",F3+1,"")</f>
        <v>Desired Carryover Into 2014</v>
      </c>
      <c r="H65" s="660"/>
      <c r="I65" s="660"/>
      <c r="J65" s="659"/>
    </row>
    <row r="66" spans="2:10">
      <c r="B66" s="544" t="str">
        <f>CONCATENATE(C80,"     ",D80)</f>
        <v xml:space="preserve">     </v>
      </c>
      <c r="C66" s="546"/>
      <c r="D66" s="547" t="s">
        <v>686</v>
      </c>
      <c r="E66" s="160">
        <f>IF(E65-E34&gt;0,E65-E34,0)</f>
        <v>10599</v>
      </c>
      <c r="F66" s="175"/>
      <c r="G66" s="566"/>
      <c r="H66" s="550"/>
      <c r="I66" s="554"/>
      <c r="J66" s="567"/>
    </row>
    <row r="67" spans="2:10">
      <c r="B67" s="250"/>
      <c r="C67" s="545" t="s">
        <v>687</v>
      </c>
      <c r="D67" s="548">
        <f>inputOth!$E$103</f>
        <v>0</v>
      </c>
      <c r="E67" s="157">
        <f>ROUND(IF(D67&gt;0,(E66*D67),0),0)</f>
        <v>0</v>
      </c>
      <c r="F67" s="175"/>
      <c r="G67" s="568" t="s">
        <v>689</v>
      </c>
      <c r="H67" s="554"/>
      <c r="I67" s="554"/>
      <c r="J67" s="569">
        <v>0</v>
      </c>
    </row>
    <row r="68" spans="2:10">
      <c r="B68" s="100"/>
      <c r="C68" s="651" t="str">
        <f>CONCATENATE("Amount of  ",$F$3-1," Ad Valorem Tax")</f>
        <v>Amount of  2012 Ad Valorem Tax</v>
      </c>
      <c r="D68" s="652"/>
      <c r="E68" s="160">
        <f>E66+E67</f>
        <v>10599</v>
      </c>
      <c r="F68" s="175"/>
      <c r="G68" s="566" t="s">
        <v>690</v>
      </c>
      <c r="H68" s="550"/>
      <c r="I68" s="550"/>
      <c r="J68" s="570" t="str">
        <f>IF(gen!J67=0,"",ROUND((J67+E68-G61)/inputOth!E12*1000,3)-G63)</f>
        <v/>
      </c>
    </row>
    <row r="69" spans="2:10">
      <c r="B69" s="100"/>
      <c r="C69" s="100"/>
      <c r="D69" s="100"/>
      <c r="E69" s="100"/>
      <c r="F69" s="175"/>
      <c r="G69" s="571" t="str">
        <f>CONCATENATE("",F3," Total Expenditures Must Be:")</f>
        <v>2013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Richmond &amp; Berea Cemetery</v>
      </c>
      <c r="C1" s="100"/>
      <c r="D1" s="100"/>
      <c r="E1" s="317">
        <f>inputPrYr!$D$11</f>
        <v>2013</v>
      </c>
    </row>
    <row r="2" spans="2:5">
      <c r="B2" s="100"/>
      <c r="C2" s="100"/>
      <c r="D2" s="100"/>
      <c r="E2" s="250"/>
    </row>
    <row r="3" spans="2:5">
      <c r="B3" s="111"/>
      <c r="C3" s="174"/>
      <c r="D3" s="174"/>
      <c r="E3" s="330"/>
    </row>
    <row r="4" spans="2:5">
      <c r="B4" s="599" t="s">
        <v>73</v>
      </c>
      <c r="C4" s="597"/>
      <c r="D4" s="331"/>
      <c r="E4" s="331"/>
    </row>
    <row r="5" spans="2:5">
      <c r="B5" s="130" t="s">
        <v>26</v>
      </c>
      <c r="C5" s="437" t="s">
        <v>261</v>
      </c>
      <c r="D5" s="439" t="s">
        <v>263</v>
      </c>
      <c r="E5" s="319" t="s">
        <v>264</v>
      </c>
    </row>
    <row r="6" spans="2:5">
      <c r="B6" s="452" t="s">
        <v>284</v>
      </c>
      <c r="C6" s="438" t="str">
        <f>CONCATENATE("Actual ",E1-2,"")</f>
        <v>Actual 2011</v>
      </c>
      <c r="D6" s="438" t="str">
        <f>CONCATENATE("Estimate ",E1-1,"")</f>
        <v>Estimate 2012</v>
      </c>
      <c r="E6" s="264" t="str">
        <f>CONCATENATE("Year ",E1,"")</f>
        <v>Year 2013</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582</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1" t="str">
        <f>CONCATENATE("Projected Carryover Into ",E1+1,"")</f>
        <v>Projected Carryover Into 2014</v>
      </c>
      <c r="H51" s="662"/>
      <c r="I51" s="663"/>
    </row>
    <row r="52" spans="2:9">
      <c r="B52" s="220" t="s">
        <v>223</v>
      </c>
      <c r="C52" s="440"/>
      <c r="D52" s="440"/>
      <c r="E52" s="335"/>
      <c r="G52" s="549"/>
      <c r="H52" s="550"/>
      <c r="I52" s="551"/>
    </row>
    <row r="53" spans="2:9">
      <c r="B53" s="220" t="s">
        <v>583</v>
      </c>
      <c r="C53" s="434" t="str">
        <f>IF(C54*0.1&lt;C52,"Exceed 10% Rule","")</f>
        <v/>
      </c>
      <c r="D53" s="434" t="str">
        <f>IF(D54*0.1&lt;D52,"Exceed 10% Rule","")</f>
        <v/>
      </c>
      <c r="E53" s="450" t="str">
        <f>IF(E54*0.1&lt;E52,"Exceed 10% Rule","")</f>
        <v/>
      </c>
      <c r="G53" s="552">
        <f>D54</f>
        <v>0</v>
      </c>
      <c r="H53" s="574" t="str">
        <f>CONCATENATE("",E1-1," Ending Cash Balance (est.)")</f>
        <v>2012 Ending Cash Balance (est.)</v>
      </c>
      <c r="I53" s="551"/>
    </row>
    <row r="54" spans="2:9">
      <c r="B54" s="326" t="s">
        <v>35</v>
      </c>
      <c r="C54" s="441">
        <f>SUM(C33:C52)</f>
        <v>0</v>
      </c>
      <c r="D54" s="441">
        <f>SUM(D33:D52)</f>
        <v>0</v>
      </c>
      <c r="E54" s="341">
        <f>SUM(E33:E52)</f>
        <v>0</v>
      </c>
      <c r="G54" s="552">
        <f>E30</f>
        <v>0</v>
      </c>
      <c r="H54" s="575" t="str">
        <f>CONCATENATE("",E1," Non-AV Receipts (est.)")</f>
        <v>2013 Non-AV Receipts (est.)</v>
      </c>
      <c r="I54" s="551"/>
    </row>
    <row r="55" spans="2:9">
      <c r="B55" s="212" t="s">
        <v>118</v>
      </c>
      <c r="C55" s="442">
        <f>C31-C54</f>
        <v>0</v>
      </c>
      <c r="D55" s="442">
        <f>D31-D54</f>
        <v>0</v>
      </c>
      <c r="E55" s="334" t="s">
        <v>21</v>
      </c>
      <c r="G55" s="555">
        <f>E61</f>
        <v>0</v>
      </c>
      <c r="H55" s="575" t="str">
        <f>CONCATENATE("",E1," Ad Valorem Tax (est.)")</f>
        <v>2013 Ad Valorem Tax (est.)</v>
      </c>
      <c r="I55" s="551"/>
    </row>
    <row r="56" spans="2:9">
      <c r="B56" s="178" t="str">
        <f>CONCATENATE("",E1-2,"/",E1-1," Budget Authority Amount:")</f>
        <v>2011/2012 Budget Authority Amount:</v>
      </c>
      <c r="C56" s="190">
        <f>inputOth!B110</f>
        <v>0</v>
      </c>
      <c r="D56" s="171">
        <f>inputPrYr!D25</f>
        <v>0</v>
      </c>
      <c r="E56" s="334" t="s">
        <v>21</v>
      </c>
      <c r="F56" s="344"/>
      <c r="G56" s="552">
        <f>SUM(G53:G55)</f>
        <v>0</v>
      </c>
      <c r="H56" s="575" t="str">
        <f>CONCATENATE("Total ",E1," Resources Available")</f>
        <v>Total 2013 Resources Available</v>
      </c>
      <c r="I56" s="551"/>
    </row>
    <row r="57" spans="2:9">
      <c r="B57" s="178"/>
      <c r="C57" s="653" t="s">
        <v>684</v>
      </c>
      <c r="D57" s="654"/>
      <c r="E57" s="122"/>
      <c r="F57" s="344" t="str">
        <f>IF(E54/0.95-E54&lt;E57,"Exceeds 5%","")</f>
        <v/>
      </c>
      <c r="G57" s="556"/>
      <c r="H57" s="575"/>
      <c r="I57" s="551"/>
    </row>
    <row r="58" spans="2:9">
      <c r="B58" s="544" t="str">
        <f>CONCATENATE(C69,"     ",D69)</f>
        <v xml:space="preserve">     </v>
      </c>
      <c r="C58" s="655" t="s">
        <v>685</v>
      </c>
      <c r="D58" s="656"/>
      <c r="E58" s="157">
        <f>E54+E57</f>
        <v>0</v>
      </c>
      <c r="G58" s="555">
        <f>C54</f>
        <v>0</v>
      </c>
      <c r="H58" s="575" t="str">
        <f>CONCATENATE("Less ",E1-2," Expenditures")</f>
        <v>Less 2011 Expenditures</v>
      </c>
      <c r="I58" s="551"/>
    </row>
    <row r="59" spans="2:9">
      <c r="B59" s="544" t="str">
        <f>CONCATENATE(C70,"     ",D70)</f>
        <v xml:space="preserve">     </v>
      </c>
      <c r="C59" s="546"/>
      <c r="D59" s="547" t="s">
        <v>686</v>
      </c>
      <c r="E59" s="160">
        <f>IF(E58-E31&gt;0,E58-E31,0)</f>
        <v>0</v>
      </c>
      <c r="G59" s="576">
        <f>G56-G58</f>
        <v>0</v>
      </c>
      <c r="H59" s="577" t="str">
        <f>CONCATENATE("Projected ",E1+1," carryover (est.)")</f>
        <v>Projected 2014 carryover (est.)</v>
      </c>
      <c r="I59" s="560"/>
    </row>
    <row r="60" spans="2:9">
      <c r="B60" s="250"/>
      <c r="C60" s="545" t="s">
        <v>687</v>
      </c>
      <c r="D60" s="548">
        <f>inputOth!$E$103</f>
        <v>0</v>
      </c>
      <c r="E60" s="157">
        <f>ROUND(IF(D60&gt;0,(E59*D60),0),0)</f>
        <v>0</v>
      </c>
    </row>
    <row r="61" spans="2:9">
      <c r="B61" s="100"/>
      <c r="C61" s="651" t="str">
        <f>CONCATENATE("Amount of  ",$E$1-1," Ad Valorem Tax")</f>
        <v>Amount of  2012 Ad Valorem Tax</v>
      </c>
      <c r="D61" s="652"/>
      <c r="E61" s="160">
        <f>E59+E60</f>
        <v>0</v>
      </c>
      <c r="G61" s="578">
        <f>IF(inputOth!E12&gt;0,ROUND(E61/inputOth!E12*1000,3),0)</f>
        <v>0</v>
      </c>
      <c r="H61" s="579" t="str">
        <f>CONCATENATE("",E1," Mill Rate")</f>
        <v>2013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Richmond &amp; Berea Cemetery</v>
      </c>
      <c r="C1" s="100"/>
      <c r="D1" s="100"/>
      <c r="E1" s="276"/>
    </row>
    <row r="2" spans="2:6">
      <c r="B2" s="100" t="str">
        <f>inputPrYr!D4</f>
        <v>Franklin County</v>
      </c>
      <c r="C2" s="100"/>
      <c r="D2" s="100"/>
      <c r="E2" s="178"/>
    </row>
    <row r="3" spans="2:6">
      <c r="B3" s="111"/>
      <c r="C3" s="174"/>
      <c r="D3" s="174"/>
      <c r="E3" s="318"/>
      <c r="F3" s="142">
        <f>inputPrYr!D11</f>
        <v>2013</v>
      </c>
    </row>
    <row r="4" spans="2:6">
      <c r="B4" s="599" t="s">
        <v>73</v>
      </c>
      <c r="C4" s="597"/>
      <c r="D4" s="177"/>
      <c r="E4" s="177"/>
    </row>
    <row r="5" spans="2:6">
      <c r="B5" s="99" t="s">
        <v>26</v>
      </c>
      <c r="C5" s="437" t="s">
        <v>261</v>
      </c>
      <c r="D5" s="439" t="s">
        <v>263</v>
      </c>
      <c r="E5" s="319" t="s">
        <v>264</v>
      </c>
    </row>
    <row r="6" spans="2:6">
      <c r="B6" s="449">
        <f>inputPrYr!B27</f>
        <v>0</v>
      </c>
      <c r="C6" s="438" t="str">
        <f>CONCATENATE("Actual ",F3-2,"")</f>
        <v>Actual 2011</v>
      </c>
      <c r="D6" s="438" t="str">
        <f>CONCATENATE("Estimate ",F3-1,"")</f>
        <v>Estimate 2012</v>
      </c>
      <c r="E6" s="264" t="str">
        <f>CONCATENATE("Year ",F3,"")</f>
        <v>Year 2013</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582</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583</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2011/2012 Budget Authority Amount:</v>
      </c>
      <c r="C33" s="190">
        <f>inputOth!B111</f>
        <v>0</v>
      </c>
      <c r="D33" s="171">
        <f>inputPrYr!D27</f>
        <v>0</v>
      </c>
      <c r="E33" s="228" t="s">
        <v>21</v>
      </c>
      <c r="F33" s="345"/>
    </row>
    <row r="34" spans="2:6">
      <c r="B34" s="178"/>
      <c r="C34" s="653" t="s">
        <v>684</v>
      </c>
      <c r="D34" s="654"/>
      <c r="E34" s="293"/>
      <c r="F34" s="345" t="str">
        <f>IF(E31/0.95-E31&lt;E34,"Exceeds 5%","")</f>
        <v/>
      </c>
    </row>
    <row r="35" spans="2:6">
      <c r="B35" s="544" t="str">
        <f>CONCATENATE(C82,"     ",D82)</f>
        <v xml:space="preserve">     </v>
      </c>
      <c r="C35" s="655" t="s">
        <v>685</v>
      </c>
      <c r="D35" s="656"/>
      <c r="E35" s="155">
        <f>E31+E34</f>
        <v>0</v>
      </c>
    </row>
    <row r="36" spans="2:6">
      <c r="B36" s="544" t="str">
        <f>CONCATENATE(C83,"     ",D83)</f>
        <v xml:space="preserve">     </v>
      </c>
      <c r="C36" s="546"/>
      <c r="D36" s="547" t="s">
        <v>686</v>
      </c>
      <c r="E36" s="159">
        <f>IF(E35-E21&gt;0,E35-E21,0)</f>
        <v>0</v>
      </c>
    </row>
    <row r="37" spans="2:6">
      <c r="B37" s="250"/>
      <c r="C37" s="545" t="s">
        <v>687</v>
      </c>
      <c r="D37" s="548">
        <f>inputOth!$E$103</f>
        <v>0</v>
      </c>
      <c r="E37" s="155">
        <f>ROUND(IF(D37&gt;0,(E36*D37),0),0)</f>
        <v>0</v>
      </c>
    </row>
    <row r="38" spans="2:6">
      <c r="B38" s="100"/>
      <c r="C38" s="651" t="str">
        <f>CONCATENATE("Amount of  ",$F$3-1," Ad Valorem Tax")</f>
        <v>Amount of  2012 Ad Valorem Tax</v>
      </c>
      <c r="D38" s="652"/>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2011</v>
      </c>
      <c r="D42" s="438" t="str">
        <f>D6</f>
        <v>Estimate 2012</v>
      </c>
      <c r="E42" s="264" t="str">
        <f>E6</f>
        <v>Year 2013</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582</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583</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2011/2012 Budget Authority Amount:</v>
      </c>
      <c r="C69" s="190">
        <f>inputOth!B112</f>
        <v>0</v>
      </c>
      <c r="D69" s="171">
        <f>inputPrYr!D28</f>
        <v>0</v>
      </c>
      <c r="E69" s="228" t="s">
        <v>21</v>
      </c>
      <c r="F69" s="345"/>
    </row>
    <row r="70" spans="2:6">
      <c r="B70" s="178"/>
      <c r="C70" s="653" t="s">
        <v>684</v>
      </c>
      <c r="D70" s="654"/>
      <c r="E70" s="293"/>
      <c r="F70" s="345" t="str">
        <f>IF(E67/0.95-E67&lt;E70,"Exceeds 5%","")</f>
        <v/>
      </c>
    </row>
    <row r="71" spans="2:6">
      <c r="B71" s="544" t="str">
        <f>CONCATENATE(C84,"     ",D84)</f>
        <v xml:space="preserve">     </v>
      </c>
      <c r="C71" s="655" t="s">
        <v>685</v>
      </c>
      <c r="D71" s="656"/>
      <c r="E71" s="155">
        <f>E67+E70</f>
        <v>0</v>
      </c>
    </row>
    <row r="72" spans="2:6">
      <c r="B72" s="544" t="str">
        <f>CONCATENATE(C85,"     ",D85)</f>
        <v xml:space="preserve">     </v>
      </c>
      <c r="C72" s="546"/>
      <c r="D72" s="547" t="s">
        <v>686</v>
      </c>
      <c r="E72" s="159">
        <f>IF(E71-E57&gt;0,E71-E57,0)</f>
        <v>0</v>
      </c>
    </row>
    <row r="73" spans="2:6">
      <c r="B73" s="250"/>
      <c r="C73" s="545" t="s">
        <v>687</v>
      </c>
      <c r="D73" s="548">
        <f>inputOth!$E$103</f>
        <v>0</v>
      </c>
      <c r="E73" s="155">
        <f>ROUND(IF(D73&gt;0,(E72*D73),0),0)</f>
        <v>0</v>
      </c>
    </row>
    <row r="74" spans="2:6">
      <c r="B74" s="100"/>
      <c r="C74" s="651" t="str">
        <f>CONCATENATE("Amount of  ",$F$3-1," Ad Valorem Tax")</f>
        <v>Amount of  2012 Ad Valorem Tax</v>
      </c>
      <c r="D74" s="652"/>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Richmond &amp; Berea Cemetery</v>
      </c>
      <c r="C1" s="174"/>
      <c r="D1" s="100"/>
      <c r="E1" s="276"/>
    </row>
    <row r="2" spans="2:6">
      <c r="B2" s="100" t="str">
        <f>inputPrYr!D4</f>
        <v>Franklin County</v>
      </c>
      <c r="C2" s="174"/>
      <c r="D2" s="100"/>
      <c r="E2" s="178"/>
    </row>
    <row r="3" spans="2:6">
      <c r="B3" s="111"/>
      <c r="C3" s="174"/>
      <c r="D3" s="174"/>
      <c r="E3" s="318"/>
      <c r="F3" s="142">
        <f>inputPrYr!D11</f>
        <v>2013</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2011</v>
      </c>
      <c r="D6" s="264" t="str">
        <f>CONCATENATE("Estimate ",F3-1,"")</f>
        <v>Estimate 2012</v>
      </c>
      <c r="E6" s="264" t="str">
        <f>CONCATENATE("Year ",F3,"")</f>
        <v>Year 2013</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582</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583</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2011/2012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2011</v>
      </c>
      <c r="D40" s="264" t="str">
        <f>D6</f>
        <v>Estimate 2012</v>
      </c>
      <c r="E40" s="264" t="str">
        <f>E6</f>
        <v>Year 2013</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582</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583</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2011/2012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Richmond &amp; Berea Cemetery</v>
      </c>
      <c r="B1" s="347"/>
      <c r="C1" s="175"/>
      <c r="D1" s="175"/>
      <c r="E1" s="175"/>
      <c r="F1" s="348" t="s">
        <v>266</v>
      </c>
      <c r="G1" s="175"/>
      <c r="H1" s="175"/>
      <c r="I1" s="175"/>
      <c r="J1" s="175"/>
      <c r="K1" s="175">
        <f>inputPrYr!$D$11</f>
        <v>2013</v>
      </c>
    </row>
    <row r="2" spans="1:11">
      <c r="A2" s="175"/>
      <c r="B2" s="175"/>
      <c r="C2" s="175"/>
      <c r="D2" s="175"/>
      <c r="E2" s="175"/>
      <c r="F2" s="349" t="str">
        <f>CONCATENATE("(Only the actual budget year for ",K1-2," is to be shown)")</f>
        <v>(Only the actual budget year for 2011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4">
        <f>inputPrYr!B35</f>
        <v>0</v>
      </c>
      <c r="B5" s="665"/>
      <c r="C5" s="664">
        <f>inputPrYr!B36</f>
        <v>0</v>
      </c>
      <c r="D5" s="665"/>
      <c r="E5" s="664">
        <f>inputPrYr!B37</f>
        <v>0</v>
      </c>
      <c r="F5" s="665"/>
      <c r="G5" s="664">
        <f>inputPrYr!B38</f>
        <v>0</v>
      </c>
      <c r="H5" s="665"/>
      <c r="I5" s="664">
        <f>inputPrYr!B39</f>
        <v>0</v>
      </c>
      <c r="J5" s="665"/>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588</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589</v>
      </c>
    </row>
    <row r="30" spans="1:1" ht="15.75">
      <c r="A30" s="142"/>
    </row>
    <row r="31" spans="1:1" ht="15.75">
      <c r="A31" s="382"/>
    </row>
    <row r="32" spans="1:1" ht="69" customHeight="1">
      <c r="A32" s="458" t="s">
        <v>590</v>
      </c>
    </row>
    <row r="33" spans="1:1" ht="15.75">
      <c r="A33" s="382"/>
    </row>
    <row r="34" spans="1:1" ht="15.75">
      <c r="A34" s="382"/>
    </row>
    <row r="35" spans="1:1" ht="52.5" customHeight="1">
      <c r="A35" s="458" t="s">
        <v>591</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workbookViewId="0">
      <selection activeCell="D23" sqref="D23"/>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6" t="s">
        <v>75</v>
      </c>
      <c r="B1" s="646"/>
      <c r="C1" s="646"/>
      <c r="D1" s="646"/>
      <c r="E1" s="646"/>
      <c r="F1" s="646"/>
      <c r="G1" s="646"/>
      <c r="H1" s="110"/>
    </row>
    <row r="2" spans="1:13">
      <c r="A2" s="100"/>
      <c r="B2" s="100"/>
      <c r="C2" s="100"/>
      <c r="D2" s="100"/>
      <c r="E2" s="100"/>
      <c r="F2" s="100"/>
      <c r="G2" s="100"/>
      <c r="H2" s="100"/>
    </row>
    <row r="3" spans="1:13">
      <c r="A3" s="639" t="s">
        <v>102</v>
      </c>
      <c r="B3" s="639"/>
      <c r="C3" s="639"/>
      <c r="D3" s="639"/>
      <c r="E3" s="639"/>
      <c r="F3" s="639"/>
      <c r="G3" s="639"/>
      <c r="H3" s="639"/>
      <c r="I3" s="140">
        <f>inputPrYr!D11</f>
        <v>2013</v>
      </c>
    </row>
    <row r="4" spans="1:13">
      <c r="A4" s="615" t="str">
        <f>inputPrYr!D3</f>
        <v>Richmond &amp; Berea Cemetery</v>
      </c>
      <c r="B4" s="615"/>
      <c r="C4" s="615"/>
      <c r="D4" s="615"/>
      <c r="E4" s="615"/>
      <c r="F4" s="615"/>
      <c r="G4" s="615"/>
      <c r="H4" s="615"/>
    </row>
    <row r="5" spans="1:13">
      <c r="A5" s="673" t="str">
        <f>inputPrYr!D4</f>
        <v>Franklin County</v>
      </c>
      <c r="B5" s="673"/>
      <c r="C5" s="673"/>
      <c r="D5" s="673"/>
      <c r="E5" s="673"/>
      <c r="F5" s="673"/>
      <c r="G5" s="673"/>
      <c r="H5" s="673"/>
    </row>
    <row r="6" spans="1:13">
      <c r="A6" s="674" t="str">
        <f>CONCATENATE("will meet on ",inputBudSum!B5," at ",inputBudSum!B7," at ",inputBudSum!B9," for the purpose of hearing and")</f>
        <v>will meet on August 7, 2012 at 7:00 p.m. at Richmond Community Building for the purpose of hearing and</v>
      </c>
      <c r="B6" s="674"/>
      <c r="C6" s="674"/>
      <c r="D6" s="674"/>
      <c r="E6" s="674"/>
      <c r="F6" s="674"/>
      <c r="G6" s="674"/>
      <c r="H6" s="674"/>
    </row>
    <row r="7" spans="1:13">
      <c r="A7" s="144" t="s">
        <v>344</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2013 Expenditures and Amount of 2012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2013 budget.  Estimated Tax Rate is subject to change depending on the final assessed valuation.</v>
      </c>
      <c r="B11" s="110"/>
      <c r="C11" s="110"/>
      <c r="D11" s="110"/>
      <c r="E11" s="110"/>
      <c r="F11" s="110"/>
      <c r="G11" s="110"/>
      <c r="H11" s="110"/>
      <c r="J11" s="666" t="str">
        <f>CONCATENATE("Estimated Value Of One Mill For ",I3,"")</f>
        <v>Estimated Value Of One Mill For 2013</v>
      </c>
      <c r="K11" s="667"/>
      <c r="L11" s="667"/>
      <c r="M11" s="668"/>
    </row>
    <row r="12" spans="1:13">
      <c r="A12" s="100"/>
      <c r="B12" s="145"/>
      <c r="C12" s="145"/>
      <c r="D12" s="145"/>
      <c r="E12" s="145"/>
      <c r="F12" s="145"/>
      <c r="G12" s="145"/>
      <c r="H12" s="145"/>
      <c r="J12" s="581"/>
      <c r="K12" s="582"/>
      <c r="L12" s="582"/>
      <c r="M12" s="583"/>
    </row>
    <row r="13" spans="1:13">
      <c r="A13" s="183"/>
      <c r="B13" s="146" t="str">
        <f>CONCATENATE("Prior Year Actual ",I3-2,"")</f>
        <v>Prior Year Actual 2011</v>
      </c>
      <c r="C13" s="147"/>
      <c r="D13" s="148" t="str">
        <f>CONCATENATE("Current Year Estimate for ",I3-1,"")</f>
        <v>Current Year Estimate for 2012</v>
      </c>
      <c r="E13" s="147"/>
      <c r="F13" s="146" t="str">
        <f>CONCATENATE("Proposed Budget Year for ",I3,"")</f>
        <v>Proposed Budget Year for 2013</v>
      </c>
      <c r="G13" s="149"/>
      <c r="H13" s="147"/>
      <c r="J13" s="584" t="s">
        <v>691</v>
      </c>
      <c r="K13" s="585"/>
      <c r="L13" s="585"/>
      <c r="M13" s="586">
        <f>ROUND(F22/1000,0)</f>
        <v>5925</v>
      </c>
    </row>
    <row r="14" spans="1:13">
      <c r="A14" s="152"/>
      <c r="B14" s="150"/>
      <c r="C14" s="151" t="s">
        <v>44</v>
      </c>
      <c r="D14" s="150"/>
      <c r="E14" s="151" t="s">
        <v>44</v>
      </c>
      <c r="F14" s="152" t="s">
        <v>217</v>
      </c>
      <c r="G14" s="671" t="str">
        <f>CONCATENATE("Amount of ",I3-1," Ad Valorem Tax")</f>
        <v>Amount of 2012 Ad Valorem Tax</v>
      </c>
      <c r="H14" s="151" t="s">
        <v>693</v>
      </c>
      <c r="J14" s="98"/>
      <c r="K14" s="98"/>
      <c r="L14" s="98"/>
      <c r="M14" s="98"/>
    </row>
    <row r="15" spans="1:13">
      <c r="A15" s="263" t="s">
        <v>45</v>
      </c>
      <c r="B15" s="153" t="s">
        <v>46</v>
      </c>
      <c r="C15" s="154" t="s">
        <v>173</v>
      </c>
      <c r="D15" s="153" t="s">
        <v>46</v>
      </c>
      <c r="E15" s="154" t="s">
        <v>173</v>
      </c>
      <c r="F15" s="153" t="s">
        <v>688</v>
      </c>
      <c r="G15" s="672"/>
      <c r="H15" s="154" t="s">
        <v>173</v>
      </c>
      <c r="J15" s="666" t="str">
        <f>CONCATENATE("Want The Mill Rate The Same As For ",I3-1,"?")</f>
        <v>Want The Mill Rate The Same As For 2012?</v>
      </c>
      <c r="K15" s="669"/>
      <c r="L15" s="669"/>
      <c r="M15" s="670"/>
    </row>
    <row r="16" spans="1:13">
      <c r="A16" s="134" t="str">
        <f>inputPrYr!B24</f>
        <v>General</v>
      </c>
      <c r="B16" s="155">
        <f>IF(gen!$C$61&lt;&gt;0,gen!$C$61,"  ")</f>
        <v>12695</v>
      </c>
      <c r="C16" s="156">
        <f>IF(inputPrYr!D43&gt;0,inputPrYr!D43,"  ")</f>
        <v>1.833</v>
      </c>
      <c r="D16" s="155">
        <f>IF(gen!$D$61&lt;&gt;0,gen!$D$61,"  ")</f>
        <v>21500</v>
      </c>
      <c r="E16" s="156">
        <f>IF(inputOth!D46&gt;0,inputOth!D46,"  ")</f>
        <v>1.859</v>
      </c>
      <c r="F16" s="155">
        <f>IF(gen!$E$61&lt;&gt;0,gen!$E$61,"  ")</f>
        <v>23372</v>
      </c>
      <c r="G16" s="155">
        <f>IF(gen!$E$68&lt;&gt;0,gen!$E$68,"  ")</f>
        <v>10599</v>
      </c>
      <c r="H16" s="156">
        <f>IF(gen!E68&gt;0,ROUND(G16/$F$22*1000,3)," ")</f>
        <v>1.7889999999999999</v>
      </c>
      <c r="J16" s="587"/>
      <c r="K16" s="582"/>
      <c r="L16" s="582"/>
      <c r="M16" s="588"/>
    </row>
    <row r="17" spans="1:13">
      <c r="A17" s="134"/>
      <c r="B17" s="155" t="str">
        <f>IF('debt service'!$C$54&lt;&gt;0,'debt service'!$C$54,"  ")</f>
        <v xml:space="preserve">  </v>
      </c>
      <c r="C17" s="156" t="str">
        <f>IF(inputPrYr!D44&gt;0,inputPrYr!D44,"  ")</f>
        <v xml:space="preserve">  </v>
      </c>
      <c r="D17" s="155" t="str">
        <f>IF('debt service'!$D$54&lt;&gt;0,'debt service'!$D$54,"  ")</f>
        <v xml:space="preserve">  </v>
      </c>
      <c r="E17" s="156" t="str">
        <f>IF(inputOth!D47&gt;0,inputOth!D47,"  ")</f>
        <v xml:space="preserve">  </v>
      </c>
      <c r="F17" s="155" t="str">
        <f>IF('debt service'!$E$54&lt;&gt;0,'debt service'!$E$54,"  ")</f>
        <v xml:space="preserve">  </v>
      </c>
      <c r="G17" s="157" t="str">
        <f>IF('debt service'!$E$61&lt;&gt;0,'debt service'!$E$61,"  ")</f>
        <v xml:space="preserve">  </v>
      </c>
      <c r="H17" s="156" t="str">
        <f>IF('debt service'!E61&gt;0,ROUND(G17/$F$22*1000,3)," ")</f>
        <v xml:space="preserve"> </v>
      </c>
      <c r="J17" s="587" t="str">
        <f>CONCATENATE("",I3-1," Mill Rate Was:")</f>
        <v>2012 Mill Rate Was:</v>
      </c>
      <c r="K17" s="582"/>
      <c r="L17" s="582"/>
      <c r="M17" s="589">
        <f>E18</f>
        <v>1.859</v>
      </c>
    </row>
    <row r="18" spans="1:13">
      <c r="A18" s="120" t="s">
        <v>126</v>
      </c>
      <c r="B18" s="594">
        <f t="shared" ref="B18:H18" si="0">SUM(B16:B17)</f>
        <v>12695</v>
      </c>
      <c r="C18" s="595">
        <f t="shared" si="0"/>
        <v>1.833</v>
      </c>
      <c r="D18" s="594">
        <f t="shared" si="0"/>
        <v>21500</v>
      </c>
      <c r="E18" s="595">
        <f t="shared" si="0"/>
        <v>1.859</v>
      </c>
      <c r="F18" s="594">
        <f t="shared" si="0"/>
        <v>23372</v>
      </c>
      <c r="G18" s="596">
        <f t="shared" si="0"/>
        <v>10599</v>
      </c>
      <c r="H18" s="595">
        <f t="shared" si="0"/>
        <v>1.7889999999999999</v>
      </c>
      <c r="J18" s="587"/>
      <c r="K18" s="582"/>
      <c r="L18" s="582"/>
      <c r="M18" s="588"/>
    </row>
    <row r="19" spans="1:13">
      <c r="A19" s="120" t="s">
        <v>178</v>
      </c>
      <c r="B19" s="155">
        <f>transfers!C26</f>
        <v>0</v>
      </c>
      <c r="C19" s="161"/>
      <c r="D19" s="155">
        <f>transfers!D26</f>
        <v>0</v>
      </c>
      <c r="E19" s="161"/>
      <c r="F19" s="162">
        <f>transfers!E26</f>
        <v>0</v>
      </c>
      <c r="G19" s="163"/>
      <c r="H19" s="164"/>
      <c r="J19" s="587" t="str">
        <f>CONCATENATE("",I3," Ad Valorem Tax Revenue:")</f>
        <v>2013 Ad Valorem Tax Revenue:</v>
      </c>
      <c r="K19" s="582"/>
      <c r="L19" s="582"/>
      <c r="M19" s="583">
        <f>G18</f>
        <v>10599</v>
      </c>
    </row>
    <row r="20" spans="1:13" ht="16.5" thickBot="1">
      <c r="A20" s="120" t="s">
        <v>179</v>
      </c>
      <c r="B20" s="165">
        <f>SUM(B18-B19)</f>
        <v>12695</v>
      </c>
      <c r="C20" s="166"/>
      <c r="D20" s="165">
        <f>SUM(D18-D19)</f>
        <v>21500</v>
      </c>
      <c r="E20" s="166"/>
      <c r="F20" s="167">
        <f>SUM(F18-F19)</f>
        <v>23372</v>
      </c>
      <c r="G20" s="163"/>
      <c r="H20" s="164"/>
      <c r="J20" s="587" t="str">
        <f>CONCATENATE("",I3-1," Ad Valorem Tax Revenue:")</f>
        <v>2012 Ad Valorem Tax Revenue:</v>
      </c>
      <c r="K20" s="582"/>
      <c r="L20" s="582"/>
      <c r="M20" s="590">
        <f>ROUND(F22*M17/1000,0)</f>
        <v>11014</v>
      </c>
    </row>
    <row r="21" spans="1:13" ht="16.5" thickTop="1">
      <c r="A21" s="120" t="s">
        <v>47</v>
      </c>
      <c r="B21" s="168">
        <f>inputPrYr!E50</f>
        <v>10460</v>
      </c>
      <c r="C21" s="152"/>
      <c r="D21" s="168">
        <f>inputPrYr!E29</f>
        <v>10525</v>
      </c>
      <c r="E21" s="152"/>
      <c r="F21" s="169" t="s">
        <v>180</v>
      </c>
      <c r="G21" s="100"/>
      <c r="H21" s="100"/>
      <c r="J21" s="591" t="s">
        <v>692</v>
      </c>
      <c r="K21" s="592"/>
      <c r="L21" s="592"/>
      <c r="M21" s="586">
        <f>M19-M20</f>
        <v>-415</v>
      </c>
    </row>
    <row r="22" spans="1:13" ht="16.5" thickBot="1">
      <c r="A22" s="120" t="s">
        <v>207</v>
      </c>
      <c r="B22" s="170">
        <f>inputPrYr!E51</f>
        <v>5707425</v>
      </c>
      <c r="C22" s="152"/>
      <c r="D22" s="170">
        <f>inputOth!E60</f>
        <v>5662749</v>
      </c>
      <c r="E22" s="152"/>
      <c r="F22" s="170">
        <f>inputOth!E12</f>
        <v>5924912</v>
      </c>
      <c r="G22" s="100"/>
      <c r="H22" s="100"/>
      <c r="J22" s="593"/>
      <c r="K22" s="593"/>
      <c r="L22" s="593"/>
      <c r="M22" s="5"/>
    </row>
    <row r="23" spans="1:13" ht="16.5" thickTop="1">
      <c r="A23" s="173" t="s">
        <v>48</v>
      </c>
      <c r="B23" s="100"/>
      <c r="C23" s="100"/>
      <c r="D23" s="100"/>
      <c r="E23" s="174"/>
      <c r="F23" s="174"/>
      <c r="G23" s="100"/>
      <c r="H23" s="140"/>
    </row>
    <row r="24" spans="1:13">
      <c r="A24" s="175"/>
      <c r="B24" s="100"/>
      <c r="C24" s="100"/>
      <c r="D24" s="100"/>
      <c r="E24" s="100"/>
      <c r="F24" s="100"/>
      <c r="G24" s="100"/>
      <c r="H24" s="175"/>
    </row>
    <row r="25" spans="1:13">
      <c r="A25" s="629" t="s">
        <v>758</v>
      </c>
      <c r="B25" s="630"/>
      <c r="C25" s="145"/>
      <c r="D25" s="100"/>
      <c r="E25" s="100"/>
      <c r="F25" s="100"/>
      <c r="G25" s="100"/>
      <c r="H25" s="140"/>
    </row>
    <row r="26" spans="1:13">
      <c r="A26" s="143" t="s">
        <v>49</v>
      </c>
      <c r="B26" s="110"/>
      <c r="C26" s="100"/>
      <c r="D26" s="178" t="s">
        <v>37</v>
      </c>
      <c r="E26" s="179">
        <v>7</v>
      </c>
      <c r="F26" s="100"/>
      <c r="G26" s="100"/>
      <c r="H26" s="140"/>
    </row>
    <row r="28" spans="1:13">
      <c r="A28" s="98"/>
      <c r="B28" s="98"/>
      <c r="C28" s="98"/>
      <c r="D28" s="98"/>
      <c r="E28" s="98"/>
      <c r="F28" s="98"/>
      <c r="G28" s="98"/>
      <c r="H28"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row r="38" spans="1:8">
      <c r="A38" s="98"/>
      <c r="B38" s="98"/>
      <c r="C38" s="98"/>
      <c r="D38" s="98"/>
      <c r="E38" s="98"/>
      <c r="F38" s="98"/>
      <c r="G38" s="98"/>
      <c r="H38" s="98"/>
    </row>
  </sheetData>
  <sheetProtection sheet="1" objects="1" scenarios="1"/>
  <mergeCells count="9">
    <mergeCell ref="A25:B25"/>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Richmond &amp; Berea Cemetery</v>
      </c>
      <c r="B1" s="140"/>
      <c r="C1" s="140"/>
      <c r="D1" s="140"/>
      <c r="E1" s="140"/>
      <c r="F1" s="140">
        <f>inputPrYr!D11</f>
        <v>2013</v>
      </c>
    </row>
    <row r="2" spans="1:6" ht="15.75">
      <c r="A2" s="180"/>
      <c r="B2" s="140"/>
      <c r="C2" s="140"/>
      <c r="D2" s="140"/>
      <c r="E2" s="140"/>
      <c r="F2" s="140"/>
    </row>
    <row r="3" spans="1:6" ht="15.75">
      <c r="A3" s="140"/>
      <c r="B3" s="140"/>
      <c r="C3" s="140"/>
      <c r="D3" s="140"/>
      <c r="E3" s="140"/>
      <c r="F3" s="140"/>
    </row>
    <row r="4" spans="1:6" ht="15.75">
      <c r="A4" s="100"/>
      <c r="B4" s="632" t="str">
        <f>CONCATENATE("",F1," Neighborhood Revitalization Rebate")</f>
        <v>2013 Neighborhood Revitalization Rebate</v>
      </c>
      <c r="C4" s="677"/>
      <c r="D4" s="677"/>
      <c r="E4" s="640"/>
      <c r="F4" s="140"/>
    </row>
    <row r="5" spans="1:6" ht="15.75">
      <c r="A5" s="100"/>
      <c r="B5" s="100"/>
      <c r="C5" s="100"/>
      <c r="D5" s="100"/>
      <c r="E5" s="100"/>
      <c r="F5" s="140"/>
    </row>
    <row r="6" spans="1:6" ht="51.75" customHeight="1">
      <c r="A6" s="100"/>
      <c r="B6" s="184" t="str">
        <f>CONCATENATE("Budgeted Funds                        for ",F1,"")</f>
        <v>Budgeted Funds                        for 2013</v>
      </c>
      <c r="C6" s="184" t="str">
        <f>CONCATENATE("",F1-1," Ad Valorem before Rebate**")</f>
        <v>2012 Ad Valorem before Rebate**</v>
      </c>
      <c r="D6" s="185" t="str">
        <f>CONCATENATE("",F1-1," Mil Rate before Rebate")</f>
        <v>2012 Mil Rate before Rebate</v>
      </c>
      <c r="E6" s="186" t="str">
        <f>CONCATENATE("Estimate ",F1," NR Rebate")</f>
        <v>Estimate 2013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8" t="str">
        <f>CONCATENATE("",F1-1," July 1 Valuation:")</f>
        <v>2012 July 1 Valuation:</v>
      </c>
      <c r="B16" s="676"/>
      <c r="C16" s="678"/>
      <c r="D16" s="193">
        <f>inputOth!E12</f>
        <v>5924912</v>
      </c>
      <c r="E16" s="100"/>
      <c r="F16" s="140"/>
    </row>
    <row r="17" spans="1:6" ht="15.75">
      <c r="A17" s="100"/>
      <c r="B17" s="100"/>
      <c r="C17" s="100"/>
      <c r="D17" s="100"/>
      <c r="E17" s="100"/>
      <c r="F17" s="140"/>
    </row>
    <row r="18" spans="1:6" ht="15.75">
      <c r="A18" s="100"/>
      <c r="B18" s="678" t="s">
        <v>330</v>
      </c>
      <c r="C18" s="678"/>
      <c r="D18" s="194">
        <f>IF(D16&gt;0,(D16*0.001),"")</f>
        <v>5924.9120000000003</v>
      </c>
      <c r="E18" s="100"/>
      <c r="F18" s="140"/>
    </row>
    <row r="19" spans="1:6" ht="15.75">
      <c r="A19" s="100"/>
      <c r="B19" s="178"/>
      <c r="C19" s="178"/>
      <c r="D19" s="195"/>
      <c r="E19" s="100"/>
      <c r="F19" s="140"/>
    </row>
    <row r="20" spans="1:6" ht="15.75">
      <c r="A20" s="675" t="s">
        <v>311</v>
      </c>
      <c r="B20" s="640"/>
      <c r="C20" s="640"/>
      <c r="D20" s="197">
        <f>inputOth!D42</f>
        <v>0</v>
      </c>
      <c r="E20" s="198"/>
      <c r="F20" s="198"/>
    </row>
    <row r="21" spans="1:6">
      <c r="A21" s="198"/>
      <c r="B21" s="198"/>
      <c r="C21" s="198"/>
      <c r="D21" s="199"/>
      <c r="E21" s="198"/>
      <c r="F21" s="198"/>
    </row>
    <row r="22" spans="1:6" ht="15.75">
      <c r="A22" s="198"/>
      <c r="B22" s="675" t="s">
        <v>312</v>
      </c>
      <c r="C22" s="676"/>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2013 Budget Summary page.  See instructions tab #12 for completing</v>
      </c>
      <c r="B27" s="198"/>
      <c r="C27" s="198"/>
      <c r="D27" s="198"/>
      <c r="E27" s="198"/>
      <c r="F27" s="198"/>
    </row>
    <row r="28" spans="1:6" ht="15.75">
      <c r="A28" s="428" t="s">
        <v>568</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2" t="s">
        <v>131</v>
      </c>
      <c r="C1" s="682"/>
      <c r="D1" s="682"/>
      <c r="E1" s="682"/>
      <c r="F1" s="682"/>
      <c r="G1" s="682"/>
      <c r="H1" s="682"/>
    </row>
    <row r="2" spans="2:10">
      <c r="B2" s="43"/>
      <c r="C2"/>
      <c r="D2"/>
      <c r="E2"/>
      <c r="F2"/>
      <c r="G2"/>
      <c r="H2"/>
    </row>
    <row r="3" spans="2:10">
      <c r="B3" s="683" t="s">
        <v>128</v>
      </c>
      <c r="C3" s="683"/>
      <c r="D3" s="683"/>
      <c r="E3" s="683"/>
      <c r="F3" s="683"/>
      <c r="G3" s="683"/>
      <c r="H3" s="683"/>
    </row>
    <row r="4" spans="2:10">
      <c r="B4" s="44"/>
      <c r="C4"/>
      <c r="D4"/>
      <c r="E4"/>
      <c r="F4"/>
      <c r="G4"/>
      <c r="H4"/>
    </row>
    <row r="5" spans="2:10">
      <c r="B5" s="684" t="str">
        <f>CONCATENATE("A resolution expressing the property taxation policy of the Board of ",(inputPrYr!D3)," District with respect to financing the ",inputPrYr!D11," annual budget for ", (inputPrYr!D3)," , ",(inputPrYr!D4)," , Kansas.")</f>
        <v>A resolution expressing the property taxation policy of the Board of Richmond &amp; Berea Cemetery District with respect to financing the 2013 annual budget for Richmond &amp; Berea Cemetery , Franklin County , Kansas.</v>
      </c>
      <c r="C5" s="680"/>
      <c r="D5" s="680"/>
      <c r="E5" s="680"/>
      <c r="F5" s="680"/>
      <c r="G5" s="680"/>
      <c r="H5" s="680"/>
    </row>
    <row r="6" spans="2:10">
      <c r="B6" s="680"/>
      <c r="C6" s="680"/>
      <c r="D6" s="680"/>
      <c r="E6" s="680"/>
      <c r="F6" s="680"/>
      <c r="G6" s="680"/>
      <c r="H6" s="680"/>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2013 Richmond &amp; Berea Cemetery district budget exceed the amount levied to finance the</v>
      </c>
      <c r="C9"/>
      <c r="D9"/>
      <c r="E9"/>
      <c r="F9"/>
      <c r="G9"/>
      <c r="H9"/>
    </row>
    <row r="10" spans="2:10">
      <c r="B10" s="49" t="str">
        <f>CONCATENATE("",inputPrYr!D11-1," ",inputPrYr!D3," except with regard to revenue produced and attributable to the")</f>
        <v>2012 Richmond &amp; Berea Cemetery except with regard to revenue produced and attributable to the</v>
      </c>
      <c r="C10"/>
      <c r="D10"/>
      <c r="E10"/>
      <c r="F10"/>
      <c r="G10"/>
      <c r="H10"/>
    </row>
    <row r="11" spans="2:10">
      <c r="B11" s="685" t="s">
        <v>182</v>
      </c>
      <c r="C11" s="686"/>
      <c r="D11" s="686"/>
      <c r="E11" s="686"/>
      <c r="F11" s="686"/>
      <c r="G11" s="686"/>
      <c r="H11" s="686"/>
    </row>
    <row r="12" spans="2:10">
      <c r="B12" s="686"/>
      <c r="C12" s="686"/>
      <c r="D12" s="686"/>
      <c r="E12" s="686"/>
      <c r="F12" s="686"/>
      <c r="G12" s="686"/>
      <c r="H12" s="686"/>
    </row>
    <row r="13" spans="2:10">
      <c r="B13" s="686"/>
      <c r="C13" s="686"/>
      <c r="D13" s="686"/>
      <c r="E13" s="686"/>
      <c r="F13" s="686"/>
      <c r="G13" s="686"/>
      <c r="H13" s="686"/>
    </row>
    <row r="14" spans="2:10">
      <c r="B14" s="686"/>
      <c r="C14" s="686"/>
      <c r="D14" s="686"/>
      <c r="E14" s="686"/>
      <c r="F14" s="686"/>
      <c r="G14" s="686"/>
      <c r="H14" s="686"/>
    </row>
    <row r="15" spans="2:10">
      <c r="B15" s="36"/>
      <c r="C15" s="36"/>
      <c r="D15" s="36"/>
      <c r="E15" s="36"/>
      <c r="F15" s="36"/>
      <c r="G15" s="36"/>
      <c r="H15" s="36"/>
    </row>
    <row r="16" spans="2:10">
      <c r="B16" s="679" t="s">
        <v>149</v>
      </c>
      <c r="C16" s="687"/>
      <c r="D16" s="687"/>
      <c r="E16" s="687"/>
      <c r="F16" s="687"/>
      <c r="G16" s="687"/>
      <c r="H16" s="687"/>
    </row>
    <row r="17" spans="2:8">
      <c r="B17" s="687"/>
      <c r="C17" s="687"/>
      <c r="D17" s="687"/>
      <c r="E17" s="687"/>
      <c r="F17" s="687"/>
      <c r="G17" s="687"/>
      <c r="H17" s="687"/>
    </row>
    <row r="18" spans="2:8">
      <c r="B18" s="49"/>
      <c r="C18"/>
      <c r="D18"/>
      <c r="E18"/>
      <c r="F18"/>
      <c r="G18"/>
      <c r="H18"/>
    </row>
    <row r="19" spans="2:8">
      <c r="B19" s="49" t="str">
        <f>CONCATENATE("Whereas, ",(inputPrYr!D3)," provides essential services to district residents; and")</f>
        <v>Whereas, Richmond &amp; Berea Cemetery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5"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Richmond &amp; Berea Cemetery that is our desire to notify the public of the possibility of increased property taxes to finance the 2013 Richmond &amp; Berea Cemetery  budget as defined above.</v>
      </c>
      <c r="C23" s="688"/>
      <c r="D23" s="688"/>
      <c r="E23" s="688"/>
      <c r="F23" s="688"/>
      <c r="G23" s="688"/>
      <c r="H23" s="688"/>
    </row>
    <row r="24" spans="2:8">
      <c r="B24" s="688"/>
      <c r="C24" s="688"/>
      <c r="D24" s="688"/>
      <c r="E24" s="688"/>
      <c r="F24" s="688"/>
      <c r="G24" s="688"/>
      <c r="H24" s="688"/>
    </row>
    <row r="25" spans="2:8">
      <c r="B25" s="688"/>
      <c r="C25" s="688"/>
      <c r="D25" s="688"/>
      <c r="E25" s="688"/>
      <c r="F25" s="688"/>
      <c r="G25" s="688"/>
      <c r="H25" s="688"/>
    </row>
    <row r="26" spans="2:8">
      <c r="B26" s="49"/>
      <c r="C26"/>
      <c r="D26"/>
      <c r="E26"/>
      <c r="F26"/>
      <c r="G26"/>
      <c r="H26"/>
    </row>
    <row r="27" spans="2:8">
      <c r="B27" s="679" t="str">
        <f>CONCATENATE("Adopted this _________ day of ___________, ",inputPrYr!D11-1," by the ",(inputPrYr!D3)," District Board, ",(inputPrYr!D4),", State of Kansas.")</f>
        <v>Adopted this _________ day of ___________, 2012 by the Richmond &amp; Berea Cemetery District Board, Franklin County, State of Kansas.</v>
      </c>
      <c r="C27" s="680"/>
      <c r="D27" s="680"/>
      <c r="E27" s="680"/>
      <c r="F27" s="680"/>
      <c r="G27" s="680"/>
      <c r="H27" s="680"/>
    </row>
    <row r="28" spans="2:8">
      <c r="B28" s="680"/>
      <c r="C28" s="680"/>
      <c r="D28" s="680"/>
      <c r="E28" s="680"/>
      <c r="F28" s="680"/>
      <c r="G28" s="680"/>
      <c r="H28" s="680"/>
    </row>
    <row r="29" spans="2:8">
      <c r="B29" s="45"/>
      <c r="C29"/>
      <c r="D29"/>
      <c r="E29"/>
      <c r="F29"/>
      <c r="G29"/>
      <c r="H29"/>
    </row>
    <row r="30" spans="2:8">
      <c r="B30" s="45"/>
      <c r="C30"/>
      <c r="D30"/>
      <c r="E30"/>
      <c r="F30"/>
      <c r="G30"/>
      <c r="H30"/>
    </row>
    <row r="31" spans="2:8">
      <c r="B31" s="46" t="str">
        <f>CONCATENATE(" ",(inputPrYr!D3)," District Board")</f>
        <v xml:space="preserve"> Richmond &amp; Berea Cemetery District Board</v>
      </c>
      <c r="C31"/>
      <c r="D31"/>
      <c r="E31"/>
      <c r="F31"/>
      <c r="G31"/>
      <c r="H31"/>
    </row>
    <row r="32" spans="2:8">
      <c r="B32" s="45"/>
      <c r="C32"/>
      <c r="D32"/>
      <c r="E32"/>
      <c r="F32"/>
      <c r="G32"/>
      <c r="H32"/>
    </row>
    <row r="33" spans="2:8">
      <c r="B33"/>
      <c r="C33"/>
      <c r="D33"/>
      <c r="E33" s="681" t="s">
        <v>129</v>
      </c>
      <c r="F33" s="681"/>
      <c r="G33" s="681"/>
      <c r="H33" s="681"/>
    </row>
    <row r="34" spans="2:8">
      <c r="B34"/>
      <c r="C34"/>
      <c r="D34"/>
      <c r="E34" s="681" t="s">
        <v>132</v>
      </c>
      <c r="F34" s="681"/>
      <c r="G34" s="681"/>
      <c r="H34" s="681"/>
    </row>
    <row r="35" spans="2:8">
      <c r="B35" s="45"/>
      <c r="C35"/>
      <c r="D35"/>
      <c r="E35" s="681"/>
      <c r="F35" s="681"/>
      <c r="G35" s="681"/>
      <c r="H35" s="681"/>
    </row>
    <row r="36" spans="2:8">
      <c r="B36"/>
      <c r="C36"/>
      <c r="D36"/>
      <c r="E36" s="681" t="s">
        <v>129</v>
      </c>
      <c r="F36" s="681"/>
      <c r="G36" s="681"/>
      <c r="H36" s="681"/>
    </row>
    <row r="37" spans="2:8">
      <c r="B37"/>
      <c r="C37"/>
      <c r="D37"/>
      <c r="E37" s="681" t="s">
        <v>133</v>
      </c>
      <c r="F37" s="681"/>
      <c r="G37" s="681"/>
      <c r="H37" s="681"/>
    </row>
    <row r="38" spans="2:8">
      <c r="B38" s="45"/>
      <c r="C38"/>
      <c r="D38"/>
      <c r="E38" s="681"/>
      <c r="F38" s="681"/>
      <c r="G38" s="681"/>
      <c r="H38" s="681"/>
    </row>
    <row r="39" spans="2:8">
      <c r="B39"/>
      <c r="C39"/>
      <c r="D39"/>
      <c r="E39" s="681" t="s">
        <v>129</v>
      </c>
      <c r="F39" s="681"/>
      <c r="G39" s="681"/>
      <c r="H39" s="681"/>
    </row>
    <row r="40" spans="2:8">
      <c r="B40"/>
      <c r="C40"/>
      <c r="D40"/>
      <c r="E40" s="681" t="s">
        <v>134</v>
      </c>
      <c r="F40" s="681"/>
      <c r="G40" s="681"/>
      <c r="H40" s="681"/>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89"/>
      <c r="F46" s="689"/>
      <c r="G46" s="689"/>
      <c r="H46" s="689"/>
    </row>
    <row r="47" spans="2:8">
      <c r="B47" s="40"/>
      <c r="E47" s="689"/>
      <c r="F47" s="689"/>
      <c r="G47" s="689"/>
      <c r="H47" s="689"/>
    </row>
    <row r="48" spans="2:8">
      <c r="E48" s="689"/>
      <c r="F48" s="689"/>
      <c r="G48" s="689"/>
      <c r="H48" s="689"/>
    </row>
    <row r="49" spans="2:8">
      <c r="E49" s="689"/>
      <c r="F49" s="689"/>
      <c r="G49" s="689"/>
      <c r="H49" s="689"/>
    </row>
    <row r="50" spans="2:8">
      <c r="B50" s="40"/>
      <c r="E50" s="689"/>
      <c r="F50" s="689"/>
      <c r="G50" s="689"/>
      <c r="H50" s="689"/>
    </row>
    <row r="51" spans="2:8">
      <c r="B51" s="42"/>
    </row>
    <row r="52" spans="2:8">
      <c r="B52" s="42"/>
    </row>
    <row r="53" spans="2:8">
      <c r="B53" s="42"/>
    </row>
  </sheetData>
  <sheetProtection sheet="1"/>
  <mergeCells count="20">
    <mergeCell ref="E49:H49"/>
    <mergeCell ref="E50:H50"/>
    <mergeCell ref="E40:H40"/>
    <mergeCell ref="E46:H46"/>
    <mergeCell ref="E47:H47"/>
    <mergeCell ref="E48:H48"/>
    <mergeCell ref="E34:H34"/>
    <mergeCell ref="E35:H35"/>
    <mergeCell ref="E38:H38"/>
    <mergeCell ref="E39:H39"/>
    <mergeCell ref="E36:H36"/>
    <mergeCell ref="E37:H37"/>
    <mergeCell ref="B27:H28"/>
    <mergeCell ref="E33:H33"/>
    <mergeCell ref="B1:H1"/>
    <mergeCell ref="B3:H3"/>
    <mergeCell ref="B5:H6"/>
    <mergeCell ref="B11:H14"/>
    <mergeCell ref="B16:H17"/>
    <mergeCell ref="B23:H25"/>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345</v>
      </c>
      <c r="B3" s="408"/>
      <c r="C3" s="408"/>
      <c r="D3" s="408"/>
      <c r="E3" s="408"/>
      <c r="F3" s="408"/>
      <c r="G3" s="408"/>
      <c r="H3" s="408"/>
      <c r="I3" s="408"/>
      <c r="J3" s="408"/>
      <c r="K3" s="408"/>
      <c r="L3" s="408"/>
    </row>
    <row r="5" spans="1:12">
      <c r="A5" s="409" t="s">
        <v>346</v>
      </c>
    </row>
    <row r="6" spans="1:12">
      <c r="A6" s="409" t="str">
        <f>CONCATENATE(inputPrYr!D11-2," 'total expenditures' exceed your ",inputPrYr!D11-2," 'budget authority.'")</f>
        <v>2011 'total expenditures' exceed your 2011 'budget authority.'</v>
      </c>
    </row>
    <row r="7" spans="1:12">
      <c r="A7" s="409"/>
    </row>
    <row r="8" spans="1:12">
      <c r="A8" s="409" t="s">
        <v>347</v>
      </c>
    </row>
    <row r="9" spans="1:12">
      <c r="A9" s="409" t="s">
        <v>348</v>
      </c>
    </row>
    <row r="10" spans="1:12">
      <c r="A10" s="409" t="s">
        <v>349</v>
      </c>
    </row>
    <row r="11" spans="1:12">
      <c r="A11" s="409"/>
    </row>
    <row r="12" spans="1:12">
      <c r="A12" s="409"/>
    </row>
    <row r="13" spans="1:12">
      <c r="A13" s="410" t="s">
        <v>350</v>
      </c>
    </row>
    <row r="15" spans="1:12">
      <c r="A15" s="409" t="s">
        <v>351</v>
      </c>
    </row>
    <row r="16" spans="1:12">
      <c r="A16" s="409" t="str">
        <f>CONCATENATE("(i.e. an audit has not been completed, or the ",inputPrYr!D11," adopted")</f>
        <v>(i.e. an audit has not been completed, or the 2013 adopted</v>
      </c>
    </row>
    <row r="17" spans="1:1">
      <c r="A17" s="409" t="s">
        <v>352</v>
      </c>
    </row>
    <row r="18" spans="1:1">
      <c r="A18" s="409" t="s">
        <v>353</v>
      </c>
    </row>
    <row r="19" spans="1:1">
      <c r="A19" s="409" t="s">
        <v>354</v>
      </c>
    </row>
    <row r="21" spans="1:1">
      <c r="A21" s="410" t="s">
        <v>355</v>
      </c>
    </row>
    <row r="22" spans="1:1">
      <c r="A22" s="410"/>
    </row>
    <row r="23" spans="1:1">
      <c r="A23" s="409" t="s">
        <v>356</v>
      </c>
    </row>
    <row r="24" spans="1:1">
      <c r="A24" s="409" t="s">
        <v>357</v>
      </c>
    </row>
    <row r="25" spans="1:1">
      <c r="A25" s="409" t="str">
        <f>CONCATENATE("particular fund.  If your ",inputPrYr!D11-2," budget was amended, did you")</f>
        <v>particular fund.  If your 2011 budget was amended, did you</v>
      </c>
    </row>
    <row r="26" spans="1:1">
      <c r="A26" s="409" t="s">
        <v>358</v>
      </c>
    </row>
    <row r="27" spans="1:1">
      <c r="A27" s="409"/>
    </row>
    <row r="28" spans="1:1">
      <c r="A28" s="409" t="str">
        <f>CONCATENATE("Next, look to see if any of your ",inputPrYr!D11-2," expenditures can be")</f>
        <v>Next, look to see if any of your 2011 expenditures can be</v>
      </c>
    </row>
    <row r="29" spans="1:1">
      <c r="A29" s="409" t="s">
        <v>359</v>
      </c>
    </row>
    <row r="30" spans="1:1">
      <c r="A30" s="409" t="s">
        <v>360</v>
      </c>
    </row>
    <row r="31" spans="1:1">
      <c r="A31" s="409" t="s">
        <v>361</v>
      </c>
    </row>
    <row r="32" spans="1:1">
      <c r="A32" s="409"/>
    </row>
    <row r="33" spans="1:1">
      <c r="A33" s="409" t="str">
        <f>CONCATENATE("Additionally, do your ",inputPrYr!D11-2," receipts contain a reimbursement")</f>
        <v>Additionally, do your 2011 receipts contain a reimbursement</v>
      </c>
    </row>
    <row r="34" spans="1:1">
      <c r="A34" s="409" t="s">
        <v>362</v>
      </c>
    </row>
    <row r="35" spans="1:1">
      <c r="A35" s="409" t="s">
        <v>363</v>
      </c>
    </row>
    <row r="36" spans="1:1">
      <c r="A36" s="409"/>
    </row>
    <row r="37" spans="1:1">
      <c r="A37" s="409" t="s">
        <v>364</v>
      </c>
    </row>
    <row r="38" spans="1:1">
      <c r="A38" s="409" t="s">
        <v>365</v>
      </c>
    </row>
    <row r="39" spans="1:1">
      <c r="A39" s="409" t="s">
        <v>366</v>
      </c>
    </row>
    <row r="40" spans="1:1">
      <c r="A40" s="409"/>
    </row>
    <row r="41" spans="1:1">
      <c r="A41" s="410" t="s">
        <v>367</v>
      </c>
    </row>
    <row r="42" spans="1:1">
      <c r="A42" s="409"/>
    </row>
    <row r="43" spans="1:1">
      <c r="A43" s="409" t="s">
        <v>368</v>
      </c>
    </row>
    <row r="44" spans="1:1">
      <c r="A44" s="409" t="s">
        <v>369</v>
      </c>
    </row>
    <row r="45" spans="1:1">
      <c r="A45" s="409" t="s">
        <v>370</v>
      </c>
    </row>
    <row r="46" spans="1:1">
      <c r="A46" s="409" t="s">
        <v>371</v>
      </c>
    </row>
    <row r="47" spans="1:1">
      <c r="A47" s="409" t="s">
        <v>372</v>
      </c>
    </row>
    <row r="48" spans="1:1">
      <c r="A48" s="409" t="s">
        <v>373</v>
      </c>
    </row>
    <row r="49" spans="1:1">
      <c r="A49" s="409" t="s">
        <v>374</v>
      </c>
    </row>
    <row r="50" spans="1:1">
      <c r="A50" s="409" t="s">
        <v>375</v>
      </c>
    </row>
    <row r="51" spans="1:1">
      <c r="A51" s="409" t="s">
        <v>376</v>
      </c>
    </row>
    <row r="52" spans="1:1">
      <c r="A52" s="409" t="s">
        <v>377</v>
      </c>
    </row>
    <row r="53" spans="1:1">
      <c r="A53" s="409" t="s">
        <v>378</v>
      </c>
    </row>
    <row r="54" spans="1:1">
      <c r="A54" s="409" t="s">
        <v>379</v>
      </c>
    </row>
    <row r="55" spans="1:1">
      <c r="A55" s="409" t="s">
        <v>380</v>
      </c>
    </row>
    <row r="56" spans="1:1">
      <c r="A56" s="409"/>
    </row>
    <row r="57" spans="1:1">
      <c r="A57" s="409" t="s">
        <v>381</v>
      </c>
    </row>
    <row r="58" spans="1:1">
      <c r="A58" s="409" t="s">
        <v>382</v>
      </c>
    </row>
    <row r="59" spans="1:1">
      <c r="A59" s="409" t="s">
        <v>383</v>
      </c>
    </row>
    <row r="60" spans="1:1">
      <c r="A60" s="409"/>
    </row>
    <row r="61" spans="1:1">
      <c r="A61" s="410" t="str">
        <f>CONCATENATE("What if the ",inputPrYr!D11-2," financial records have been closed?")</f>
        <v>What if the 2011 financial records have been closed?</v>
      </c>
    </row>
    <row r="63" spans="1:1">
      <c r="A63" s="409" t="s">
        <v>384</v>
      </c>
    </row>
    <row r="64" spans="1:1">
      <c r="A64" s="409" t="str">
        <f>CONCATENATE("(i.e. an audit for ",inputPrYr!D11-2," has been completed, or the ",inputPrYr!D11)</f>
        <v>(i.e. an audit for 2011 has been completed, or the 2013</v>
      </c>
    </row>
    <row r="65" spans="1:1">
      <c r="A65" s="409" t="s">
        <v>385</v>
      </c>
    </row>
    <row r="66" spans="1:1">
      <c r="A66" s="409" t="s">
        <v>386</v>
      </c>
    </row>
    <row r="67" spans="1:1">
      <c r="A67" s="409"/>
    </row>
    <row r="68" spans="1:1">
      <c r="A68" s="409" t="s">
        <v>387</v>
      </c>
    </row>
    <row r="69" spans="1:1">
      <c r="A69" s="409" t="s">
        <v>388</v>
      </c>
    </row>
    <row r="70" spans="1:1">
      <c r="A70" s="409" t="s">
        <v>389</v>
      </c>
    </row>
    <row r="71" spans="1:1">
      <c r="A71" s="409"/>
    </row>
    <row r="72" spans="1:1">
      <c r="A72" s="409" t="s">
        <v>390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391</v>
      </c>
      <c r="B3" s="408"/>
      <c r="C3" s="408"/>
      <c r="D3" s="408"/>
      <c r="E3" s="408"/>
      <c r="F3" s="408"/>
      <c r="G3" s="408"/>
      <c r="H3" s="411"/>
      <c r="I3" s="411"/>
      <c r="J3" s="411"/>
    </row>
    <row r="5" spans="1:10">
      <c r="A5" s="409" t="s">
        <v>392</v>
      </c>
    </row>
    <row r="6" spans="1:10">
      <c r="A6" t="str">
        <f>CONCATENATE(inputPrYr!D11-2," expenditures show that you finished the year with a ")</f>
        <v xml:space="preserve">2011 expenditures show that you finished the year with a </v>
      </c>
    </row>
    <row r="7" spans="1:10">
      <c r="A7" t="s">
        <v>393</v>
      </c>
    </row>
    <row r="9" spans="1:10">
      <c r="A9" t="s">
        <v>394</v>
      </c>
    </row>
    <row r="10" spans="1:10">
      <c r="A10" t="s">
        <v>395</v>
      </c>
    </row>
    <row r="11" spans="1:10">
      <c r="A11" t="s">
        <v>396</v>
      </c>
    </row>
    <row r="13" spans="1:10">
      <c r="A13" s="410" t="s">
        <v>397</v>
      </c>
    </row>
    <row r="14" spans="1:10">
      <c r="A14" s="410"/>
    </row>
    <row r="15" spans="1:10">
      <c r="A15" s="409" t="s">
        <v>398</v>
      </c>
    </row>
    <row r="16" spans="1:10">
      <c r="A16" s="409" t="s">
        <v>399</v>
      </c>
    </row>
    <row r="17" spans="1:1">
      <c r="A17" s="409" t="s">
        <v>400</v>
      </c>
    </row>
    <row r="18" spans="1:1">
      <c r="A18" s="409"/>
    </row>
    <row r="19" spans="1:1">
      <c r="A19" s="410" t="s">
        <v>401</v>
      </c>
    </row>
    <row r="20" spans="1:1">
      <c r="A20" s="410"/>
    </row>
    <row r="21" spans="1:1">
      <c r="A21" s="409" t="s">
        <v>402</v>
      </c>
    </row>
    <row r="22" spans="1:1">
      <c r="A22" s="409" t="s">
        <v>403</v>
      </c>
    </row>
    <row r="23" spans="1:1">
      <c r="A23" s="409" t="s">
        <v>404</v>
      </c>
    </row>
    <row r="24" spans="1:1">
      <c r="A24" s="409"/>
    </row>
    <row r="25" spans="1:1">
      <c r="A25" s="410" t="s">
        <v>405</v>
      </c>
    </row>
    <row r="26" spans="1:1">
      <c r="A26" s="410"/>
    </row>
    <row r="27" spans="1:1">
      <c r="A27" s="409" t="s">
        <v>406</v>
      </c>
    </row>
    <row r="28" spans="1:1">
      <c r="A28" s="409" t="s">
        <v>407</v>
      </c>
    </row>
    <row r="29" spans="1:1">
      <c r="A29" s="409" t="s">
        <v>408</v>
      </c>
    </row>
    <row r="30" spans="1:1">
      <c r="A30" s="409"/>
    </row>
    <row r="31" spans="1:1">
      <c r="A31" s="410" t="s">
        <v>409</v>
      </c>
    </row>
    <row r="32" spans="1:1">
      <c r="A32" s="410"/>
    </row>
    <row r="33" spans="1:8">
      <c r="A33" s="409" t="str">
        <f>CONCATENATE("If your financial records for ",inputPrYr!D11-2," are not closed")</f>
        <v>If your financial records for 2011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2013 adopted </v>
      </c>
      <c r="B34" s="409"/>
      <c r="C34" s="409"/>
      <c r="D34" s="409"/>
      <c r="E34" s="409"/>
      <c r="F34" s="409"/>
      <c r="G34" s="409"/>
      <c r="H34" s="409"/>
    </row>
    <row r="35" spans="1:8">
      <c r="A35" s="409" t="s">
        <v>410</v>
      </c>
      <c r="B35" s="409"/>
      <c r="C35" s="409"/>
      <c r="D35" s="409"/>
      <c r="E35" s="409"/>
      <c r="F35" s="409"/>
      <c r="G35" s="409"/>
      <c r="H35" s="409"/>
    </row>
    <row r="36" spans="1:8">
      <c r="A36" s="409" t="s">
        <v>411</v>
      </c>
      <c r="B36" s="409"/>
      <c r="C36" s="409"/>
      <c r="D36" s="409"/>
      <c r="E36" s="409"/>
      <c r="F36" s="409"/>
      <c r="G36" s="409"/>
      <c r="H36" s="409"/>
    </row>
    <row r="37" spans="1:8">
      <c r="A37" s="409" t="s">
        <v>412</v>
      </c>
      <c r="B37" s="409"/>
      <c r="C37" s="409"/>
      <c r="D37" s="409"/>
      <c r="E37" s="409"/>
      <c r="F37" s="409"/>
      <c r="G37" s="409"/>
      <c r="H37" s="409"/>
    </row>
    <row r="38" spans="1:8">
      <c r="A38" s="409" t="s">
        <v>413</v>
      </c>
      <c r="B38" s="409"/>
      <c r="C38" s="409"/>
      <c r="D38" s="409"/>
      <c r="E38" s="409"/>
      <c r="F38" s="409"/>
      <c r="G38" s="409"/>
      <c r="H38" s="409"/>
    </row>
    <row r="39" spans="1:8">
      <c r="A39" s="409" t="s">
        <v>414</v>
      </c>
      <c r="B39" s="409"/>
      <c r="C39" s="409"/>
      <c r="D39" s="409"/>
      <c r="E39" s="409"/>
      <c r="F39" s="409"/>
      <c r="G39" s="409"/>
      <c r="H39" s="409"/>
    </row>
    <row r="40" spans="1:8">
      <c r="A40" s="409"/>
      <c r="B40" s="409"/>
      <c r="C40" s="409"/>
      <c r="D40" s="409"/>
      <c r="E40" s="409"/>
      <c r="F40" s="409"/>
      <c r="G40" s="409"/>
      <c r="H40" s="409"/>
    </row>
    <row r="41" spans="1:8">
      <c r="A41" s="409" t="s">
        <v>415</v>
      </c>
      <c r="B41" s="409"/>
      <c r="C41" s="409"/>
      <c r="D41" s="409"/>
      <c r="E41" s="409"/>
      <c r="F41" s="409"/>
      <c r="G41" s="409"/>
      <c r="H41" s="409"/>
    </row>
    <row r="42" spans="1:8">
      <c r="A42" s="409" t="s">
        <v>416</v>
      </c>
      <c r="B42" s="409"/>
      <c r="C42" s="409"/>
      <c r="D42" s="409"/>
      <c r="E42" s="409"/>
      <c r="F42" s="409"/>
      <c r="G42" s="409"/>
      <c r="H42" s="409"/>
    </row>
    <row r="43" spans="1:8">
      <c r="A43" s="409" t="s">
        <v>417</v>
      </c>
      <c r="B43" s="409"/>
      <c r="C43" s="409"/>
      <c r="D43" s="409"/>
      <c r="E43" s="409"/>
      <c r="F43" s="409"/>
      <c r="G43" s="409"/>
      <c r="H43" s="409"/>
    </row>
    <row r="44" spans="1:8">
      <c r="A44" s="409" t="s">
        <v>418</v>
      </c>
      <c r="B44" s="409"/>
      <c r="C44" s="409"/>
      <c r="D44" s="409"/>
      <c r="E44" s="409"/>
      <c r="F44" s="409"/>
      <c r="G44" s="409"/>
      <c r="H44" s="409"/>
    </row>
    <row r="45" spans="1:8">
      <c r="A45" s="409"/>
      <c r="B45" s="409"/>
      <c r="C45" s="409"/>
      <c r="D45" s="409"/>
      <c r="E45" s="409"/>
      <c r="F45" s="409"/>
      <c r="G45" s="409"/>
      <c r="H45" s="409"/>
    </row>
    <row r="46" spans="1:8">
      <c r="A46" s="409" t="s">
        <v>419</v>
      </c>
      <c r="B46" s="409"/>
      <c r="C46" s="409"/>
      <c r="D46" s="409"/>
      <c r="E46" s="409"/>
      <c r="F46" s="409"/>
      <c r="G46" s="409"/>
      <c r="H46" s="409"/>
    </row>
    <row r="47" spans="1:8">
      <c r="A47" s="409" t="s">
        <v>420</v>
      </c>
      <c r="B47" s="409"/>
      <c r="C47" s="409"/>
      <c r="D47" s="409"/>
      <c r="E47" s="409"/>
      <c r="F47" s="409"/>
      <c r="G47" s="409"/>
      <c r="H47" s="409"/>
    </row>
    <row r="48" spans="1:8">
      <c r="A48" s="409" t="s">
        <v>421</v>
      </c>
      <c r="B48" s="409"/>
      <c r="C48" s="409"/>
      <c r="D48" s="409"/>
      <c r="E48" s="409"/>
      <c r="F48" s="409"/>
      <c r="G48" s="409"/>
      <c r="H48" s="409"/>
    </row>
    <row r="49" spans="1:8">
      <c r="A49" s="409" t="s">
        <v>422</v>
      </c>
      <c r="B49" s="409"/>
      <c r="C49" s="409"/>
      <c r="D49" s="409"/>
      <c r="E49" s="409"/>
      <c r="F49" s="409"/>
      <c r="G49" s="409"/>
      <c r="H49" s="409"/>
    </row>
    <row r="50" spans="1:8">
      <c r="A50" s="409" t="s">
        <v>423</v>
      </c>
      <c r="B50" s="409"/>
      <c r="C50" s="409"/>
      <c r="D50" s="409"/>
      <c r="E50" s="409"/>
      <c r="F50" s="409"/>
      <c r="G50" s="409"/>
      <c r="H50" s="409"/>
    </row>
    <row r="51" spans="1:8">
      <c r="A51" s="409"/>
      <c r="B51" s="409"/>
      <c r="C51" s="409"/>
      <c r="D51" s="409"/>
      <c r="E51" s="409"/>
      <c r="F51" s="409"/>
      <c r="G51" s="409"/>
      <c r="H51" s="409"/>
    </row>
    <row r="52" spans="1:8">
      <c r="A52" s="410" t="s">
        <v>424</v>
      </c>
      <c r="B52" s="410"/>
      <c r="C52" s="410"/>
      <c r="D52" s="410"/>
      <c r="E52" s="410"/>
      <c r="F52" s="410"/>
      <c r="G52" s="410"/>
      <c r="H52" s="409"/>
    </row>
    <row r="53" spans="1:8">
      <c r="A53" s="410" t="s">
        <v>425</v>
      </c>
      <c r="B53" s="410"/>
      <c r="C53" s="410"/>
      <c r="D53" s="410"/>
      <c r="E53" s="410"/>
      <c r="F53" s="410"/>
      <c r="G53" s="410"/>
      <c r="H53" s="409"/>
    </row>
    <row r="54" spans="1:8">
      <c r="A54" s="409"/>
      <c r="B54" s="409"/>
      <c r="C54" s="409"/>
      <c r="D54" s="409"/>
      <c r="E54" s="409"/>
      <c r="F54" s="409"/>
      <c r="G54" s="409"/>
      <c r="H54" s="409"/>
    </row>
    <row r="55" spans="1:8">
      <c r="A55" s="409" t="s">
        <v>426</v>
      </c>
      <c r="B55" s="409"/>
      <c r="C55" s="409"/>
      <c r="D55" s="409"/>
      <c r="E55" s="409"/>
      <c r="F55" s="409"/>
      <c r="G55" s="409"/>
      <c r="H55" s="409"/>
    </row>
    <row r="56" spans="1:8">
      <c r="A56" s="409" t="s">
        <v>427</v>
      </c>
      <c r="B56" s="409"/>
      <c r="C56" s="409"/>
      <c r="D56" s="409"/>
      <c r="E56" s="409"/>
      <c r="F56" s="409"/>
      <c r="G56" s="409"/>
      <c r="H56" s="409"/>
    </row>
    <row r="57" spans="1:8">
      <c r="A57" s="409" t="s">
        <v>428</v>
      </c>
      <c r="B57" s="409"/>
      <c r="C57" s="409"/>
      <c r="D57" s="409"/>
      <c r="E57" s="409"/>
      <c r="F57" s="409"/>
      <c r="G57" s="409"/>
      <c r="H57" s="409"/>
    </row>
    <row r="58" spans="1:8">
      <c r="A58" s="409" t="s">
        <v>429</v>
      </c>
      <c r="B58" s="409"/>
      <c r="C58" s="409"/>
      <c r="D58" s="409"/>
      <c r="E58" s="409"/>
      <c r="F58" s="409"/>
      <c r="G58" s="409"/>
      <c r="H58" s="409"/>
    </row>
    <row r="59" spans="1:8">
      <c r="A59" s="409"/>
      <c r="B59" s="409"/>
      <c r="C59" s="409"/>
      <c r="D59" s="409"/>
      <c r="E59" s="409"/>
      <c r="F59" s="409"/>
      <c r="G59" s="409"/>
      <c r="H59" s="409"/>
    </row>
    <row r="60" spans="1:8">
      <c r="A60" s="409" t="s">
        <v>430</v>
      </c>
      <c r="B60" s="409"/>
      <c r="C60" s="409"/>
      <c r="D60" s="409"/>
      <c r="E60" s="409"/>
      <c r="F60" s="409"/>
      <c r="G60" s="409"/>
      <c r="H60" s="409"/>
    </row>
    <row r="61" spans="1:8">
      <c r="A61" s="409" t="s">
        <v>431</v>
      </c>
      <c r="B61" s="409"/>
      <c r="C61" s="409"/>
      <c r="D61" s="409"/>
      <c r="E61" s="409"/>
      <c r="F61" s="409"/>
      <c r="G61" s="409"/>
      <c r="H61" s="409"/>
    </row>
    <row r="62" spans="1:8">
      <c r="A62" s="409" t="s">
        <v>432</v>
      </c>
      <c r="B62" s="409"/>
      <c r="C62" s="409"/>
      <c r="D62" s="409"/>
      <c r="E62" s="409"/>
      <c r="F62" s="409"/>
      <c r="G62" s="409"/>
      <c r="H62" s="409"/>
    </row>
    <row r="63" spans="1:8">
      <c r="A63" s="409" t="s">
        <v>433</v>
      </c>
      <c r="B63" s="409"/>
      <c r="C63" s="409"/>
      <c r="D63" s="409"/>
      <c r="E63" s="409"/>
      <c r="F63" s="409"/>
      <c r="G63" s="409"/>
      <c r="H63" s="409"/>
    </row>
    <row r="64" spans="1:8">
      <c r="A64" s="409" t="s">
        <v>434</v>
      </c>
      <c r="B64" s="409"/>
      <c r="C64" s="409"/>
      <c r="D64" s="409"/>
      <c r="E64" s="409"/>
      <c r="F64" s="409"/>
      <c r="G64" s="409"/>
      <c r="H64" s="409"/>
    </row>
    <row r="65" spans="1:8">
      <c r="A65" s="409" t="s">
        <v>435</v>
      </c>
      <c r="B65" s="409"/>
      <c r="C65" s="409"/>
      <c r="D65" s="409"/>
      <c r="E65" s="409"/>
      <c r="F65" s="409"/>
      <c r="G65" s="409"/>
      <c r="H65" s="409"/>
    </row>
    <row r="66" spans="1:8">
      <c r="A66" s="409"/>
      <c r="B66" s="409"/>
      <c r="C66" s="409"/>
      <c r="D66" s="409"/>
      <c r="E66" s="409"/>
      <c r="F66" s="409"/>
      <c r="G66" s="409"/>
      <c r="H66" s="409"/>
    </row>
    <row r="67" spans="1:8">
      <c r="A67" s="409" t="s">
        <v>436</v>
      </c>
      <c r="B67" s="409"/>
      <c r="C67" s="409"/>
      <c r="D67" s="409"/>
      <c r="E67" s="409"/>
      <c r="F67" s="409"/>
      <c r="G67" s="409"/>
      <c r="H67" s="409"/>
    </row>
    <row r="68" spans="1:8">
      <c r="A68" s="409" t="s">
        <v>437</v>
      </c>
      <c r="B68" s="409"/>
      <c r="C68" s="409"/>
      <c r="D68" s="409"/>
      <c r="E68" s="409"/>
      <c r="F68" s="409"/>
      <c r="G68" s="409"/>
      <c r="H68" s="409"/>
    </row>
    <row r="69" spans="1:8">
      <c r="A69" s="409" t="s">
        <v>438</v>
      </c>
      <c r="B69" s="409"/>
      <c r="C69" s="409"/>
      <c r="D69" s="409"/>
      <c r="E69" s="409"/>
      <c r="F69" s="409"/>
      <c r="G69" s="409"/>
      <c r="H69" s="409"/>
    </row>
    <row r="70" spans="1:8">
      <c r="A70" s="409" t="s">
        <v>439</v>
      </c>
      <c r="B70" s="409"/>
      <c r="C70" s="409"/>
      <c r="D70" s="409"/>
      <c r="E70" s="409"/>
      <c r="F70" s="409"/>
      <c r="G70" s="409"/>
      <c r="H70" s="409"/>
    </row>
    <row r="71" spans="1:8">
      <c r="A71" s="409" t="s">
        <v>440</v>
      </c>
      <c r="B71" s="409"/>
      <c r="C71" s="409"/>
      <c r="D71" s="409"/>
      <c r="E71" s="409"/>
      <c r="F71" s="409"/>
      <c r="G71" s="409"/>
      <c r="H71" s="409"/>
    </row>
    <row r="72" spans="1:8">
      <c r="A72" s="409" t="s">
        <v>441</v>
      </c>
      <c r="B72" s="409"/>
      <c r="C72" s="409"/>
      <c r="D72" s="409"/>
      <c r="E72" s="409"/>
      <c r="F72" s="409"/>
      <c r="G72" s="409"/>
      <c r="H72" s="409"/>
    </row>
    <row r="73" spans="1:8">
      <c r="A73" s="409" t="s">
        <v>442</v>
      </c>
      <c r="B73" s="409"/>
      <c r="C73" s="409"/>
      <c r="D73" s="409"/>
      <c r="E73" s="409"/>
      <c r="F73" s="409"/>
      <c r="G73" s="409"/>
      <c r="H73" s="409"/>
    </row>
    <row r="74" spans="1:8">
      <c r="A74" s="409"/>
      <c r="B74" s="409"/>
      <c r="C74" s="409"/>
      <c r="D74" s="409"/>
      <c r="E74" s="409"/>
      <c r="F74" s="409"/>
      <c r="G74" s="409"/>
      <c r="H74" s="409"/>
    </row>
    <row r="75" spans="1:8">
      <c r="A75" s="409" t="s">
        <v>443</v>
      </c>
      <c r="B75" s="409"/>
      <c r="C75" s="409"/>
      <c r="D75" s="409"/>
      <c r="E75" s="409"/>
      <c r="F75" s="409"/>
      <c r="G75" s="409"/>
      <c r="H75" s="409"/>
    </row>
    <row r="76" spans="1:8">
      <c r="A76" s="409" t="s">
        <v>444</v>
      </c>
      <c r="B76" s="409"/>
      <c r="C76" s="409"/>
      <c r="D76" s="409"/>
      <c r="E76" s="409"/>
      <c r="F76" s="409"/>
      <c r="G76" s="409"/>
      <c r="H76" s="409"/>
    </row>
    <row r="77" spans="1:8">
      <c r="A77" s="409" t="s">
        <v>445</v>
      </c>
      <c r="B77" s="409"/>
      <c r="C77" s="409"/>
      <c r="D77" s="409"/>
      <c r="E77" s="409"/>
      <c r="F77" s="409"/>
      <c r="G77" s="409"/>
      <c r="H77" s="409"/>
    </row>
    <row r="78" spans="1:8">
      <c r="A78" s="409"/>
      <c r="B78" s="409"/>
      <c r="C78" s="409"/>
      <c r="D78" s="409"/>
      <c r="E78" s="409"/>
      <c r="F78" s="409"/>
      <c r="G78" s="409"/>
      <c r="H78" s="409"/>
    </row>
    <row r="79" spans="1:8">
      <c r="A79" s="409" t="s">
        <v>390</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446</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346</v>
      </c>
      <c r="I5" s="408"/>
      <c r="J5" s="408"/>
      <c r="K5" s="408"/>
      <c r="L5" s="408"/>
    </row>
    <row r="6" spans="1:12">
      <c r="A6" s="409" t="str">
        <f>CONCATENATE("estimated ",inputPrYr!D11-1," 'total expenditures' exceed your ",inputPrYr!D11-1,"")</f>
        <v>estimated 2012 'total expenditures' exceed your 2012</v>
      </c>
      <c r="I6" s="408"/>
      <c r="J6" s="408"/>
      <c r="K6" s="408"/>
      <c r="L6" s="408"/>
    </row>
    <row r="7" spans="1:12">
      <c r="A7" s="412" t="s">
        <v>447</v>
      </c>
      <c r="I7" s="408"/>
      <c r="J7" s="408"/>
      <c r="K7" s="408"/>
      <c r="L7" s="408"/>
    </row>
    <row r="8" spans="1:12">
      <c r="A8" s="409"/>
      <c r="I8" s="408"/>
      <c r="J8" s="408"/>
      <c r="K8" s="408"/>
      <c r="L8" s="408"/>
    </row>
    <row r="9" spans="1:12">
      <c r="A9" s="409" t="s">
        <v>448</v>
      </c>
      <c r="I9" s="408"/>
      <c r="J9" s="408"/>
      <c r="K9" s="408"/>
      <c r="L9" s="408"/>
    </row>
    <row r="10" spans="1:12">
      <c r="A10" s="409" t="s">
        <v>449</v>
      </c>
      <c r="I10" s="408"/>
      <c r="J10" s="408"/>
      <c r="K10" s="408"/>
      <c r="L10" s="408"/>
    </row>
    <row r="11" spans="1:12">
      <c r="A11" s="409" t="s">
        <v>450</v>
      </c>
      <c r="I11" s="408"/>
      <c r="J11" s="408"/>
      <c r="K11" s="408"/>
      <c r="L11" s="408"/>
    </row>
    <row r="12" spans="1:12">
      <c r="A12" s="409" t="s">
        <v>451</v>
      </c>
      <c r="I12" s="408"/>
      <c r="J12" s="408"/>
      <c r="K12" s="408"/>
      <c r="L12" s="408"/>
    </row>
    <row r="13" spans="1:12">
      <c r="A13" s="409" t="s">
        <v>452</v>
      </c>
      <c r="I13" s="408"/>
      <c r="J13" s="408"/>
      <c r="K13" s="408"/>
      <c r="L13" s="408"/>
    </row>
    <row r="14" spans="1:12">
      <c r="A14" s="408"/>
      <c r="B14" s="408"/>
      <c r="C14" s="408"/>
      <c r="D14" s="408"/>
      <c r="E14" s="408"/>
      <c r="F14" s="408"/>
      <c r="G14" s="408"/>
      <c r="H14" s="408"/>
      <c r="I14" s="408"/>
      <c r="J14" s="408"/>
      <c r="K14" s="408"/>
      <c r="L14" s="408"/>
    </row>
    <row r="15" spans="1:12">
      <c r="A15" s="410" t="s">
        <v>453</v>
      </c>
    </row>
    <row r="16" spans="1:12">
      <c r="A16" s="410" t="s">
        <v>454</v>
      </c>
    </row>
    <row r="17" spans="1:7">
      <c r="A17" s="410"/>
    </row>
    <row r="18" spans="1:7">
      <c r="A18" s="409" t="s">
        <v>455</v>
      </c>
      <c r="B18" s="409"/>
      <c r="C18" s="409"/>
      <c r="D18" s="409"/>
      <c r="E18" s="409"/>
      <c r="F18" s="409"/>
      <c r="G18" s="409"/>
    </row>
    <row r="19" spans="1:7">
      <c r="A19" s="409" t="str">
        <f>CONCATENATE("your ",inputPrYr!D11-1," numbers to see what steps might be necessary to")</f>
        <v>your 2012 numbers to see what steps might be necessary to</v>
      </c>
      <c r="B19" s="409"/>
      <c r="C19" s="409"/>
      <c r="D19" s="409"/>
      <c r="E19" s="409"/>
      <c r="F19" s="409"/>
      <c r="G19" s="409"/>
    </row>
    <row r="20" spans="1:7">
      <c r="A20" s="409" t="s">
        <v>456</v>
      </c>
      <c r="B20" s="409"/>
      <c r="C20" s="409"/>
      <c r="D20" s="409"/>
      <c r="E20" s="409"/>
      <c r="F20" s="409"/>
      <c r="G20" s="409"/>
    </row>
    <row r="21" spans="1:7">
      <c r="A21" s="409" t="s">
        <v>457</v>
      </c>
      <c r="B21" s="409"/>
      <c r="C21" s="409"/>
      <c r="D21" s="409"/>
      <c r="E21" s="409"/>
      <c r="F21" s="409"/>
      <c r="G21" s="409"/>
    </row>
    <row r="22" spans="1:7">
      <c r="A22" s="409"/>
    </row>
    <row r="23" spans="1:7">
      <c r="A23" s="410" t="s">
        <v>458</v>
      </c>
    </row>
    <row r="24" spans="1:7">
      <c r="A24" s="410"/>
    </row>
    <row r="25" spans="1:7">
      <c r="A25" s="409" t="s">
        <v>459</v>
      </c>
    </row>
    <row r="26" spans="1:7">
      <c r="A26" s="409" t="s">
        <v>460</v>
      </c>
      <c r="B26" s="409"/>
      <c r="C26" s="409"/>
      <c r="D26" s="409"/>
      <c r="E26" s="409"/>
      <c r="F26" s="409"/>
    </row>
    <row r="27" spans="1:7">
      <c r="A27" s="409" t="s">
        <v>461</v>
      </c>
      <c r="B27" s="409"/>
      <c r="C27" s="409"/>
      <c r="D27" s="409"/>
      <c r="E27" s="409"/>
      <c r="F27" s="409"/>
    </row>
    <row r="28" spans="1:7">
      <c r="A28" s="409" t="s">
        <v>462</v>
      </c>
      <c r="B28" s="409"/>
      <c r="C28" s="409"/>
      <c r="D28" s="409"/>
      <c r="E28" s="409"/>
      <c r="F28" s="409"/>
    </row>
    <row r="29" spans="1:7">
      <c r="A29" s="409"/>
      <c r="B29" s="409"/>
      <c r="C29" s="409"/>
      <c r="D29" s="409"/>
      <c r="E29" s="409"/>
      <c r="F29" s="409"/>
    </row>
    <row r="30" spans="1:7">
      <c r="A30" s="410" t="s">
        <v>463</v>
      </c>
      <c r="B30" s="410"/>
      <c r="C30" s="410"/>
      <c r="D30" s="410"/>
      <c r="E30" s="410"/>
      <c r="F30" s="410"/>
      <c r="G30" s="410"/>
    </row>
    <row r="31" spans="1:7">
      <c r="A31" s="410" t="s">
        <v>464</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2012 expenditures can</v>
      </c>
      <c r="B33" s="409"/>
      <c r="C33" s="409"/>
      <c r="D33" s="409"/>
      <c r="E33" s="409"/>
      <c r="F33" s="409"/>
    </row>
    <row r="34" spans="1:6">
      <c r="A34" s="413" t="s">
        <v>465</v>
      </c>
      <c r="B34" s="409"/>
      <c r="C34" s="409"/>
      <c r="D34" s="409"/>
      <c r="E34" s="409"/>
      <c r="F34" s="409"/>
    </row>
    <row r="35" spans="1:6">
      <c r="A35" s="413" t="s">
        <v>360</v>
      </c>
      <c r="B35" s="409"/>
      <c r="C35" s="409"/>
      <c r="D35" s="409"/>
      <c r="E35" s="409"/>
      <c r="F35" s="409"/>
    </row>
    <row r="36" spans="1:6">
      <c r="A36" s="413" t="s">
        <v>361</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2012 receipts contain a reimbursement</v>
      </c>
      <c r="B38" s="409"/>
      <c r="C38" s="409"/>
      <c r="D38" s="409"/>
      <c r="E38" s="409"/>
      <c r="F38" s="409"/>
    </row>
    <row r="39" spans="1:6">
      <c r="A39" s="413" t="s">
        <v>362</v>
      </c>
      <c r="B39" s="409"/>
      <c r="C39" s="409"/>
      <c r="D39" s="409"/>
      <c r="E39" s="409"/>
      <c r="F39" s="409"/>
    </row>
    <row r="40" spans="1:6">
      <c r="A40" s="413" t="s">
        <v>363</v>
      </c>
      <c r="B40" s="409"/>
      <c r="C40" s="409"/>
      <c r="D40" s="409"/>
      <c r="E40" s="409"/>
      <c r="F40" s="409"/>
    </row>
    <row r="41" spans="1:6">
      <c r="A41" s="413"/>
      <c r="B41" s="409"/>
      <c r="C41" s="409"/>
      <c r="D41" s="409"/>
      <c r="E41" s="409"/>
      <c r="F41" s="409"/>
    </row>
    <row r="42" spans="1:6">
      <c r="A42" s="413" t="s">
        <v>466</v>
      </c>
      <c r="B42" s="409"/>
      <c r="C42" s="409"/>
      <c r="D42" s="409"/>
      <c r="E42" s="409"/>
      <c r="F42" s="409"/>
    </row>
    <row r="43" spans="1:6">
      <c r="A43" s="413" t="s">
        <v>467</v>
      </c>
      <c r="B43" s="409"/>
      <c r="C43" s="409"/>
      <c r="D43" s="409"/>
      <c r="E43" s="409"/>
      <c r="F43" s="409"/>
    </row>
    <row r="44" spans="1:6">
      <c r="A44" s="413" t="s">
        <v>468</v>
      </c>
      <c r="B44" s="409"/>
      <c r="C44" s="409"/>
      <c r="D44" s="409"/>
      <c r="E44" s="409"/>
      <c r="F44" s="409"/>
    </row>
    <row r="45" spans="1:6">
      <c r="A45" s="413" t="s">
        <v>469</v>
      </c>
      <c r="B45" s="409"/>
      <c r="C45" s="409"/>
      <c r="D45" s="409"/>
      <c r="E45" s="409"/>
      <c r="F45" s="409"/>
    </row>
    <row r="46" spans="1:6">
      <c r="A46" s="413" t="s">
        <v>470</v>
      </c>
      <c r="B46" s="409"/>
      <c r="C46" s="409"/>
      <c r="D46" s="409"/>
      <c r="E46" s="409"/>
      <c r="F46" s="409"/>
    </row>
    <row r="47" spans="1:6">
      <c r="A47" s="413"/>
      <c r="B47" s="409"/>
      <c r="C47" s="409"/>
      <c r="D47" s="409"/>
      <c r="E47" s="409"/>
      <c r="F47" s="409"/>
    </row>
    <row r="48" spans="1:6">
      <c r="A48" s="414" t="s">
        <v>471</v>
      </c>
      <c r="B48" s="409"/>
      <c r="C48" s="409"/>
      <c r="D48" s="409"/>
      <c r="E48" s="409"/>
      <c r="F48" s="409"/>
    </row>
    <row r="49" spans="1:6">
      <c r="A49" s="414" t="s">
        <v>472</v>
      </c>
      <c r="B49" s="409"/>
      <c r="C49" s="409"/>
      <c r="D49" s="409"/>
      <c r="E49" s="409"/>
      <c r="F49" s="409"/>
    </row>
    <row r="50" spans="1:6">
      <c r="A50" s="414" t="s">
        <v>473</v>
      </c>
      <c r="B50" s="409"/>
      <c r="C50" s="409"/>
      <c r="D50" s="409"/>
      <c r="E50" s="409"/>
      <c r="F50" s="409"/>
    </row>
    <row r="51" spans="1:6">
      <c r="A51" s="414" t="s">
        <v>474</v>
      </c>
    </row>
    <row r="52" spans="1:6">
      <c r="A52" s="414" t="s">
        <v>475</v>
      </c>
    </row>
    <row r="53" spans="1:6">
      <c r="A53" s="414" t="s">
        <v>476</v>
      </c>
    </row>
    <row r="55" spans="1:6">
      <c r="A55" s="409" t="s">
        <v>477</v>
      </c>
    </row>
    <row r="56" spans="1:6">
      <c r="A56" s="409" t="s">
        <v>478</v>
      </c>
    </row>
    <row r="57" spans="1:6">
      <c r="A57" s="409" t="s">
        <v>479</v>
      </c>
    </row>
    <row r="58" spans="1:6">
      <c r="A58" s="409" t="s">
        <v>480</v>
      </c>
    </row>
    <row r="59" spans="1:6">
      <c r="A59" s="409" t="s">
        <v>481</v>
      </c>
    </row>
    <row r="60" spans="1:6">
      <c r="A60" s="409" t="s">
        <v>482</v>
      </c>
    </row>
    <row r="62" spans="1:6">
      <c r="A62" s="409" t="s">
        <v>390</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483</v>
      </c>
      <c r="B3" s="408"/>
      <c r="C3" s="408"/>
      <c r="D3" s="408"/>
      <c r="E3" s="408"/>
      <c r="F3" s="408"/>
      <c r="G3" s="408"/>
    </row>
    <row r="4" spans="1:7">
      <c r="A4" s="408"/>
      <c r="B4" s="408"/>
      <c r="C4" s="408"/>
      <c r="D4" s="408"/>
      <c r="E4" s="408"/>
      <c r="F4" s="408"/>
      <c r="G4" s="408"/>
    </row>
    <row r="5" spans="1:7">
      <c r="A5" s="409" t="s">
        <v>392</v>
      </c>
    </row>
    <row r="6" spans="1:7">
      <c r="A6" s="409" t="str">
        <f>CONCATENATE(inputPrYr!D11-1," estimated expenditures show that at the end of this year")</f>
        <v>2012 estimated expenditures show that at the end of this year</v>
      </c>
    </row>
    <row r="7" spans="1:7">
      <c r="A7" s="409" t="s">
        <v>484</v>
      </c>
    </row>
    <row r="8" spans="1:7">
      <c r="A8" s="409" t="s">
        <v>485</v>
      </c>
    </row>
    <row r="10" spans="1:7">
      <c r="A10" t="s">
        <v>394</v>
      </c>
    </row>
    <row r="11" spans="1:7">
      <c r="A11" t="s">
        <v>395</v>
      </c>
    </row>
    <row r="12" spans="1:7">
      <c r="A12" t="s">
        <v>396</v>
      </c>
    </row>
    <row r="13" spans="1:7">
      <c r="A13" s="408"/>
      <c r="B13" s="408"/>
      <c r="C13" s="408"/>
      <c r="D13" s="408"/>
      <c r="E13" s="408"/>
      <c r="F13" s="408"/>
      <c r="G13" s="408"/>
    </row>
    <row r="14" spans="1:7">
      <c r="A14" s="410" t="s">
        <v>486</v>
      </c>
    </row>
    <row r="15" spans="1:7">
      <c r="A15" s="409"/>
    </row>
    <row r="16" spans="1:7">
      <c r="A16" s="409" t="s">
        <v>487</v>
      </c>
    </row>
    <row r="17" spans="1:7">
      <c r="A17" s="409" t="s">
        <v>488</v>
      </c>
    </row>
    <row r="18" spans="1:7">
      <c r="A18" s="409" t="s">
        <v>489</v>
      </c>
    </row>
    <row r="19" spans="1:7">
      <c r="A19" s="409"/>
    </row>
    <row r="20" spans="1:7">
      <c r="A20" s="409" t="s">
        <v>490</v>
      </c>
    </row>
    <row r="21" spans="1:7">
      <c r="A21" s="409" t="s">
        <v>491</v>
      </c>
    </row>
    <row r="22" spans="1:7">
      <c r="A22" s="409" t="s">
        <v>492</v>
      </c>
    </row>
    <row r="23" spans="1:7">
      <c r="A23" s="409" t="s">
        <v>493</v>
      </c>
    </row>
    <row r="24" spans="1:7">
      <c r="A24" s="409"/>
    </row>
    <row r="25" spans="1:7">
      <c r="A25" s="410" t="s">
        <v>458</v>
      </c>
    </row>
    <row r="26" spans="1:7">
      <c r="A26" s="410"/>
    </row>
    <row r="27" spans="1:7">
      <c r="A27" s="409" t="s">
        <v>459</v>
      </c>
    </row>
    <row r="28" spans="1:7">
      <c r="A28" s="409" t="s">
        <v>460</v>
      </c>
      <c r="B28" s="409"/>
      <c r="C28" s="409"/>
      <c r="D28" s="409"/>
      <c r="E28" s="409"/>
      <c r="F28" s="409"/>
    </row>
    <row r="29" spans="1:7">
      <c r="A29" s="409" t="s">
        <v>461</v>
      </c>
      <c r="B29" s="409"/>
      <c r="C29" s="409"/>
      <c r="D29" s="409"/>
      <c r="E29" s="409"/>
      <c r="F29" s="409"/>
    </row>
    <row r="30" spans="1:7">
      <c r="A30" s="409" t="s">
        <v>462</v>
      </c>
      <c r="B30" s="409"/>
      <c r="C30" s="409"/>
      <c r="D30" s="409"/>
      <c r="E30" s="409"/>
      <c r="F30" s="409"/>
    </row>
    <row r="31" spans="1:7">
      <c r="A31" s="409"/>
    </row>
    <row r="32" spans="1:7">
      <c r="A32" s="410" t="s">
        <v>463</v>
      </c>
      <c r="B32" s="410"/>
      <c r="C32" s="410"/>
      <c r="D32" s="410"/>
      <c r="E32" s="410"/>
      <c r="F32" s="410"/>
      <c r="G32" s="410"/>
    </row>
    <row r="33" spans="1:7">
      <c r="A33" s="410" t="s">
        <v>464</v>
      </c>
      <c r="B33" s="410"/>
      <c r="C33" s="410"/>
      <c r="D33" s="410"/>
      <c r="E33" s="410"/>
      <c r="F33" s="410"/>
      <c r="G33" s="410"/>
    </row>
    <row r="34" spans="1:7">
      <c r="A34" s="410"/>
      <c r="B34" s="410"/>
      <c r="C34" s="410"/>
      <c r="D34" s="410"/>
      <c r="E34" s="410"/>
      <c r="F34" s="410"/>
      <c r="G34" s="410"/>
    </row>
    <row r="35" spans="1:7">
      <c r="A35" s="409" t="s">
        <v>494</v>
      </c>
      <c r="B35" s="409"/>
      <c r="C35" s="409"/>
      <c r="D35" s="409"/>
      <c r="E35" s="409"/>
      <c r="F35" s="409"/>
      <c r="G35" s="409"/>
    </row>
    <row r="36" spans="1:7">
      <c r="A36" s="409" t="s">
        <v>495</v>
      </c>
      <c r="B36" s="409"/>
      <c r="C36" s="409"/>
      <c r="D36" s="409"/>
      <c r="E36" s="409"/>
      <c r="F36" s="409"/>
      <c r="G36" s="409"/>
    </row>
    <row r="37" spans="1:7">
      <c r="A37" s="409" t="s">
        <v>496</v>
      </c>
      <c r="B37" s="409"/>
      <c r="C37" s="409"/>
      <c r="D37" s="409"/>
      <c r="E37" s="409"/>
      <c r="F37" s="409"/>
      <c r="G37" s="409"/>
    </row>
    <row r="38" spans="1:7">
      <c r="A38" s="409" t="s">
        <v>497</v>
      </c>
      <c r="B38" s="409"/>
      <c r="C38" s="409"/>
      <c r="D38" s="409"/>
      <c r="E38" s="409"/>
      <c r="F38" s="409"/>
      <c r="G38" s="409"/>
    </row>
    <row r="39" spans="1:7">
      <c r="A39" s="409" t="s">
        <v>498</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2012 expenditures can</v>
      </c>
      <c r="B41" s="409"/>
      <c r="C41" s="409"/>
      <c r="D41" s="409"/>
      <c r="E41" s="409"/>
      <c r="F41" s="409"/>
    </row>
    <row r="42" spans="1:7">
      <c r="A42" s="413" t="s">
        <v>465</v>
      </c>
      <c r="B42" s="409"/>
      <c r="C42" s="409"/>
      <c r="D42" s="409"/>
      <c r="E42" s="409"/>
      <c r="F42" s="409"/>
    </row>
    <row r="43" spans="1:7">
      <c r="A43" s="413" t="s">
        <v>360</v>
      </c>
      <c r="B43" s="409"/>
      <c r="C43" s="409"/>
      <c r="D43" s="409"/>
      <c r="E43" s="409"/>
      <c r="F43" s="409"/>
    </row>
    <row r="44" spans="1:7">
      <c r="A44" s="413" t="s">
        <v>361</v>
      </c>
      <c r="B44" s="409"/>
      <c r="C44" s="409"/>
      <c r="D44" s="409"/>
      <c r="E44" s="409"/>
      <c r="F44" s="409"/>
    </row>
    <row r="45" spans="1:7">
      <c r="A45" s="409"/>
    </row>
    <row r="46" spans="1:7">
      <c r="A46" s="413" t="str">
        <f>CONCATENATE("Additionally, do your ",inputPrYr!D11-1," receipts contain a reimbursement")</f>
        <v>Additionally, do your 2012 receipts contain a reimbursement</v>
      </c>
      <c r="B46" s="409"/>
      <c r="C46" s="409"/>
      <c r="D46" s="409"/>
      <c r="E46" s="409"/>
      <c r="F46" s="409"/>
    </row>
    <row r="47" spans="1:7">
      <c r="A47" s="413" t="s">
        <v>362</v>
      </c>
      <c r="B47" s="409"/>
      <c r="C47" s="409"/>
      <c r="D47" s="409"/>
      <c r="E47" s="409"/>
      <c r="F47" s="409"/>
    </row>
    <row r="48" spans="1:7">
      <c r="A48" s="413" t="s">
        <v>363</v>
      </c>
      <c r="B48" s="409"/>
      <c r="C48" s="409"/>
      <c r="D48" s="409"/>
      <c r="E48" s="409"/>
      <c r="F48" s="409"/>
    </row>
    <row r="49" spans="1:7">
      <c r="A49" s="409"/>
      <c r="B49" s="409"/>
      <c r="C49" s="409"/>
      <c r="D49" s="409"/>
      <c r="E49" s="409"/>
      <c r="F49" s="409"/>
      <c r="G49" s="409"/>
    </row>
    <row r="50" spans="1:7">
      <c r="A50" s="409" t="s">
        <v>419</v>
      </c>
      <c r="B50" s="409"/>
      <c r="C50" s="409"/>
      <c r="D50" s="409"/>
      <c r="E50" s="409"/>
      <c r="F50" s="409"/>
      <c r="G50" s="409"/>
    </row>
    <row r="51" spans="1:7">
      <c r="A51" s="409" t="s">
        <v>420</v>
      </c>
      <c r="B51" s="409"/>
      <c r="C51" s="409"/>
      <c r="D51" s="409"/>
      <c r="E51" s="409"/>
      <c r="F51" s="409"/>
      <c r="G51" s="409"/>
    </row>
    <row r="52" spans="1:7">
      <c r="A52" s="409" t="s">
        <v>421</v>
      </c>
      <c r="B52" s="409"/>
      <c r="C52" s="409"/>
      <c r="D52" s="409"/>
      <c r="E52" s="409"/>
      <c r="F52" s="409"/>
      <c r="G52" s="409"/>
    </row>
    <row r="53" spans="1:7">
      <c r="A53" s="409" t="s">
        <v>422</v>
      </c>
      <c r="B53" s="409"/>
      <c r="C53" s="409"/>
      <c r="D53" s="409"/>
      <c r="E53" s="409"/>
      <c r="F53" s="409"/>
      <c r="G53" s="409"/>
    </row>
    <row r="54" spans="1:7">
      <c r="A54" s="409" t="s">
        <v>423</v>
      </c>
      <c r="B54" s="409"/>
      <c r="C54" s="409"/>
      <c r="D54" s="409"/>
      <c r="E54" s="409"/>
      <c r="F54" s="409"/>
      <c r="G54" s="409"/>
    </row>
    <row r="55" spans="1:7">
      <c r="A55" s="409"/>
      <c r="B55" s="409"/>
      <c r="C55" s="409"/>
      <c r="D55" s="409"/>
      <c r="E55" s="409"/>
      <c r="F55" s="409"/>
      <c r="G55" s="409"/>
    </row>
    <row r="56" spans="1:7">
      <c r="A56" s="413" t="s">
        <v>499</v>
      </c>
      <c r="B56" s="409"/>
      <c r="C56" s="409"/>
      <c r="D56" s="409"/>
      <c r="E56" s="409"/>
      <c r="F56" s="409"/>
    </row>
    <row r="57" spans="1:7">
      <c r="A57" s="413" t="s">
        <v>500</v>
      </c>
      <c r="B57" s="409"/>
      <c r="C57" s="409"/>
      <c r="D57" s="409"/>
      <c r="E57" s="409"/>
      <c r="F57" s="409"/>
    </row>
    <row r="58" spans="1:7">
      <c r="A58" s="413" t="s">
        <v>501</v>
      </c>
      <c r="B58" s="409"/>
      <c r="C58" s="409"/>
      <c r="D58" s="409"/>
      <c r="E58" s="409"/>
      <c r="F58" s="409"/>
    </row>
    <row r="59" spans="1:7">
      <c r="A59" s="413"/>
      <c r="B59" s="409"/>
      <c r="C59" s="409"/>
      <c r="D59" s="409"/>
      <c r="E59" s="409"/>
      <c r="F59" s="409"/>
    </row>
    <row r="60" spans="1:7">
      <c r="A60" s="409" t="s">
        <v>502</v>
      </c>
      <c r="B60" s="409"/>
      <c r="C60" s="409"/>
      <c r="D60" s="409"/>
      <c r="E60" s="409"/>
      <c r="F60" s="409"/>
      <c r="G60" s="409"/>
    </row>
    <row r="61" spans="1:7">
      <c r="A61" s="409" t="s">
        <v>503</v>
      </c>
      <c r="B61" s="409"/>
      <c r="C61" s="409"/>
      <c r="D61" s="409"/>
      <c r="E61" s="409"/>
      <c r="F61" s="409"/>
      <c r="G61" s="409"/>
    </row>
    <row r="62" spans="1:7">
      <c r="A62" s="409" t="s">
        <v>504</v>
      </c>
      <c r="B62" s="409"/>
      <c r="C62" s="409"/>
      <c r="D62" s="409"/>
      <c r="E62" s="409"/>
      <c r="F62" s="409"/>
      <c r="G62" s="409"/>
    </row>
    <row r="63" spans="1:7">
      <c r="A63" s="409" t="s">
        <v>505</v>
      </c>
      <c r="B63" s="409"/>
      <c r="C63" s="409"/>
      <c r="D63" s="409"/>
      <c r="E63" s="409"/>
      <c r="F63" s="409"/>
      <c r="G63" s="409"/>
    </row>
    <row r="64" spans="1:7">
      <c r="A64" s="409" t="s">
        <v>506</v>
      </c>
      <c r="B64" s="409"/>
      <c r="C64" s="409"/>
      <c r="D64" s="409"/>
      <c r="E64" s="409"/>
      <c r="F64" s="409"/>
      <c r="G64" s="409"/>
    </row>
    <row r="66" spans="1:6">
      <c r="A66" s="413" t="s">
        <v>466</v>
      </c>
      <c r="B66" s="409"/>
      <c r="C66" s="409"/>
      <c r="D66" s="409"/>
      <c r="E66" s="409"/>
      <c r="F66" s="409"/>
    </row>
    <row r="67" spans="1:6">
      <c r="A67" s="413" t="s">
        <v>467</v>
      </c>
      <c r="B67" s="409"/>
      <c r="C67" s="409"/>
      <c r="D67" s="409"/>
      <c r="E67" s="409"/>
      <c r="F67" s="409"/>
    </row>
    <row r="68" spans="1:6">
      <c r="A68" s="413" t="s">
        <v>468</v>
      </c>
      <c r="B68" s="409"/>
      <c r="C68" s="409"/>
      <c r="D68" s="409"/>
      <c r="E68" s="409"/>
      <c r="F68" s="409"/>
    </row>
    <row r="69" spans="1:6">
      <c r="A69" s="413" t="s">
        <v>469</v>
      </c>
      <c r="B69" s="409"/>
      <c r="C69" s="409"/>
      <c r="D69" s="409"/>
      <c r="E69" s="409"/>
      <c r="F69" s="409"/>
    </row>
    <row r="70" spans="1:6">
      <c r="A70" s="413" t="s">
        <v>470</v>
      </c>
      <c r="B70" s="409"/>
      <c r="C70" s="409"/>
      <c r="D70" s="409"/>
      <c r="E70" s="409"/>
      <c r="F70" s="409"/>
    </row>
    <row r="71" spans="1:6">
      <c r="A71" s="409"/>
    </row>
    <row r="72" spans="1:6">
      <c r="A72" s="409" t="s">
        <v>390</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507</v>
      </c>
      <c r="B3" s="408"/>
      <c r="C3" s="408"/>
      <c r="D3" s="408"/>
      <c r="E3" s="408"/>
      <c r="F3" s="408"/>
      <c r="G3" s="408"/>
    </row>
    <row r="4" spans="1:7">
      <c r="A4" s="408" t="s">
        <v>508</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346</v>
      </c>
    </row>
    <row r="8" spans="1:7">
      <c r="A8" s="409" t="str">
        <f>CONCATENATE("estimated ",inputPrYr!D11," 'total expenditures' exceed your ",inputPrYr!D11,"")</f>
        <v>estimated 2013 'total expenditures' exceed your 2013</v>
      </c>
    </row>
    <row r="9" spans="1:7">
      <c r="A9" s="412" t="s">
        <v>509</v>
      </c>
    </row>
    <row r="10" spans="1:7">
      <c r="A10" s="409"/>
    </row>
    <row r="11" spans="1:7">
      <c r="A11" s="409" t="s">
        <v>510</v>
      </c>
    </row>
    <row r="12" spans="1:7">
      <c r="A12" s="409" t="s">
        <v>511</v>
      </c>
    </row>
    <row r="13" spans="1:7">
      <c r="A13" s="409" t="s">
        <v>512</v>
      </c>
    </row>
    <row r="14" spans="1:7">
      <c r="A14" s="409"/>
    </row>
    <row r="15" spans="1:7">
      <c r="A15" s="410" t="s">
        <v>513</v>
      </c>
    </row>
    <row r="16" spans="1:7">
      <c r="A16" s="408"/>
      <c r="B16" s="408"/>
      <c r="C16" s="408"/>
      <c r="D16" s="408"/>
      <c r="E16" s="408"/>
      <c r="F16" s="408"/>
      <c r="G16" s="408"/>
    </row>
    <row r="17" spans="1:8">
      <c r="A17" s="415" t="s">
        <v>514</v>
      </c>
      <c r="B17" s="416"/>
      <c r="C17" s="416"/>
      <c r="D17" s="416"/>
      <c r="E17" s="416"/>
      <c r="F17" s="416"/>
      <c r="G17" s="416"/>
      <c r="H17" s="416"/>
    </row>
    <row r="18" spans="1:8">
      <c r="A18" s="409" t="s">
        <v>515</v>
      </c>
      <c r="B18" s="417"/>
      <c r="C18" s="417"/>
      <c r="D18" s="417"/>
      <c r="E18" s="417"/>
      <c r="F18" s="417"/>
      <c r="G18" s="417"/>
    </row>
    <row r="19" spans="1:8">
      <c r="A19" s="409" t="s">
        <v>516</v>
      </c>
    </row>
    <row r="20" spans="1:8">
      <c r="A20" s="409" t="s">
        <v>517</v>
      </c>
    </row>
    <row r="22" spans="1:8">
      <c r="A22" s="410" t="s">
        <v>518</v>
      </c>
    </row>
    <row r="24" spans="1:8">
      <c r="A24" s="409" t="s">
        <v>519</v>
      </c>
    </row>
    <row r="25" spans="1:8">
      <c r="A25" s="409" t="s">
        <v>520</v>
      </c>
    </row>
    <row r="26" spans="1:8">
      <c r="A26" s="409" t="s">
        <v>521</v>
      </c>
    </row>
    <row r="28" spans="1:8">
      <c r="A28" s="410" t="s">
        <v>522</v>
      </c>
    </row>
    <row r="30" spans="1:8">
      <c r="A30" t="s">
        <v>523</v>
      </c>
    </row>
    <row r="31" spans="1:8">
      <c r="A31" t="s">
        <v>524</v>
      </c>
    </row>
    <row r="32" spans="1:8">
      <c r="A32" t="s">
        <v>525</v>
      </c>
    </row>
    <row r="33" spans="1:1">
      <c r="A33" s="409" t="s">
        <v>526</v>
      </c>
    </row>
    <row r="35" spans="1:1">
      <c r="A35" t="s">
        <v>527</v>
      </c>
    </row>
    <row r="36" spans="1:1">
      <c r="A36" t="s">
        <v>528</v>
      </c>
    </row>
    <row r="37" spans="1:1">
      <c r="A37" t="s">
        <v>529</v>
      </c>
    </row>
    <row r="38" spans="1:1">
      <c r="A38" t="s">
        <v>530</v>
      </c>
    </row>
    <row r="40" spans="1:1">
      <c r="A40" t="s">
        <v>531</v>
      </c>
    </row>
    <row r="41" spans="1:1">
      <c r="A41" t="s">
        <v>532</v>
      </c>
    </row>
    <row r="42" spans="1:1">
      <c r="A42" t="s">
        <v>533</v>
      </c>
    </row>
    <row r="43" spans="1:1">
      <c r="A43" t="s">
        <v>534</v>
      </c>
    </row>
    <row r="44" spans="1:1">
      <c r="A44" t="s">
        <v>535</v>
      </c>
    </row>
    <row r="45" spans="1:1">
      <c r="A45" t="s">
        <v>536</v>
      </c>
    </row>
    <row r="47" spans="1:1">
      <c r="A47" t="s">
        <v>537</v>
      </c>
    </row>
    <row r="48" spans="1:1">
      <c r="A48" t="s">
        <v>538</v>
      </c>
    </row>
    <row r="49" spans="1:1">
      <c r="A49" s="409" t="s">
        <v>539</v>
      </c>
    </row>
    <row r="50" spans="1:1">
      <c r="A50" s="409" t="s">
        <v>540</v>
      </c>
    </row>
    <row r="52" spans="1:1">
      <c r="A52" t="s">
        <v>390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1" t="s">
        <v>592</v>
      </c>
      <c r="C6" s="692"/>
      <c r="D6" s="692"/>
      <c r="E6" s="692"/>
      <c r="F6" s="692"/>
      <c r="G6" s="692"/>
      <c r="H6" s="692"/>
      <c r="I6" s="692"/>
      <c r="J6" s="692"/>
      <c r="K6" s="692"/>
      <c r="L6" s="462"/>
    </row>
    <row r="7" spans="1:12" ht="40.5" customHeight="1">
      <c r="A7" s="459"/>
      <c r="B7" s="693" t="s">
        <v>593</v>
      </c>
      <c r="C7" s="694"/>
      <c r="D7" s="694"/>
      <c r="E7" s="694"/>
      <c r="F7" s="694"/>
      <c r="G7" s="694"/>
      <c r="H7" s="694"/>
      <c r="I7" s="694"/>
      <c r="J7" s="694"/>
      <c r="K7" s="694"/>
      <c r="L7" s="459"/>
    </row>
    <row r="8" spans="1:12">
      <c r="A8" s="459"/>
      <c r="B8" s="695" t="s">
        <v>594</v>
      </c>
      <c r="C8" s="695"/>
      <c r="D8" s="695"/>
      <c r="E8" s="695"/>
      <c r="F8" s="695"/>
      <c r="G8" s="695"/>
      <c r="H8" s="695"/>
      <c r="I8" s="695"/>
      <c r="J8" s="695"/>
      <c r="K8" s="695"/>
      <c r="L8" s="459"/>
    </row>
    <row r="9" spans="1:12">
      <c r="A9" s="459"/>
      <c r="L9" s="459"/>
    </row>
    <row r="10" spans="1:12">
      <c r="A10" s="459"/>
      <c r="B10" s="695" t="s">
        <v>595</v>
      </c>
      <c r="C10" s="695"/>
      <c r="D10" s="695"/>
      <c r="E10" s="695"/>
      <c r="F10" s="695"/>
      <c r="G10" s="695"/>
      <c r="H10" s="695"/>
      <c r="I10" s="695"/>
      <c r="J10" s="695"/>
      <c r="K10" s="695"/>
      <c r="L10" s="459"/>
    </row>
    <row r="11" spans="1:12">
      <c r="A11" s="459"/>
      <c r="B11" s="463"/>
      <c r="C11" s="463"/>
      <c r="D11" s="463"/>
      <c r="E11" s="463"/>
      <c r="F11" s="463"/>
      <c r="G11" s="463"/>
      <c r="H11" s="463"/>
      <c r="I11" s="463"/>
      <c r="J11" s="463"/>
      <c r="K11" s="463"/>
      <c r="L11" s="459"/>
    </row>
    <row r="12" spans="1:12" ht="32.25" customHeight="1">
      <c r="A12" s="459"/>
      <c r="B12" s="696" t="s">
        <v>596</v>
      </c>
      <c r="C12" s="696"/>
      <c r="D12" s="696"/>
      <c r="E12" s="696"/>
      <c r="F12" s="696"/>
      <c r="G12" s="696"/>
      <c r="H12" s="696"/>
      <c r="I12" s="696"/>
      <c r="J12" s="696"/>
      <c r="K12" s="696"/>
      <c r="L12" s="459"/>
    </row>
    <row r="13" spans="1:12">
      <c r="A13" s="459"/>
      <c r="L13" s="459"/>
    </row>
    <row r="14" spans="1:12">
      <c r="A14" s="459"/>
      <c r="B14" s="464" t="s">
        <v>597</v>
      </c>
      <c r="L14" s="459"/>
    </row>
    <row r="15" spans="1:12">
      <c r="A15" s="459"/>
      <c r="L15" s="459"/>
    </row>
    <row r="16" spans="1:12">
      <c r="A16" s="459"/>
      <c r="B16" s="461" t="s">
        <v>598</v>
      </c>
      <c r="L16" s="459"/>
    </row>
    <row r="17" spans="1:12">
      <c r="A17" s="459"/>
      <c r="B17" s="461" t="s">
        <v>599</v>
      </c>
      <c r="L17" s="459"/>
    </row>
    <row r="18" spans="1:12">
      <c r="A18" s="459"/>
      <c r="L18" s="459"/>
    </row>
    <row r="19" spans="1:12">
      <c r="A19" s="459"/>
      <c r="B19" s="464" t="s">
        <v>600</v>
      </c>
      <c r="L19" s="459"/>
    </row>
    <row r="20" spans="1:12">
      <c r="A20" s="459"/>
      <c r="B20" s="464"/>
      <c r="L20" s="459"/>
    </row>
    <row r="21" spans="1:12">
      <c r="A21" s="459"/>
      <c r="B21" s="461" t="s">
        <v>601</v>
      </c>
      <c r="L21" s="459"/>
    </row>
    <row r="22" spans="1:12">
      <c r="A22" s="459"/>
      <c r="L22" s="459"/>
    </row>
    <row r="23" spans="1:12">
      <c r="A23" s="459"/>
      <c r="B23" s="461" t="s">
        <v>602</v>
      </c>
      <c r="E23" s="461" t="s">
        <v>603</v>
      </c>
      <c r="F23" s="690">
        <v>133685008</v>
      </c>
      <c r="G23" s="690"/>
      <c r="L23" s="459"/>
    </row>
    <row r="24" spans="1:12">
      <c r="A24" s="459"/>
      <c r="L24" s="459"/>
    </row>
    <row r="25" spans="1:12">
      <c r="A25" s="459"/>
      <c r="C25" s="697">
        <f>F23</f>
        <v>133685008</v>
      </c>
      <c r="D25" s="697"/>
      <c r="E25" s="461" t="s">
        <v>604</v>
      </c>
      <c r="F25" s="465">
        <v>1000</v>
      </c>
      <c r="G25" s="465" t="s">
        <v>603</v>
      </c>
      <c r="H25" s="466">
        <f>F23/F25</f>
        <v>133685.008</v>
      </c>
      <c r="L25" s="459"/>
    </row>
    <row r="26" spans="1:12" ht="15" thickBot="1">
      <c r="A26" s="459"/>
      <c r="L26" s="459"/>
    </row>
    <row r="27" spans="1:12">
      <c r="A27" s="459"/>
      <c r="B27" s="467" t="s">
        <v>597</v>
      </c>
      <c r="C27" s="468"/>
      <c r="D27" s="468"/>
      <c r="E27" s="468"/>
      <c r="F27" s="468"/>
      <c r="G27" s="468"/>
      <c r="H27" s="468"/>
      <c r="I27" s="468"/>
      <c r="J27" s="468"/>
      <c r="K27" s="469"/>
      <c r="L27" s="459"/>
    </row>
    <row r="28" spans="1:12">
      <c r="A28" s="459"/>
      <c r="B28" s="470">
        <f>F23</f>
        <v>133685008</v>
      </c>
      <c r="C28" s="471" t="s">
        <v>605</v>
      </c>
      <c r="D28" s="471"/>
      <c r="E28" s="471" t="s">
        <v>604</v>
      </c>
      <c r="F28" s="472">
        <v>1000</v>
      </c>
      <c r="G28" s="472" t="s">
        <v>603</v>
      </c>
      <c r="H28" s="473">
        <f>B28/F28</f>
        <v>133685.008</v>
      </c>
      <c r="I28" s="471" t="s">
        <v>606</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698" t="s">
        <v>593</v>
      </c>
      <c r="C30" s="698"/>
      <c r="D30" s="698"/>
      <c r="E30" s="698"/>
      <c r="F30" s="698"/>
      <c r="G30" s="698"/>
      <c r="H30" s="698"/>
      <c r="I30" s="698"/>
      <c r="J30" s="698"/>
      <c r="K30" s="698"/>
      <c r="L30" s="459"/>
    </row>
    <row r="31" spans="1:12">
      <c r="A31" s="459"/>
      <c r="B31" s="695" t="s">
        <v>607</v>
      </c>
      <c r="C31" s="695"/>
      <c r="D31" s="695"/>
      <c r="E31" s="695"/>
      <c r="F31" s="695"/>
      <c r="G31" s="695"/>
      <c r="H31" s="695"/>
      <c r="I31" s="695"/>
      <c r="J31" s="695"/>
      <c r="K31" s="695"/>
      <c r="L31" s="459"/>
    </row>
    <row r="32" spans="1:12">
      <c r="A32" s="459"/>
      <c r="L32" s="459"/>
    </row>
    <row r="33" spans="1:12">
      <c r="A33" s="459"/>
      <c r="B33" s="695" t="s">
        <v>608</v>
      </c>
      <c r="C33" s="695"/>
      <c r="D33" s="695"/>
      <c r="E33" s="695"/>
      <c r="F33" s="695"/>
      <c r="G33" s="695"/>
      <c r="H33" s="695"/>
      <c r="I33" s="695"/>
      <c r="J33" s="695"/>
      <c r="K33" s="695"/>
      <c r="L33" s="459"/>
    </row>
    <row r="34" spans="1:12">
      <c r="A34" s="459"/>
      <c r="L34" s="459"/>
    </row>
    <row r="35" spans="1:12" ht="89.25" customHeight="1">
      <c r="A35" s="459"/>
      <c r="B35" s="696" t="s">
        <v>609</v>
      </c>
      <c r="C35" s="699"/>
      <c r="D35" s="699"/>
      <c r="E35" s="699"/>
      <c r="F35" s="699"/>
      <c r="G35" s="699"/>
      <c r="H35" s="699"/>
      <c r="I35" s="699"/>
      <c r="J35" s="699"/>
      <c r="K35" s="699"/>
      <c r="L35" s="459"/>
    </row>
    <row r="36" spans="1:12">
      <c r="A36" s="459"/>
      <c r="L36" s="459"/>
    </row>
    <row r="37" spans="1:12">
      <c r="A37" s="459"/>
      <c r="B37" s="464" t="s">
        <v>610</v>
      </c>
      <c r="L37" s="459"/>
    </row>
    <row r="38" spans="1:12">
      <c r="A38" s="459"/>
      <c r="L38" s="459"/>
    </row>
    <row r="39" spans="1:12">
      <c r="A39" s="459"/>
      <c r="B39" s="461" t="s">
        <v>611</v>
      </c>
      <c r="L39" s="459"/>
    </row>
    <row r="40" spans="1:12">
      <c r="A40" s="459"/>
      <c r="L40" s="459"/>
    </row>
    <row r="41" spans="1:12">
      <c r="A41" s="459"/>
      <c r="C41" s="700">
        <v>3120000</v>
      </c>
      <c r="D41" s="700"/>
      <c r="E41" s="461" t="s">
        <v>604</v>
      </c>
      <c r="F41" s="465">
        <v>1000</v>
      </c>
      <c r="G41" s="465" t="s">
        <v>603</v>
      </c>
      <c r="H41" s="478">
        <f>C41/F41</f>
        <v>3120</v>
      </c>
      <c r="L41" s="459"/>
    </row>
    <row r="42" spans="1:12">
      <c r="A42" s="459"/>
      <c r="L42" s="459"/>
    </row>
    <row r="43" spans="1:12">
      <c r="A43" s="459"/>
      <c r="B43" s="461" t="s">
        <v>612</v>
      </c>
      <c r="L43" s="459"/>
    </row>
    <row r="44" spans="1:12">
      <c r="A44" s="459"/>
      <c r="L44" s="459"/>
    </row>
    <row r="45" spans="1:12">
      <c r="A45" s="459"/>
      <c r="B45" s="461" t="s">
        <v>613</v>
      </c>
      <c r="L45" s="459"/>
    </row>
    <row r="46" spans="1:12" ht="15" thickBot="1">
      <c r="A46" s="459"/>
      <c r="L46" s="459"/>
    </row>
    <row r="47" spans="1:12">
      <c r="A47" s="459"/>
      <c r="B47" s="479" t="s">
        <v>597</v>
      </c>
      <c r="C47" s="468"/>
      <c r="D47" s="468"/>
      <c r="E47" s="468"/>
      <c r="F47" s="468"/>
      <c r="G47" s="468"/>
      <c r="H47" s="468"/>
      <c r="I47" s="468"/>
      <c r="J47" s="468"/>
      <c r="K47" s="469"/>
      <c r="L47" s="459"/>
    </row>
    <row r="48" spans="1:12">
      <c r="A48" s="459"/>
      <c r="B48" s="690">
        <v>133685008</v>
      </c>
      <c r="C48" s="690"/>
      <c r="D48" s="471" t="s">
        <v>614</v>
      </c>
      <c r="E48" s="471" t="s">
        <v>604</v>
      </c>
      <c r="F48" s="472">
        <v>1000</v>
      </c>
      <c r="G48" s="472" t="s">
        <v>603</v>
      </c>
      <c r="H48" s="473">
        <f>B48/F48</f>
        <v>133685.008</v>
      </c>
      <c r="I48" s="471" t="s">
        <v>615</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616</v>
      </c>
      <c r="D50" s="471"/>
      <c r="E50" s="471" t="s">
        <v>604</v>
      </c>
      <c r="F50" s="473">
        <f>H48</f>
        <v>133685.008</v>
      </c>
      <c r="G50" s="701" t="s">
        <v>617</v>
      </c>
      <c r="H50" s="702"/>
      <c r="I50" s="472" t="s">
        <v>603</v>
      </c>
      <c r="J50" s="482">
        <f>B50/F50</f>
        <v>52.869002334203401</v>
      </c>
      <c r="K50" s="474"/>
      <c r="L50" s="459"/>
    </row>
    <row r="51" spans="1:24" ht="15" thickBot="1">
      <c r="A51" s="459"/>
      <c r="B51" s="475"/>
      <c r="C51" s="476"/>
      <c r="D51" s="476"/>
      <c r="E51" s="476"/>
      <c r="F51" s="476"/>
      <c r="G51" s="476"/>
      <c r="H51" s="476"/>
      <c r="I51" s="703" t="s">
        <v>618</v>
      </c>
      <c r="J51" s="703"/>
      <c r="K51" s="704"/>
      <c r="L51" s="459"/>
      <c r="O51" s="483"/>
    </row>
    <row r="52" spans="1:24" ht="40.5" customHeight="1">
      <c r="A52" s="459"/>
      <c r="B52" s="698" t="s">
        <v>593</v>
      </c>
      <c r="C52" s="698"/>
      <c r="D52" s="698"/>
      <c r="E52" s="698"/>
      <c r="F52" s="698"/>
      <c r="G52" s="698"/>
      <c r="H52" s="698"/>
      <c r="I52" s="698"/>
      <c r="J52" s="698"/>
      <c r="K52" s="698"/>
      <c r="L52" s="459"/>
    </row>
    <row r="53" spans="1:24">
      <c r="A53" s="459"/>
      <c r="B53" s="695" t="s">
        <v>619</v>
      </c>
      <c r="C53" s="695"/>
      <c r="D53" s="695"/>
      <c r="E53" s="695"/>
      <c r="F53" s="695"/>
      <c r="G53" s="695"/>
      <c r="H53" s="695"/>
      <c r="I53" s="695"/>
      <c r="J53" s="695"/>
      <c r="K53" s="695"/>
      <c r="L53" s="459"/>
    </row>
    <row r="54" spans="1:24">
      <c r="A54" s="459"/>
      <c r="B54" s="463"/>
      <c r="C54" s="463"/>
      <c r="D54" s="463"/>
      <c r="E54" s="463"/>
      <c r="F54" s="463"/>
      <c r="G54" s="463"/>
      <c r="H54" s="463"/>
      <c r="I54" s="463"/>
      <c r="J54" s="463"/>
      <c r="K54" s="463"/>
      <c r="L54" s="459"/>
    </row>
    <row r="55" spans="1:24">
      <c r="A55" s="459"/>
      <c r="B55" s="691" t="s">
        <v>620</v>
      </c>
      <c r="C55" s="691"/>
      <c r="D55" s="691"/>
      <c r="E55" s="691"/>
      <c r="F55" s="691"/>
      <c r="G55" s="691"/>
      <c r="H55" s="691"/>
      <c r="I55" s="691"/>
      <c r="J55" s="691"/>
      <c r="K55" s="691"/>
      <c r="L55" s="459"/>
    </row>
    <row r="56" spans="1:24" ht="15" customHeight="1">
      <c r="A56" s="459"/>
      <c r="L56" s="459"/>
    </row>
    <row r="57" spans="1:24" ht="74.25" customHeight="1">
      <c r="A57" s="459"/>
      <c r="B57" s="696" t="s">
        <v>621</v>
      </c>
      <c r="C57" s="699"/>
      <c r="D57" s="699"/>
      <c r="E57" s="699"/>
      <c r="F57" s="699"/>
      <c r="G57" s="699"/>
      <c r="H57" s="699"/>
      <c r="I57" s="699"/>
      <c r="J57" s="699"/>
      <c r="K57" s="699"/>
      <c r="L57" s="459"/>
      <c r="M57" s="484"/>
      <c r="N57" s="485"/>
      <c r="O57" s="485"/>
      <c r="P57" s="485"/>
      <c r="Q57" s="485"/>
      <c r="R57" s="485"/>
      <c r="S57" s="485"/>
      <c r="T57" s="485"/>
      <c r="U57" s="485"/>
      <c r="V57" s="485"/>
      <c r="W57" s="485"/>
      <c r="X57" s="485"/>
    </row>
    <row r="58" spans="1:24" ht="15" customHeight="1">
      <c r="A58" s="459"/>
      <c r="B58" s="696"/>
      <c r="C58" s="699"/>
      <c r="D58" s="699"/>
      <c r="E58" s="699"/>
      <c r="F58" s="699"/>
      <c r="G58" s="699"/>
      <c r="H58" s="699"/>
      <c r="I58" s="699"/>
      <c r="J58" s="699"/>
      <c r="K58" s="699"/>
      <c r="L58" s="459"/>
      <c r="M58" s="484"/>
      <c r="N58" s="485"/>
      <c r="O58" s="485"/>
      <c r="P58" s="485"/>
      <c r="Q58" s="485"/>
      <c r="R58" s="485"/>
      <c r="S58" s="485"/>
      <c r="T58" s="485"/>
      <c r="U58" s="485"/>
      <c r="V58" s="485"/>
      <c r="W58" s="485"/>
      <c r="X58" s="485"/>
    </row>
    <row r="59" spans="1:24">
      <c r="A59" s="459"/>
      <c r="B59" s="464" t="s">
        <v>610</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622</v>
      </c>
      <c r="L61" s="459"/>
      <c r="M61" s="485"/>
      <c r="N61" s="485"/>
      <c r="O61" s="485"/>
      <c r="P61" s="485"/>
      <c r="Q61" s="485"/>
      <c r="R61" s="485"/>
      <c r="S61" s="485"/>
      <c r="T61" s="485"/>
      <c r="U61" s="485"/>
      <c r="V61" s="485"/>
      <c r="W61" s="485"/>
      <c r="X61" s="485"/>
    </row>
    <row r="62" spans="1:24">
      <c r="A62" s="459"/>
      <c r="B62" s="461" t="s">
        <v>623</v>
      </c>
      <c r="L62" s="459"/>
      <c r="M62" s="485"/>
      <c r="N62" s="485"/>
      <c r="O62" s="485"/>
      <c r="P62" s="485"/>
      <c r="Q62" s="485"/>
      <c r="R62" s="485"/>
      <c r="S62" s="485"/>
      <c r="T62" s="485"/>
      <c r="U62" s="485"/>
      <c r="V62" s="485"/>
      <c r="W62" s="485"/>
      <c r="X62" s="485"/>
    </row>
    <row r="63" spans="1:24">
      <c r="A63" s="459"/>
      <c r="B63" s="461" t="s">
        <v>624</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625</v>
      </c>
      <c r="L65" s="459"/>
      <c r="M65" s="485"/>
      <c r="N65" s="485"/>
      <c r="O65" s="485"/>
      <c r="P65" s="485"/>
      <c r="Q65" s="485"/>
      <c r="R65" s="485"/>
      <c r="S65" s="485"/>
      <c r="T65" s="485"/>
      <c r="U65" s="485"/>
      <c r="V65" s="485"/>
      <c r="W65" s="485"/>
      <c r="X65" s="485"/>
    </row>
    <row r="66" spans="1:24">
      <c r="A66" s="459"/>
      <c r="B66" s="461" t="s">
        <v>626</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627</v>
      </c>
      <c r="L68" s="459"/>
      <c r="M68" s="486"/>
      <c r="N68" s="487"/>
      <c r="O68" s="487"/>
      <c r="P68" s="487"/>
      <c r="Q68" s="487"/>
      <c r="R68" s="487"/>
      <c r="S68" s="487"/>
      <c r="T68" s="487"/>
      <c r="U68" s="487"/>
      <c r="V68" s="487"/>
      <c r="W68" s="487"/>
      <c r="X68" s="485"/>
    </row>
    <row r="69" spans="1:24">
      <c r="A69" s="459"/>
      <c r="B69" s="461" t="s">
        <v>628</v>
      </c>
      <c r="L69" s="459"/>
      <c r="M69" s="485"/>
      <c r="N69" s="485"/>
      <c r="O69" s="485"/>
      <c r="P69" s="485"/>
      <c r="Q69" s="485"/>
      <c r="R69" s="485"/>
      <c r="S69" s="485"/>
      <c r="T69" s="485"/>
      <c r="U69" s="485"/>
      <c r="V69" s="485"/>
      <c r="W69" s="485"/>
      <c r="X69" s="485"/>
    </row>
    <row r="70" spans="1:24">
      <c r="A70" s="459"/>
      <c r="B70" s="461" t="s">
        <v>629</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597</v>
      </c>
      <c r="C72" s="468"/>
      <c r="D72" s="468"/>
      <c r="E72" s="468"/>
      <c r="F72" s="468"/>
      <c r="G72" s="468"/>
      <c r="H72" s="468"/>
      <c r="I72" s="468"/>
      <c r="J72" s="468"/>
      <c r="K72" s="469"/>
      <c r="L72" s="488"/>
    </row>
    <row r="73" spans="1:24">
      <c r="A73" s="459"/>
      <c r="B73" s="480"/>
      <c r="C73" s="471" t="s">
        <v>605</v>
      </c>
      <c r="D73" s="471"/>
      <c r="E73" s="471"/>
      <c r="F73" s="471"/>
      <c r="G73" s="471"/>
      <c r="H73" s="471"/>
      <c r="I73" s="471"/>
      <c r="J73" s="471"/>
      <c r="K73" s="474"/>
      <c r="L73" s="488"/>
    </row>
    <row r="74" spans="1:24">
      <c r="A74" s="459"/>
      <c r="B74" s="480" t="s">
        <v>630</v>
      </c>
      <c r="C74" s="690">
        <v>133685008</v>
      </c>
      <c r="D74" s="690"/>
      <c r="E74" s="472" t="s">
        <v>604</v>
      </c>
      <c r="F74" s="472">
        <v>1000</v>
      </c>
      <c r="G74" s="472" t="s">
        <v>603</v>
      </c>
      <c r="H74" s="489">
        <f>C74/F74</f>
        <v>133685.008</v>
      </c>
      <c r="I74" s="471" t="s">
        <v>631</v>
      </c>
      <c r="J74" s="471"/>
      <c r="K74" s="474"/>
      <c r="L74" s="488"/>
    </row>
    <row r="75" spans="1:24">
      <c r="A75" s="459"/>
      <c r="B75" s="480"/>
      <c r="C75" s="471"/>
      <c r="D75" s="471"/>
      <c r="E75" s="472"/>
      <c r="F75" s="471"/>
      <c r="G75" s="471"/>
      <c r="H75" s="471"/>
      <c r="I75" s="471"/>
      <c r="J75" s="471"/>
      <c r="K75" s="474"/>
      <c r="L75" s="488"/>
    </row>
    <row r="76" spans="1:24">
      <c r="A76" s="459"/>
      <c r="B76" s="480"/>
      <c r="C76" s="471" t="s">
        <v>632</v>
      </c>
      <c r="D76" s="471"/>
      <c r="E76" s="472"/>
      <c r="F76" s="471" t="s">
        <v>631</v>
      </c>
      <c r="G76" s="471"/>
      <c r="H76" s="471"/>
      <c r="I76" s="471"/>
      <c r="J76" s="471"/>
      <c r="K76" s="474"/>
      <c r="L76" s="488"/>
    </row>
    <row r="77" spans="1:24">
      <c r="A77" s="459"/>
      <c r="B77" s="480" t="s">
        <v>633</v>
      </c>
      <c r="C77" s="690">
        <v>5000</v>
      </c>
      <c r="D77" s="690"/>
      <c r="E77" s="472" t="s">
        <v>604</v>
      </c>
      <c r="F77" s="489">
        <f>H74</f>
        <v>133685.008</v>
      </c>
      <c r="G77" s="472" t="s">
        <v>603</v>
      </c>
      <c r="H77" s="482">
        <f>C77/F77</f>
        <v>3.740135169083432E-2</v>
      </c>
      <c r="I77" s="471" t="s">
        <v>634</v>
      </c>
      <c r="J77" s="471"/>
      <c r="K77" s="474"/>
      <c r="L77" s="488"/>
    </row>
    <row r="78" spans="1:24">
      <c r="A78" s="459"/>
      <c r="B78" s="480"/>
      <c r="C78" s="471"/>
      <c r="D78" s="471"/>
      <c r="E78" s="472"/>
      <c r="F78" s="471"/>
      <c r="G78" s="471"/>
      <c r="H78" s="471"/>
      <c r="I78" s="471"/>
      <c r="J78" s="471"/>
      <c r="K78" s="474"/>
      <c r="L78" s="488"/>
    </row>
    <row r="79" spans="1:24">
      <c r="A79" s="459"/>
      <c r="B79" s="490"/>
      <c r="C79" s="491" t="s">
        <v>635</v>
      </c>
      <c r="D79" s="491"/>
      <c r="E79" s="492"/>
      <c r="F79" s="491"/>
      <c r="G79" s="491"/>
      <c r="H79" s="491"/>
      <c r="I79" s="491"/>
      <c r="J79" s="491"/>
      <c r="K79" s="493"/>
      <c r="L79" s="488"/>
    </row>
    <row r="80" spans="1:24">
      <c r="A80" s="459"/>
      <c r="B80" s="480" t="s">
        <v>636</v>
      </c>
      <c r="C80" s="690">
        <v>100000</v>
      </c>
      <c r="D80" s="690"/>
      <c r="E80" s="472" t="s">
        <v>21</v>
      </c>
      <c r="F80" s="472">
        <v>0.115</v>
      </c>
      <c r="G80" s="472" t="s">
        <v>603</v>
      </c>
      <c r="H80" s="489">
        <f>C80*F80</f>
        <v>11500</v>
      </c>
      <c r="I80" s="471" t="s">
        <v>637</v>
      </c>
      <c r="J80" s="471"/>
      <c r="K80" s="474"/>
      <c r="L80" s="488"/>
    </row>
    <row r="81" spans="1:12">
      <c r="A81" s="459"/>
      <c r="B81" s="480"/>
      <c r="C81" s="471"/>
      <c r="D81" s="471"/>
      <c r="E81" s="472"/>
      <c r="F81" s="471"/>
      <c r="G81" s="471"/>
      <c r="H81" s="471"/>
      <c r="I81" s="471"/>
      <c r="J81" s="471"/>
      <c r="K81" s="474"/>
      <c r="L81" s="488"/>
    </row>
    <row r="82" spans="1:12">
      <c r="A82" s="459"/>
      <c r="B82" s="490"/>
      <c r="C82" s="491" t="s">
        <v>638</v>
      </c>
      <c r="D82" s="491"/>
      <c r="E82" s="492"/>
      <c r="F82" s="491" t="s">
        <v>634</v>
      </c>
      <c r="G82" s="491"/>
      <c r="H82" s="491"/>
      <c r="I82" s="491"/>
      <c r="J82" s="491" t="s">
        <v>639</v>
      </c>
      <c r="K82" s="493"/>
      <c r="L82" s="488"/>
    </row>
    <row r="83" spans="1:12">
      <c r="A83" s="459"/>
      <c r="B83" s="480" t="s">
        <v>640</v>
      </c>
      <c r="C83" s="705">
        <f>H80</f>
        <v>11500</v>
      </c>
      <c r="D83" s="705"/>
      <c r="E83" s="472" t="s">
        <v>21</v>
      </c>
      <c r="F83" s="482">
        <f>H77</f>
        <v>3.740135169083432E-2</v>
      </c>
      <c r="G83" s="472" t="s">
        <v>604</v>
      </c>
      <c r="H83" s="472">
        <v>1000</v>
      </c>
      <c r="I83" s="472" t="s">
        <v>603</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698" t="s">
        <v>593</v>
      </c>
      <c r="C85" s="698"/>
      <c r="D85" s="698"/>
      <c r="E85" s="698"/>
      <c r="F85" s="698"/>
      <c r="G85" s="698"/>
      <c r="H85" s="698"/>
      <c r="I85" s="698"/>
      <c r="J85" s="698"/>
      <c r="K85" s="698"/>
      <c r="L85" s="459"/>
    </row>
    <row r="86" spans="1:12">
      <c r="A86" s="459"/>
      <c r="B86" s="691" t="s">
        <v>641</v>
      </c>
      <c r="C86" s="691"/>
      <c r="D86" s="691"/>
      <c r="E86" s="691"/>
      <c r="F86" s="691"/>
      <c r="G86" s="691"/>
      <c r="H86" s="691"/>
      <c r="I86" s="691"/>
      <c r="J86" s="691"/>
      <c r="K86" s="691"/>
      <c r="L86" s="459"/>
    </row>
    <row r="87" spans="1:12">
      <c r="A87" s="459"/>
      <c r="B87" s="499"/>
      <c r="C87" s="499"/>
      <c r="D87" s="499"/>
      <c r="E87" s="499"/>
      <c r="F87" s="499"/>
      <c r="G87" s="499"/>
      <c r="H87" s="499"/>
      <c r="I87" s="499"/>
      <c r="J87" s="499"/>
      <c r="K87" s="499"/>
      <c r="L87" s="459"/>
    </row>
    <row r="88" spans="1:12">
      <c r="A88" s="459"/>
      <c r="B88" s="691" t="s">
        <v>642</v>
      </c>
      <c r="C88" s="691"/>
      <c r="D88" s="691"/>
      <c r="E88" s="691"/>
      <c r="F88" s="691"/>
      <c r="G88" s="691"/>
      <c r="H88" s="691"/>
      <c r="I88" s="691"/>
      <c r="J88" s="691"/>
      <c r="K88" s="691"/>
      <c r="L88" s="459"/>
    </row>
    <row r="89" spans="1:12">
      <c r="A89" s="459"/>
      <c r="B89" s="500"/>
      <c r="C89" s="500"/>
      <c r="D89" s="500"/>
      <c r="E89" s="500"/>
      <c r="F89" s="500"/>
      <c r="G89" s="500"/>
      <c r="H89" s="500"/>
      <c r="I89" s="500"/>
      <c r="J89" s="500"/>
      <c r="K89" s="500"/>
      <c r="L89" s="459"/>
    </row>
    <row r="90" spans="1:12" ht="45" customHeight="1">
      <c r="A90" s="459"/>
      <c r="B90" s="696" t="s">
        <v>643</v>
      </c>
      <c r="C90" s="696"/>
      <c r="D90" s="696"/>
      <c r="E90" s="696"/>
      <c r="F90" s="696"/>
      <c r="G90" s="696"/>
      <c r="H90" s="696"/>
      <c r="I90" s="696"/>
      <c r="J90" s="696"/>
      <c r="K90" s="696"/>
      <c r="L90" s="459"/>
    </row>
    <row r="91" spans="1:12" ht="15" customHeight="1" thickBot="1">
      <c r="A91" s="459"/>
      <c r="L91" s="459"/>
    </row>
    <row r="92" spans="1:12" ht="15" customHeight="1">
      <c r="A92" s="459"/>
      <c r="B92" s="501" t="s">
        <v>597</v>
      </c>
      <c r="C92" s="502"/>
      <c r="D92" s="502"/>
      <c r="E92" s="502"/>
      <c r="F92" s="502"/>
      <c r="G92" s="502"/>
      <c r="H92" s="502"/>
      <c r="I92" s="502"/>
      <c r="J92" s="502"/>
      <c r="K92" s="503"/>
      <c r="L92" s="459"/>
    </row>
    <row r="93" spans="1:12" ht="15" customHeight="1">
      <c r="A93" s="459"/>
      <c r="B93" s="504"/>
      <c r="C93" s="505" t="s">
        <v>605</v>
      </c>
      <c r="D93" s="505"/>
      <c r="E93" s="505"/>
      <c r="F93" s="505"/>
      <c r="G93" s="505"/>
      <c r="H93" s="505"/>
      <c r="I93" s="505"/>
      <c r="J93" s="505"/>
      <c r="K93" s="506"/>
      <c r="L93" s="459"/>
    </row>
    <row r="94" spans="1:12" ht="15" customHeight="1">
      <c r="A94" s="459"/>
      <c r="B94" s="504" t="s">
        <v>630</v>
      </c>
      <c r="C94" s="690">
        <v>133685008</v>
      </c>
      <c r="D94" s="690"/>
      <c r="E94" s="472" t="s">
        <v>604</v>
      </c>
      <c r="F94" s="472">
        <v>1000</v>
      </c>
      <c r="G94" s="472" t="s">
        <v>603</v>
      </c>
      <c r="H94" s="489">
        <f>C94/F94</f>
        <v>133685.008</v>
      </c>
      <c r="I94" s="505" t="s">
        <v>631</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632</v>
      </c>
      <c r="D96" s="505"/>
      <c r="E96" s="472"/>
      <c r="F96" s="505" t="s">
        <v>631</v>
      </c>
      <c r="G96" s="505"/>
      <c r="H96" s="505"/>
      <c r="I96" s="505"/>
      <c r="J96" s="505"/>
      <c r="K96" s="506"/>
      <c r="L96" s="459"/>
    </row>
    <row r="97" spans="1:12" ht="15" customHeight="1">
      <c r="A97" s="459"/>
      <c r="B97" s="504" t="s">
        <v>633</v>
      </c>
      <c r="C97" s="690">
        <v>50000</v>
      </c>
      <c r="D97" s="690"/>
      <c r="E97" s="472" t="s">
        <v>604</v>
      </c>
      <c r="F97" s="489">
        <f>H94</f>
        <v>133685.008</v>
      </c>
      <c r="G97" s="472" t="s">
        <v>603</v>
      </c>
      <c r="H97" s="482">
        <f>C97/F97</f>
        <v>0.37401351690834322</v>
      </c>
      <c r="I97" s="505" t="s">
        <v>634</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644</v>
      </c>
      <c r="D99" s="508"/>
      <c r="E99" s="492"/>
      <c r="F99" s="508"/>
      <c r="G99" s="508"/>
      <c r="H99" s="508"/>
      <c r="I99" s="508"/>
      <c r="J99" s="508"/>
      <c r="K99" s="509"/>
      <c r="L99" s="459"/>
    </row>
    <row r="100" spans="1:12" ht="15" customHeight="1">
      <c r="A100" s="459"/>
      <c r="B100" s="504" t="s">
        <v>636</v>
      </c>
      <c r="C100" s="690">
        <v>2500000</v>
      </c>
      <c r="D100" s="690"/>
      <c r="E100" s="472" t="s">
        <v>21</v>
      </c>
      <c r="F100" s="510">
        <v>0.3</v>
      </c>
      <c r="G100" s="472" t="s">
        <v>603</v>
      </c>
      <c r="H100" s="489">
        <f>C100*F100</f>
        <v>750000</v>
      </c>
      <c r="I100" s="505" t="s">
        <v>637</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638</v>
      </c>
      <c r="D102" s="508"/>
      <c r="E102" s="492"/>
      <c r="F102" s="508" t="s">
        <v>634</v>
      </c>
      <c r="G102" s="508"/>
      <c r="H102" s="508"/>
      <c r="I102" s="508"/>
      <c r="J102" s="508" t="s">
        <v>639</v>
      </c>
      <c r="K102" s="509"/>
      <c r="L102" s="459"/>
    </row>
    <row r="103" spans="1:12" ht="15" customHeight="1">
      <c r="A103" s="459"/>
      <c r="B103" s="504" t="s">
        <v>640</v>
      </c>
      <c r="C103" s="705">
        <f>H100</f>
        <v>750000</v>
      </c>
      <c r="D103" s="705"/>
      <c r="E103" s="472" t="s">
        <v>21</v>
      </c>
      <c r="F103" s="482">
        <f>H97</f>
        <v>0.37401351690834322</v>
      </c>
      <c r="G103" s="472" t="s">
        <v>604</v>
      </c>
      <c r="H103" s="472">
        <v>1000</v>
      </c>
      <c r="I103" s="472" t="s">
        <v>603</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698" t="s">
        <v>593</v>
      </c>
      <c r="C105" s="706"/>
      <c r="D105" s="706"/>
      <c r="E105" s="706"/>
      <c r="F105" s="706"/>
      <c r="G105" s="706"/>
      <c r="H105" s="706"/>
      <c r="I105" s="706"/>
      <c r="J105" s="706"/>
      <c r="K105" s="706"/>
      <c r="L105" s="459"/>
    </row>
    <row r="106" spans="1:12" ht="15" customHeight="1">
      <c r="A106" s="459"/>
      <c r="B106" s="707" t="s">
        <v>645</v>
      </c>
      <c r="C106" s="692"/>
      <c r="D106" s="692"/>
      <c r="E106" s="692"/>
      <c r="F106" s="692"/>
      <c r="G106" s="692"/>
      <c r="H106" s="692"/>
      <c r="I106" s="692"/>
      <c r="J106" s="692"/>
      <c r="K106" s="692"/>
      <c r="L106" s="459"/>
    </row>
    <row r="107" spans="1:12" ht="15" customHeight="1">
      <c r="A107" s="459"/>
      <c r="B107" s="505"/>
      <c r="C107" s="513"/>
      <c r="D107" s="513"/>
      <c r="E107" s="472"/>
      <c r="F107" s="482"/>
      <c r="G107" s="472"/>
      <c r="H107" s="472"/>
      <c r="I107" s="472"/>
      <c r="J107" s="494"/>
      <c r="K107" s="505"/>
      <c r="L107" s="459"/>
    </row>
    <row r="108" spans="1:12" ht="15" customHeight="1">
      <c r="A108" s="459"/>
      <c r="B108" s="707" t="s">
        <v>646</v>
      </c>
      <c r="C108" s="708"/>
      <c r="D108" s="708"/>
      <c r="E108" s="708"/>
      <c r="F108" s="708"/>
      <c r="G108" s="708"/>
      <c r="H108" s="708"/>
      <c r="I108" s="708"/>
      <c r="J108" s="708"/>
      <c r="K108" s="708"/>
      <c r="L108" s="459"/>
    </row>
    <row r="109" spans="1:12" ht="15" customHeight="1">
      <c r="A109" s="459"/>
      <c r="B109" s="505"/>
      <c r="C109" s="513"/>
      <c r="D109" s="513"/>
      <c r="E109" s="472"/>
      <c r="F109" s="482"/>
      <c r="G109" s="472"/>
      <c r="H109" s="472"/>
      <c r="I109" s="472"/>
      <c r="J109" s="494"/>
      <c r="K109" s="505"/>
      <c r="L109" s="459"/>
    </row>
    <row r="110" spans="1:12" ht="59.25" customHeight="1">
      <c r="A110" s="459"/>
      <c r="B110" s="709" t="s">
        <v>647</v>
      </c>
      <c r="C110" s="699"/>
      <c r="D110" s="699"/>
      <c r="E110" s="699"/>
      <c r="F110" s="699"/>
      <c r="G110" s="699"/>
      <c r="H110" s="699"/>
      <c r="I110" s="699"/>
      <c r="J110" s="699"/>
      <c r="K110" s="699"/>
      <c r="L110" s="459"/>
    </row>
    <row r="111" spans="1:12" ht="15" thickBot="1">
      <c r="A111" s="459"/>
      <c r="B111" s="463"/>
      <c r="C111" s="463"/>
      <c r="D111" s="463"/>
      <c r="E111" s="463"/>
      <c r="F111" s="463"/>
      <c r="G111" s="463"/>
      <c r="H111" s="463"/>
      <c r="I111" s="463"/>
      <c r="J111" s="463"/>
      <c r="K111" s="463"/>
      <c r="L111" s="514"/>
    </row>
    <row r="112" spans="1:12">
      <c r="A112" s="459"/>
      <c r="B112" s="467" t="s">
        <v>597</v>
      </c>
      <c r="C112" s="468"/>
      <c r="D112" s="468"/>
      <c r="E112" s="468"/>
      <c r="F112" s="468"/>
      <c r="G112" s="468"/>
      <c r="H112" s="468"/>
      <c r="I112" s="468"/>
      <c r="J112" s="468"/>
      <c r="K112" s="469"/>
      <c r="L112" s="459"/>
    </row>
    <row r="113" spans="1:12">
      <c r="A113" s="459"/>
      <c r="B113" s="480"/>
      <c r="C113" s="471" t="s">
        <v>605</v>
      </c>
      <c r="D113" s="471"/>
      <c r="E113" s="471"/>
      <c r="F113" s="471"/>
      <c r="G113" s="471"/>
      <c r="H113" s="471"/>
      <c r="I113" s="471"/>
      <c r="J113" s="471"/>
      <c r="K113" s="474"/>
      <c r="L113" s="459"/>
    </row>
    <row r="114" spans="1:12">
      <c r="A114" s="459"/>
      <c r="B114" s="480" t="s">
        <v>630</v>
      </c>
      <c r="C114" s="690">
        <v>133685008</v>
      </c>
      <c r="D114" s="690"/>
      <c r="E114" s="472" t="s">
        <v>604</v>
      </c>
      <c r="F114" s="472">
        <v>1000</v>
      </c>
      <c r="G114" s="472" t="s">
        <v>603</v>
      </c>
      <c r="H114" s="489">
        <f>C114/F114</f>
        <v>133685.008</v>
      </c>
      <c r="I114" s="471" t="s">
        <v>631</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632</v>
      </c>
      <c r="D116" s="471"/>
      <c r="E116" s="472"/>
      <c r="F116" s="471" t="s">
        <v>631</v>
      </c>
      <c r="G116" s="471"/>
      <c r="H116" s="471"/>
      <c r="I116" s="471"/>
      <c r="J116" s="471"/>
      <c r="K116" s="474"/>
      <c r="L116" s="459"/>
    </row>
    <row r="117" spans="1:12">
      <c r="A117" s="459"/>
      <c r="B117" s="480" t="s">
        <v>633</v>
      </c>
      <c r="C117" s="690">
        <v>50000</v>
      </c>
      <c r="D117" s="690"/>
      <c r="E117" s="472" t="s">
        <v>604</v>
      </c>
      <c r="F117" s="489">
        <f>H114</f>
        <v>133685.008</v>
      </c>
      <c r="G117" s="472" t="s">
        <v>603</v>
      </c>
      <c r="H117" s="482">
        <f>C117/F117</f>
        <v>0.37401351690834322</v>
      </c>
      <c r="I117" s="471" t="s">
        <v>634</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644</v>
      </c>
      <c r="D119" s="491"/>
      <c r="E119" s="492"/>
      <c r="F119" s="491"/>
      <c r="G119" s="491"/>
      <c r="H119" s="491"/>
      <c r="I119" s="491"/>
      <c r="J119" s="491"/>
      <c r="K119" s="493"/>
      <c r="L119" s="459"/>
    </row>
    <row r="120" spans="1:12">
      <c r="A120" s="459"/>
      <c r="B120" s="480" t="s">
        <v>636</v>
      </c>
      <c r="C120" s="690">
        <v>2500000</v>
      </c>
      <c r="D120" s="690"/>
      <c r="E120" s="472" t="s">
        <v>21</v>
      </c>
      <c r="F120" s="510">
        <v>0.25</v>
      </c>
      <c r="G120" s="472" t="s">
        <v>603</v>
      </c>
      <c r="H120" s="489">
        <f>C120*F120</f>
        <v>625000</v>
      </c>
      <c r="I120" s="471" t="s">
        <v>637</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638</v>
      </c>
      <c r="D122" s="491"/>
      <c r="E122" s="492"/>
      <c r="F122" s="491" t="s">
        <v>634</v>
      </c>
      <c r="G122" s="491"/>
      <c r="H122" s="491"/>
      <c r="I122" s="491"/>
      <c r="J122" s="491" t="s">
        <v>639</v>
      </c>
      <c r="K122" s="493"/>
      <c r="L122" s="459"/>
    </row>
    <row r="123" spans="1:12">
      <c r="A123" s="459"/>
      <c r="B123" s="480" t="s">
        <v>640</v>
      </c>
      <c r="C123" s="705">
        <f>H120</f>
        <v>625000</v>
      </c>
      <c r="D123" s="705"/>
      <c r="E123" s="472" t="s">
        <v>21</v>
      </c>
      <c r="F123" s="482">
        <f>H117</f>
        <v>0.37401351690834322</v>
      </c>
      <c r="G123" s="472" t="s">
        <v>604</v>
      </c>
      <c r="H123" s="472">
        <v>1000</v>
      </c>
      <c r="I123" s="472" t="s">
        <v>603</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698" t="s">
        <v>593</v>
      </c>
      <c r="C125" s="698"/>
      <c r="D125" s="698"/>
      <c r="E125" s="698"/>
      <c r="F125" s="698"/>
      <c r="G125" s="698"/>
      <c r="H125" s="698"/>
      <c r="I125" s="698"/>
      <c r="J125" s="698"/>
      <c r="K125" s="698"/>
      <c r="L125" s="514"/>
    </row>
    <row r="126" spans="1:12">
      <c r="A126" s="459"/>
      <c r="B126" s="691" t="s">
        <v>648</v>
      </c>
      <c r="C126" s="691"/>
      <c r="D126" s="691"/>
      <c r="E126" s="691"/>
      <c r="F126" s="691"/>
      <c r="G126" s="691"/>
      <c r="H126" s="691"/>
      <c r="I126" s="691"/>
      <c r="J126" s="691"/>
      <c r="K126" s="691"/>
      <c r="L126" s="514"/>
    </row>
    <row r="127" spans="1:12">
      <c r="A127" s="459"/>
      <c r="B127" s="463"/>
      <c r="C127" s="463"/>
      <c r="D127" s="463"/>
      <c r="E127" s="463"/>
      <c r="F127" s="463"/>
      <c r="G127" s="463"/>
      <c r="H127" s="463"/>
      <c r="I127" s="463"/>
      <c r="J127" s="463"/>
      <c r="K127" s="463"/>
      <c r="L127" s="514"/>
    </row>
    <row r="128" spans="1:12">
      <c r="A128" s="459"/>
      <c r="B128" s="691" t="s">
        <v>649</v>
      </c>
      <c r="C128" s="691"/>
      <c r="D128" s="691"/>
      <c r="E128" s="691"/>
      <c r="F128" s="691"/>
      <c r="G128" s="691"/>
      <c r="H128" s="691"/>
      <c r="I128" s="691"/>
      <c r="J128" s="691"/>
      <c r="K128" s="691"/>
      <c r="L128" s="514"/>
    </row>
    <row r="129" spans="1:12">
      <c r="A129" s="459"/>
      <c r="B129" s="500"/>
      <c r="C129" s="500"/>
      <c r="D129" s="500"/>
      <c r="E129" s="500"/>
      <c r="F129" s="500"/>
      <c r="G129" s="500"/>
      <c r="H129" s="500"/>
      <c r="I129" s="500"/>
      <c r="J129" s="500"/>
      <c r="K129" s="500"/>
      <c r="L129" s="514"/>
    </row>
    <row r="130" spans="1:12" ht="74.25" customHeight="1">
      <c r="A130" s="459"/>
      <c r="B130" s="696" t="s">
        <v>650</v>
      </c>
      <c r="C130" s="696"/>
      <c r="D130" s="696"/>
      <c r="E130" s="696"/>
      <c r="F130" s="696"/>
      <c r="G130" s="696"/>
      <c r="H130" s="696"/>
      <c r="I130" s="696"/>
      <c r="J130" s="696"/>
      <c r="K130" s="696"/>
      <c r="L130" s="514"/>
    </row>
    <row r="131" spans="1:12" ht="15" thickBot="1">
      <c r="A131" s="459"/>
      <c r="L131" s="459"/>
    </row>
    <row r="132" spans="1:12">
      <c r="A132" s="459"/>
      <c r="B132" s="467" t="s">
        <v>597</v>
      </c>
      <c r="C132" s="468"/>
      <c r="D132" s="468"/>
      <c r="E132" s="468"/>
      <c r="F132" s="468"/>
      <c r="G132" s="468"/>
      <c r="H132" s="468"/>
      <c r="I132" s="468"/>
      <c r="J132" s="468"/>
      <c r="K132" s="469"/>
      <c r="L132" s="459"/>
    </row>
    <row r="133" spans="1:12">
      <c r="A133" s="459"/>
      <c r="B133" s="480"/>
      <c r="C133" s="713" t="s">
        <v>651</v>
      </c>
      <c r="D133" s="713"/>
      <c r="E133" s="471"/>
      <c r="F133" s="472" t="s">
        <v>652</v>
      </c>
      <c r="G133" s="471"/>
      <c r="H133" s="713" t="s">
        <v>637</v>
      </c>
      <c r="I133" s="713"/>
      <c r="J133" s="471"/>
      <c r="K133" s="474"/>
      <c r="L133" s="459"/>
    </row>
    <row r="134" spans="1:12">
      <c r="A134" s="459"/>
      <c r="B134" s="480" t="s">
        <v>630</v>
      </c>
      <c r="C134" s="690">
        <v>100000</v>
      </c>
      <c r="D134" s="690"/>
      <c r="E134" s="472" t="s">
        <v>21</v>
      </c>
      <c r="F134" s="472">
        <v>0.115</v>
      </c>
      <c r="G134" s="472" t="s">
        <v>603</v>
      </c>
      <c r="H134" s="711">
        <f>C134*F134</f>
        <v>11500</v>
      </c>
      <c r="I134" s="711"/>
      <c r="J134" s="471"/>
      <c r="K134" s="474"/>
      <c r="L134" s="459"/>
    </row>
    <row r="135" spans="1:12">
      <c r="A135" s="459"/>
      <c r="B135" s="480"/>
      <c r="C135" s="471"/>
      <c r="D135" s="471"/>
      <c r="E135" s="471"/>
      <c r="F135" s="471"/>
      <c r="G135" s="471"/>
      <c r="H135" s="471"/>
      <c r="I135" s="471"/>
      <c r="J135" s="471"/>
      <c r="K135" s="474"/>
      <c r="L135" s="459"/>
    </row>
    <row r="136" spans="1:12">
      <c r="A136" s="459"/>
      <c r="B136" s="490"/>
      <c r="C136" s="714" t="s">
        <v>637</v>
      </c>
      <c r="D136" s="714"/>
      <c r="E136" s="491"/>
      <c r="F136" s="492" t="s">
        <v>653</v>
      </c>
      <c r="G136" s="492"/>
      <c r="H136" s="491"/>
      <c r="I136" s="491"/>
      <c r="J136" s="491" t="s">
        <v>654</v>
      </c>
      <c r="K136" s="493"/>
      <c r="L136" s="459"/>
    </row>
    <row r="137" spans="1:12">
      <c r="A137" s="459"/>
      <c r="B137" s="480" t="s">
        <v>633</v>
      </c>
      <c r="C137" s="711">
        <f>H134</f>
        <v>11500</v>
      </c>
      <c r="D137" s="711"/>
      <c r="E137" s="472" t="s">
        <v>21</v>
      </c>
      <c r="F137" s="515">
        <v>52.869</v>
      </c>
      <c r="G137" s="472" t="s">
        <v>604</v>
      </c>
      <c r="H137" s="472">
        <v>1000</v>
      </c>
      <c r="I137" s="472" t="s">
        <v>603</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593</v>
      </c>
      <c r="C139" s="521"/>
      <c r="D139" s="521"/>
      <c r="E139" s="522"/>
      <c r="F139" s="523"/>
      <c r="G139" s="522"/>
      <c r="H139" s="522"/>
      <c r="I139" s="522"/>
      <c r="J139" s="524"/>
      <c r="K139" s="525"/>
      <c r="L139" s="459"/>
    </row>
    <row r="140" spans="1:12">
      <c r="A140" s="459"/>
      <c r="B140" s="526" t="s">
        <v>655</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656</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715" t="s">
        <v>657</v>
      </c>
      <c r="C144" s="716"/>
      <c r="D144" s="716"/>
      <c r="E144" s="716"/>
      <c r="F144" s="716"/>
      <c r="G144" s="716"/>
      <c r="H144" s="716"/>
      <c r="I144" s="716"/>
      <c r="J144" s="716"/>
      <c r="K144" s="717"/>
      <c r="L144" s="459"/>
    </row>
    <row r="145" spans="1:12" ht="15" thickBot="1">
      <c r="A145" s="459"/>
      <c r="B145" s="480"/>
      <c r="C145" s="489"/>
      <c r="D145" s="489"/>
      <c r="E145" s="472"/>
      <c r="F145" s="532"/>
      <c r="G145" s="472"/>
      <c r="H145" s="472"/>
      <c r="I145" s="472"/>
      <c r="J145" s="516"/>
      <c r="K145" s="474"/>
      <c r="L145" s="459"/>
    </row>
    <row r="146" spans="1:12">
      <c r="A146" s="459"/>
      <c r="B146" s="467" t="s">
        <v>597</v>
      </c>
      <c r="C146" s="533"/>
      <c r="D146" s="533"/>
      <c r="E146" s="534"/>
      <c r="F146" s="535"/>
      <c r="G146" s="534"/>
      <c r="H146" s="534"/>
      <c r="I146" s="534"/>
      <c r="J146" s="536"/>
      <c r="K146" s="469"/>
      <c r="L146" s="459"/>
    </row>
    <row r="147" spans="1:12">
      <c r="A147" s="459"/>
      <c r="B147" s="480"/>
      <c r="C147" s="711" t="s">
        <v>658</v>
      </c>
      <c r="D147" s="711"/>
      <c r="E147" s="472"/>
      <c r="F147" s="532" t="s">
        <v>659</v>
      </c>
      <c r="G147" s="472"/>
      <c r="H147" s="472"/>
      <c r="I147" s="472"/>
      <c r="J147" s="718" t="s">
        <v>660</v>
      </c>
      <c r="K147" s="719"/>
      <c r="L147" s="459"/>
    </row>
    <row r="148" spans="1:12">
      <c r="A148" s="459"/>
      <c r="B148" s="480"/>
      <c r="C148" s="710">
        <v>52.869</v>
      </c>
      <c r="D148" s="710"/>
      <c r="E148" s="472" t="s">
        <v>21</v>
      </c>
      <c r="F148" s="537">
        <v>133685008</v>
      </c>
      <c r="G148" s="538" t="s">
        <v>604</v>
      </c>
      <c r="H148" s="472">
        <v>1000</v>
      </c>
      <c r="I148" s="472" t="s">
        <v>603</v>
      </c>
      <c r="J148" s="711">
        <f>C148*(F148/1000)</f>
        <v>7067792.6879519997</v>
      </c>
      <c r="K148" s="712"/>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661</v>
      </c>
    </row>
    <row r="3" spans="1:1" ht="31.5">
      <c r="A3" s="541" t="s">
        <v>662</v>
      </c>
    </row>
    <row r="4" spans="1:1" ht="15.75">
      <c r="A4" s="542" t="s">
        <v>663</v>
      </c>
    </row>
    <row r="7" spans="1:1" ht="31.5">
      <c r="A7" s="541" t="s">
        <v>664</v>
      </c>
    </row>
    <row r="8" spans="1:1" ht="15.75">
      <c r="A8" s="542" t="s">
        <v>665</v>
      </c>
    </row>
    <row r="11" spans="1:1" ht="15.75">
      <c r="A11" s="543" t="s">
        <v>666</v>
      </c>
    </row>
    <row r="12" spans="1:1" ht="15.75">
      <c r="A12" s="542" t="s">
        <v>667</v>
      </c>
    </row>
    <row r="15" spans="1:1" ht="15.75">
      <c r="A15" s="543" t="s">
        <v>668</v>
      </c>
    </row>
    <row r="16" spans="1:1" ht="15.75">
      <c r="A16" s="542" t="s">
        <v>669</v>
      </c>
    </row>
    <row r="19" spans="1:1" ht="15.75">
      <c r="A19" s="543" t="s">
        <v>670</v>
      </c>
    </row>
    <row r="20" spans="1:1" ht="15.75">
      <c r="A20" s="542" t="s">
        <v>671</v>
      </c>
    </row>
    <row r="23" spans="1:1" ht="15.75">
      <c r="A23" s="543" t="s">
        <v>672</v>
      </c>
    </row>
    <row r="24" spans="1:1" ht="15.75">
      <c r="A24" s="542" t="s">
        <v>673</v>
      </c>
    </row>
    <row r="27" spans="1:1" ht="15.75">
      <c r="A27" s="543" t="s">
        <v>674</v>
      </c>
    </row>
    <row r="28" spans="1:1" ht="15.75">
      <c r="A28" s="542" t="s">
        <v>675</v>
      </c>
    </row>
    <row r="31" spans="1:1" ht="15.75">
      <c r="A31" s="543" t="s">
        <v>676</v>
      </c>
    </row>
    <row r="32" spans="1:1" ht="15.75">
      <c r="A32" s="542" t="s">
        <v>677</v>
      </c>
    </row>
    <row r="35" spans="1:1" ht="15.75">
      <c r="A35" s="543" t="s">
        <v>678</v>
      </c>
    </row>
    <row r="36" spans="1:1" ht="15.75">
      <c r="A36" s="542" t="s">
        <v>679</v>
      </c>
    </row>
    <row r="39" spans="1:1" ht="15.75">
      <c r="A39" s="543" t="s">
        <v>680</v>
      </c>
    </row>
    <row r="40" spans="1:1" ht="15.75">
      <c r="A40" s="542" t="s">
        <v>681</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682</v>
      </c>
    </row>
    <row r="2" spans="1:1">
      <c r="A2" s="600" t="s">
        <v>694</v>
      </c>
    </row>
    <row r="3" spans="1:1">
      <c r="A3" s="600" t="s">
        <v>695</v>
      </c>
    </row>
    <row r="4" spans="1:1" ht="31.5">
      <c r="A4" s="601" t="s">
        <v>696</v>
      </c>
    </row>
    <row r="5" spans="1:1">
      <c r="A5" s="600" t="s">
        <v>697</v>
      </c>
    </row>
    <row r="6" spans="1:1">
      <c r="A6" s="600" t="s">
        <v>698</v>
      </c>
    </row>
    <row r="7" spans="1:1">
      <c r="A7" s="600" t="s">
        <v>699</v>
      </c>
    </row>
    <row r="8" spans="1:1">
      <c r="A8" s="600" t="s">
        <v>700</v>
      </c>
    </row>
    <row r="9" spans="1:1">
      <c r="A9" s="600" t="s">
        <v>701</v>
      </c>
    </row>
    <row r="10" spans="1:1">
      <c r="A10" s="600" t="s">
        <v>702</v>
      </c>
    </row>
    <row r="11" spans="1:1">
      <c r="A11" s="600" t="s">
        <v>703</v>
      </c>
    </row>
    <row r="12" spans="1:1">
      <c r="A12" s="600" t="s">
        <v>704</v>
      </c>
    </row>
    <row r="13" spans="1:1">
      <c r="A13" s="600" t="s">
        <v>705</v>
      </c>
    </row>
    <row r="14" spans="1:1">
      <c r="A14" s="600" t="s">
        <v>706</v>
      </c>
    </row>
    <row r="15" spans="1:1">
      <c r="A15" s="600" t="s">
        <v>707</v>
      </c>
    </row>
    <row r="16" spans="1:1">
      <c r="A16" s="600" t="s">
        <v>708</v>
      </c>
    </row>
    <row r="17" spans="1:1">
      <c r="A17" s="600" t="s">
        <v>709</v>
      </c>
    </row>
    <row r="18" spans="1:1">
      <c r="A18" s="600" t="s">
        <v>710</v>
      </c>
    </row>
    <row r="19" spans="1:1">
      <c r="A19" s="600" t="s">
        <v>711</v>
      </c>
    </row>
    <row r="20" spans="1:1">
      <c r="A20" s="600" t="s">
        <v>712</v>
      </c>
    </row>
    <row r="21" spans="1:1">
      <c r="A21" s="600" t="s">
        <v>713</v>
      </c>
    </row>
    <row r="22" spans="1:1">
      <c r="A22" s="600" t="s">
        <v>714</v>
      </c>
    </row>
    <row r="23" spans="1:1">
      <c r="A23" s="600" t="s">
        <v>715</v>
      </c>
    </row>
    <row r="24" spans="1:1">
      <c r="A24" s="600" t="s">
        <v>716</v>
      </c>
    </row>
    <row r="25" spans="1:1">
      <c r="A25" s="600"/>
    </row>
    <row r="26" spans="1:1">
      <c r="A26" s="420" t="s">
        <v>577</v>
      </c>
    </row>
    <row r="27" spans="1:1">
      <c r="A27" s="142" t="s">
        <v>580</v>
      </c>
    </row>
    <row r="28" spans="1:1">
      <c r="A28" s="142" t="s">
        <v>578</v>
      </c>
    </row>
    <row r="29" spans="1:1">
      <c r="A29" s="142" t="s">
        <v>579</v>
      </c>
    </row>
    <row r="31" spans="1:1">
      <c r="A31" s="429" t="s">
        <v>569</v>
      </c>
    </row>
    <row r="32" spans="1:1">
      <c r="A32" s="142" t="s">
        <v>576</v>
      </c>
    </row>
    <row r="34" spans="1:1">
      <c r="A34" s="420" t="s">
        <v>562</v>
      </c>
    </row>
    <row r="35" spans="1:1">
      <c r="A35" s="421" t="s">
        <v>563</v>
      </c>
    </row>
    <row r="36" spans="1:1">
      <c r="A36" s="421" t="s">
        <v>564</v>
      </c>
    </row>
    <row r="37" spans="1:1">
      <c r="A37" s="421" t="s">
        <v>565</v>
      </c>
    </row>
    <row r="38" spans="1:1">
      <c r="A38" s="142" t="s">
        <v>566</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2011-02-09T20:40:24Z</cp:lastPrinted>
  <dcterms:created xsi:type="dcterms:W3CDTF">1999-08-06T13:59:57Z</dcterms:created>
  <dcterms:modified xsi:type="dcterms:W3CDTF">2012-11-08T21:41:47Z</dcterms:modified>
</cp:coreProperties>
</file>