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45" windowWidth="12000" windowHeight="6270"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Statutes" sheetId="18" r:id="rId10"/>
    <sheet name="debt" sheetId="9" r:id="rId11"/>
    <sheet name="gen" sheetId="4" r:id="rId12"/>
    <sheet name="debt 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4">cert!$A$2:$G$66</definedName>
    <definedName name="_xlnm.Print_Area" localSheetId="12">'debt service'!$B$1:$E$63</definedName>
    <definedName name="_xlnm.Print_Area" localSheetId="11">gen!$B$1:$F$74</definedName>
    <definedName name="_xlnm.Print_Area" localSheetId="17">summ!$A$1:$I$25</definedName>
  </definedNames>
  <calcPr calcId="125725"/>
</workbook>
</file>

<file path=xl/calcChain.xml><?xml version="1.0" encoding="utf-8"?>
<calcChain xmlns="http://schemas.openxmlformats.org/spreadsheetml/2006/main">
  <c r="D37" i="5"/>
  <c r="D73"/>
  <c r="D60" i="15"/>
  <c r="D67" i="4"/>
  <c r="J148" i="26"/>
  <c r="H134"/>
  <c r="C137"/>
  <c r="J137"/>
  <c r="C123"/>
  <c r="H120"/>
  <c r="H114"/>
  <c r="F117"/>
  <c r="H117"/>
  <c r="F123"/>
  <c r="H100"/>
  <c r="C103"/>
  <c r="F97"/>
  <c r="H97"/>
  <c r="F103"/>
  <c r="H94"/>
  <c r="C83"/>
  <c r="H80"/>
  <c r="H74"/>
  <c r="F77"/>
  <c r="H77"/>
  <c r="F83"/>
  <c r="F50"/>
  <c r="J50"/>
  <c r="H48"/>
  <c r="H41"/>
  <c r="B28"/>
  <c r="H28"/>
  <c r="H25"/>
  <c r="C25"/>
  <c r="A8" i="24"/>
  <c r="A46" i="23"/>
  <c r="A41"/>
  <c r="A6"/>
  <c r="A38" i="22"/>
  <c r="A33"/>
  <c r="A19"/>
  <c r="A6"/>
  <c r="A34" i="21"/>
  <c r="A33"/>
  <c r="A6"/>
  <c r="A64" i="20"/>
  <c r="A61"/>
  <c r="A33"/>
  <c r="A28"/>
  <c r="A25"/>
  <c r="A16"/>
  <c r="A6"/>
  <c r="A6" i="8"/>
  <c r="A8"/>
  <c r="C14" i="7"/>
  <c r="C13"/>
  <c r="C12"/>
  <c r="C11"/>
  <c r="D22" i="2"/>
  <c r="E29"/>
  <c r="D20" i="8" s="1"/>
  <c r="D33" i="6"/>
  <c r="D34"/>
  <c r="C33"/>
  <c r="D67"/>
  <c r="D68" s="1"/>
  <c r="C67"/>
  <c r="F3"/>
  <c r="B33" s="1"/>
  <c r="C65"/>
  <c r="C53"/>
  <c r="C54"/>
  <c r="D65"/>
  <c r="E65"/>
  <c r="D53"/>
  <c r="E53"/>
  <c r="C31"/>
  <c r="C19"/>
  <c r="C20"/>
  <c r="C32"/>
  <c r="D31"/>
  <c r="D19"/>
  <c r="E19"/>
  <c r="E31"/>
  <c r="C67" i="5"/>
  <c r="C68"/>
  <c r="D43"/>
  <c r="C56"/>
  <c r="C57"/>
  <c r="D45"/>
  <c r="D56" s="1"/>
  <c r="D67"/>
  <c r="E69" i="14"/>
  <c r="E17" i="7" s="1"/>
  <c r="E76" i="14"/>
  <c r="E19" i="7" s="1"/>
  <c r="E83" i="14"/>
  <c r="E21" i="7" s="1"/>
  <c r="E90" i="14"/>
  <c r="E23" i="7"/>
  <c r="D33" i="5"/>
  <c r="D9"/>
  <c r="C33"/>
  <c r="D20"/>
  <c r="D19" s="1"/>
  <c r="C20"/>
  <c r="C21"/>
  <c r="C31"/>
  <c r="C32"/>
  <c r="D31"/>
  <c r="F3"/>
  <c r="C74" s="1"/>
  <c r="D69"/>
  <c r="D84"/>
  <c r="C69"/>
  <c r="E14" i="4"/>
  <c r="D9"/>
  <c r="D33"/>
  <c r="C61"/>
  <c r="G60" s="1"/>
  <c r="C33"/>
  <c r="C34" s="1"/>
  <c r="D61"/>
  <c r="G55" s="1"/>
  <c r="D9" i="15"/>
  <c r="D30" s="1"/>
  <c r="C54"/>
  <c r="G58"/>
  <c r="C30"/>
  <c r="C31"/>
  <c r="D54"/>
  <c r="G53"/>
  <c r="D56"/>
  <c r="D69"/>
  <c r="C56"/>
  <c r="E1"/>
  <c r="H59" s="1"/>
  <c r="D63" i="4"/>
  <c r="C63"/>
  <c r="F3"/>
  <c r="G65" s="1"/>
  <c r="A28" i="3"/>
  <c r="I5" i="17"/>
  <c r="G5"/>
  <c r="E5"/>
  <c r="C5"/>
  <c r="A5"/>
  <c r="K1"/>
  <c r="F2" s="1"/>
  <c r="J6" i="10"/>
  <c r="J5"/>
  <c r="J7"/>
  <c r="D41" i="2"/>
  <c r="E22"/>
  <c r="D33"/>
  <c r="A33"/>
  <c r="A29"/>
  <c r="A50"/>
  <c r="A51"/>
  <c r="J28" i="17"/>
  <c r="J29"/>
  <c r="H28"/>
  <c r="F28"/>
  <c r="D28" i="3"/>
  <c r="A1" i="17"/>
  <c r="K7"/>
  <c r="B17"/>
  <c r="D17"/>
  <c r="D18"/>
  <c r="F17"/>
  <c r="H17"/>
  <c r="H18"/>
  <c r="H29"/>
  <c r="H30"/>
  <c r="J17"/>
  <c r="B28"/>
  <c r="B29"/>
  <c r="D28"/>
  <c r="J18"/>
  <c r="F18"/>
  <c r="B18"/>
  <c r="C68" i="4"/>
  <c r="E6" i="6"/>
  <c r="E40" s="1"/>
  <c r="D6"/>
  <c r="C6"/>
  <c r="C40" s="1"/>
  <c r="E12" i="16"/>
  <c r="E11"/>
  <c r="E19" i="14"/>
  <c r="G11" i="10" s="1"/>
  <c r="E26" i="14"/>
  <c r="E14" i="10" s="1"/>
  <c r="E40" i="14"/>
  <c r="E15" i="10" s="1"/>
  <c r="E33" i="14"/>
  <c r="G18" i="10" s="1"/>
  <c r="E12" i="14"/>
  <c r="E22" i="10" s="1"/>
  <c r="A34" i="14"/>
  <c r="A20"/>
  <c r="A89"/>
  <c r="A88"/>
  <c r="A87"/>
  <c r="A86"/>
  <c r="A85"/>
  <c r="D32" i="3"/>
  <c r="D31"/>
  <c r="D23"/>
  <c r="F39"/>
  <c r="J1" i="10"/>
  <c r="B18" s="1"/>
  <c r="D20" i="16"/>
  <c r="D22" s="1"/>
  <c r="F1"/>
  <c r="A16" s="1"/>
  <c r="B10"/>
  <c r="B9"/>
  <c r="B8"/>
  <c r="B7"/>
  <c r="E18" i="6"/>
  <c r="D18"/>
  <c r="C18"/>
  <c r="E30"/>
  <c r="C30"/>
  <c r="E52"/>
  <c r="D52"/>
  <c r="C52"/>
  <c r="E64"/>
  <c r="D64"/>
  <c r="C64"/>
  <c r="C30" i="5"/>
  <c r="C55"/>
  <c r="D66"/>
  <c r="C66"/>
  <c r="C29" i="15"/>
  <c r="D53"/>
  <c r="C53"/>
  <c r="C32" i="4"/>
  <c r="C60"/>
  <c r="A1" i="16"/>
  <c r="D11"/>
  <c r="D12"/>
  <c r="C13"/>
  <c r="A114" i="14"/>
  <c r="A113"/>
  <c r="A112"/>
  <c r="A111"/>
  <c r="A110"/>
  <c r="A109"/>
  <c r="E1"/>
  <c r="A106" s="1"/>
  <c r="J2" i="7"/>
  <c r="C9" s="1"/>
  <c r="B21" i="8"/>
  <c r="E60" i="14"/>
  <c r="D21" i="8" s="1"/>
  <c r="A16"/>
  <c r="A59" i="14"/>
  <c r="A58"/>
  <c r="A57"/>
  <c r="A56"/>
  <c r="A55"/>
  <c r="D30" i="3"/>
  <c r="F21" i="8"/>
  <c r="D16"/>
  <c r="D17" s="1"/>
  <c r="D19" s="1"/>
  <c r="B16"/>
  <c r="B20"/>
  <c r="D52" i="14"/>
  <c r="A27"/>
  <c r="A13"/>
  <c r="A6"/>
  <c r="A44"/>
  <c r="A40"/>
  <c r="A33"/>
  <c r="A26"/>
  <c r="A19"/>
  <c r="A12"/>
  <c r="B31" i="12"/>
  <c r="B27"/>
  <c r="B23"/>
  <c r="B19"/>
  <c r="B10"/>
  <c r="B9"/>
  <c r="B5"/>
  <c r="J6"/>
  <c r="F41" i="9"/>
  <c r="E20"/>
  <c r="E16"/>
  <c r="E12"/>
  <c r="E24" i="13"/>
  <c r="E26"/>
  <c r="F18" i="8"/>
  <c r="D24" i="13"/>
  <c r="D26"/>
  <c r="D18" i="8"/>
  <c r="C24" i="13"/>
  <c r="C26"/>
  <c r="B18" i="8"/>
  <c r="E16"/>
  <c r="C16"/>
  <c r="I3"/>
  <c r="A5"/>
  <c r="A4"/>
  <c r="B46" i="2"/>
  <c r="B45"/>
  <c r="G3" i="3"/>
  <c r="C48" s="1"/>
  <c r="A4"/>
  <c r="D40" i="6"/>
  <c r="F1" i="13"/>
  <c r="E9" s="1"/>
  <c r="A3"/>
  <c r="A2"/>
  <c r="B14" i="7"/>
  <c r="B13"/>
  <c r="B12"/>
  <c r="B11"/>
  <c r="B2"/>
  <c r="B1"/>
  <c r="B9"/>
  <c r="B1" i="15"/>
  <c r="C2" i="10"/>
  <c r="C1"/>
  <c r="A36"/>
  <c r="B22"/>
  <c r="C14"/>
  <c r="B11"/>
  <c r="B6"/>
  <c r="A3"/>
  <c r="A2" i="9"/>
  <c r="A1"/>
  <c r="K1"/>
  <c r="H28" s="1"/>
  <c r="H41"/>
  <c r="G41"/>
  <c r="K12"/>
  <c r="K21"/>
  <c r="K16"/>
  <c r="K20"/>
  <c r="J12"/>
  <c r="J21"/>
  <c r="J16"/>
  <c r="J20"/>
  <c r="I12"/>
  <c r="I21"/>
  <c r="I16"/>
  <c r="I20"/>
  <c r="H12"/>
  <c r="H21"/>
  <c r="H16"/>
  <c r="H20"/>
  <c r="E21"/>
  <c r="A1" i="14"/>
  <c r="A39"/>
  <c r="A38"/>
  <c r="A37"/>
  <c r="A36"/>
  <c r="A35"/>
  <c r="A32"/>
  <c r="A31"/>
  <c r="A30"/>
  <c r="A29"/>
  <c r="A28"/>
  <c r="A25"/>
  <c r="A24"/>
  <c r="A23"/>
  <c r="A22"/>
  <c r="A21"/>
  <c r="A18"/>
  <c r="A17"/>
  <c r="A16"/>
  <c r="A15"/>
  <c r="A14"/>
  <c r="A11"/>
  <c r="A10"/>
  <c r="A9"/>
  <c r="A8"/>
  <c r="A7"/>
  <c r="A20" i="2"/>
  <c r="C101" i="14"/>
  <c r="D101"/>
  <c r="E102"/>
  <c r="A100"/>
  <c r="A99"/>
  <c r="A98"/>
  <c r="A97"/>
  <c r="A96"/>
  <c r="A82"/>
  <c r="A81"/>
  <c r="A80"/>
  <c r="A79"/>
  <c r="A78"/>
  <c r="A75"/>
  <c r="A74"/>
  <c r="A73"/>
  <c r="A72"/>
  <c r="A71"/>
  <c r="A68"/>
  <c r="A67"/>
  <c r="A66"/>
  <c r="A65"/>
  <c r="A64"/>
  <c r="A42" i="2"/>
  <c r="D38" i="3"/>
  <c r="D37"/>
  <c r="D36"/>
  <c r="D35"/>
  <c r="D34"/>
  <c r="D47" i="2"/>
  <c r="D27" i="3"/>
  <c r="D26"/>
  <c r="D25"/>
  <c r="D24"/>
  <c r="C25"/>
  <c r="C24"/>
  <c r="A27"/>
  <c r="A26"/>
  <c r="A25"/>
  <c r="A24"/>
  <c r="C22"/>
  <c r="A6"/>
  <c r="E26"/>
  <c r="E27"/>
  <c r="B6" i="4"/>
  <c r="B2"/>
  <c r="B1"/>
  <c r="B43" i="2"/>
  <c r="B42" i="5"/>
  <c r="B6"/>
  <c r="B2"/>
  <c r="B1"/>
  <c r="B40" i="6"/>
  <c r="B6"/>
  <c r="B2"/>
  <c r="B1"/>
  <c r="A10" i="3"/>
  <c r="B69" i="5"/>
  <c r="G14" i="7"/>
  <c r="E50" i="5" s="1"/>
  <c r="G12" i="7"/>
  <c r="E14" i="15" s="1"/>
  <c r="G13" i="7"/>
  <c r="E14" i="5" s="1"/>
  <c r="G11" i="7"/>
  <c r="E15" i="4" s="1"/>
  <c r="B56" i="15"/>
  <c r="B33" i="5"/>
  <c r="B67" i="6"/>
  <c r="J7" i="9"/>
  <c r="H7"/>
  <c r="G28"/>
  <c r="D13" i="8"/>
  <c r="A62" i="14"/>
  <c r="A60"/>
  <c r="A94"/>
  <c r="C107"/>
  <c r="A42"/>
  <c r="K28" i="17"/>
  <c r="D9" i="13"/>
  <c r="B29" s="1"/>
  <c r="F13" i="8"/>
  <c r="A5" i="14"/>
  <c r="B107"/>
  <c r="C61" i="15"/>
  <c r="B13" i="8"/>
  <c r="A54" i="14"/>
  <c r="A95"/>
  <c r="D10" i="16"/>
  <c r="E10"/>
  <c r="E64" i="5" s="1"/>
  <c r="E67" s="1"/>
  <c r="D9" i="16"/>
  <c r="E9"/>
  <c r="E28" i="5" s="1"/>
  <c r="E31" s="1"/>
  <c r="D7" i="16"/>
  <c r="D8"/>
  <c r="E8"/>
  <c r="E51" i="15"/>
  <c r="E54" s="1"/>
  <c r="D30" i="6"/>
  <c r="E6" i="16"/>
  <c r="E8" i="9"/>
  <c r="F28" s="1"/>
  <c r="D6" i="16"/>
  <c r="A27"/>
  <c r="B6"/>
  <c r="C6"/>
  <c r="D60" i="4"/>
  <c r="F29" i="17"/>
  <c r="F30"/>
  <c r="K17"/>
  <c r="K30"/>
  <c r="K18"/>
  <c r="D29"/>
  <c r="D30"/>
  <c r="F40" i="3"/>
  <c r="A9"/>
  <c r="E12"/>
  <c r="A11" i="8"/>
  <c r="F13" i="3"/>
  <c r="D9" i="7"/>
  <c r="C6" i="5"/>
  <c r="C42" s="1"/>
  <c r="E6"/>
  <c r="E42" s="1"/>
  <c r="C38"/>
  <c r="C17" i="8"/>
  <c r="C19" i="5"/>
  <c r="D30"/>
  <c r="E17" i="8"/>
  <c r="M19" s="1"/>
  <c r="D6" i="4"/>
  <c r="B63"/>
  <c r="C6"/>
  <c r="G14" i="8"/>
  <c r="A10"/>
  <c r="B4" i="16"/>
  <c r="C9" i="13"/>
  <c r="B5" i="10"/>
  <c r="B9"/>
  <c r="B13"/>
  <c r="C15"/>
  <c r="B32"/>
  <c r="D6" i="5"/>
  <c r="D42" s="1"/>
  <c r="D13" i="16"/>
  <c r="E7"/>
  <c r="E58" i="4" s="1"/>
  <c r="E61" s="1"/>
  <c r="C85" i="5"/>
  <c r="C84"/>
  <c r="B71" s="1"/>
  <c r="D82"/>
  <c r="C82"/>
  <c r="B35" s="1"/>
  <c r="C55" i="15"/>
  <c r="D7"/>
  <c r="C69"/>
  <c r="B58" s="1"/>
  <c r="C70"/>
  <c r="C68" i="6"/>
  <c r="C79" i="4"/>
  <c r="D16" i="16"/>
  <c r="D18"/>
  <c r="G15" i="7"/>
  <c r="C15"/>
  <c r="F31" s="1"/>
  <c r="B30" i="17"/>
  <c r="B17" i="8"/>
  <c r="J83" i="26"/>
  <c r="J123"/>
  <c r="J103"/>
  <c r="D32" i="4"/>
  <c r="E13" i="16"/>
  <c r="E73" i="5"/>
  <c r="E37"/>
  <c r="E60" i="15"/>
  <c r="E67" i="4"/>
  <c r="A17" i="3"/>
  <c r="E6" i="15"/>
  <c r="D6"/>
  <c r="H55" i="4"/>
  <c r="H57"/>
  <c r="H60"/>
  <c r="H63"/>
  <c r="G69"/>
  <c r="H53" i="15"/>
  <c r="H55"/>
  <c r="H58"/>
  <c r="H61"/>
  <c r="J15" i="8"/>
  <c r="J19"/>
  <c r="G53" i="4"/>
  <c r="H56"/>
  <c r="H58"/>
  <c r="H61"/>
  <c r="G51" i="15"/>
  <c r="H54"/>
  <c r="H56"/>
  <c r="J11" i="8"/>
  <c r="J18"/>
  <c r="M13"/>
  <c r="C34" i="6"/>
  <c r="B19" i="8"/>
  <c r="D7" i="5"/>
  <c r="D21"/>
  <c r="D32" s="1"/>
  <c r="C83"/>
  <c r="C66" i="6"/>
  <c r="D41"/>
  <c r="D54"/>
  <c r="D66"/>
  <c r="C69"/>
  <c r="D7"/>
  <c r="D20"/>
  <c r="D32"/>
  <c r="C35"/>
  <c r="J30" i="17"/>
  <c r="K29"/>
  <c r="E41" i="6"/>
  <c r="E54"/>
  <c r="E66"/>
  <c r="E67"/>
  <c r="D69"/>
  <c r="E7"/>
  <c r="E20"/>
  <c r="E32"/>
  <c r="E33"/>
  <c r="D35"/>
  <c r="J69" i="4"/>
  <c r="J68"/>
  <c r="D79" l="1"/>
  <c r="C62"/>
  <c r="D7" s="1"/>
  <c r="D34" s="1"/>
  <c r="D62" s="1"/>
  <c r="B65"/>
  <c r="E29" i="7"/>
  <c r="F13" s="1"/>
  <c r="E13" i="5" s="1"/>
  <c r="F12" i="7"/>
  <c r="E13" i="15" s="1"/>
  <c r="D27" i="7"/>
  <c r="E14" s="1"/>
  <c r="E48" i="5" s="1"/>
  <c r="E12" i="7"/>
  <c r="E12" i="15" s="1"/>
  <c r="C25" i="7"/>
  <c r="D14" s="1"/>
  <c r="E47" i="5" s="1"/>
  <c r="D12" i="7"/>
  <c r="E11" i="15" s="1"/>
  <c r="D13" i="7"/>
  <c r="E11" i="5" s="1"/>
  <c r="G16" i="10"/>
  <c r="G20" s="1"/>
  <c r="G24" s="1"/>
  <c r="C6" i="15"/>
  <c r="D55" i="5"/>
  <c r="D57"/>
  <c r="D68" s="1"/>
  <c r="E6" i="4"/>
  <c r="F64"/>
  <c r="E65"/>
  <c r="F16" i="8"/>
  <c r="E60" i="4"/>
  <c r="E22" i="3"/>
  <c r="E23"/>
  <c r="E53" i="15"/>
  <c r="E58"/>
  <c r="F57"/>
  <c r="E35" i="5"/>
  <c r="E24" i="3"/>
  <c r="E30" i="5"/>
  <c r="F34"/>
  <c r="F70"/>
  <c r="E71"/>
  <c r="E25" i="3"/>
  <c r="E66" i="5"/>
  <c r="D29" i="15"/>
  <c r="D31"/>
  <c r="D55" s="1"/>
  <c r="E30"/>
  <c r="D83" i="5"/>
  <c r="B36" s="1"/>
  <c r="E7"/>
  <c r="D85"/>
  <c r="B72" s="1"/>
  <c r="E43"/>
  <c r="C80" i="4" l="1"/>
  <c r="D80"/>
  <c r="E7"/>
  <c r="F14" i="7"/>
  <c r="E49" i="5" s="1"/>
  <c r="F11" i="7"/>
  <c r="E13"/>
  <c r="E12" i="5" s="1"/>
  <c r="E20" s="1"/>
  <c r="E19" s="1"/>
  <c r="E11" i="7"/>
  <c r="E56" i="5"/>
  <c r="D11" i="7"/>
  <c r="G26" i="10"/>
  <c r="J28" s="1"/>
  <c r="J30" s="1"/>
  <c r="D70" i="15"/>
  <c r="B59" s="1"/>
  <c r="E7"/>
  <c r="E31" s="1"/>
  <c r="E59" s="1"/>
  <c r="E61" s="1"/>
  <c r="G61" s="1"/>
  <c r="E29"/>
  <c r="G54"/>
  <c r="E57" i="5"/>
  <c r="E72" s="1"/>
  <c r="E74" s="1"/>
  <c r="E29" i="3"/>
  <c r="F17" i="8"/>
  <c r="F19" s="1"/>
  <c r="B66" i="4" l="1"/>
  <c r="E21" i="5"/>
  <c r="E36" s="1"/>
  <c r="E38" s="1"/>
  <c r="E13" i="4"/>
  <c r="F15" i="7"/>
  <c r="E12" i="4"/>
  <c r="E15" i="7"/>
  <c r="E11" i="4"/>
  <c r="E33" s="1"/>
  <c r="D15" i="7"/>
  <c r="F25" i="3"/>
  <c r="G25"/>
  <c r="E55" i="5"/>
  <c r="G24" i="3"/>
  <c r="F24"/>
  <c r="F23"/>
  <c r="G55" i="15"/>
  <c r="G23" i="3"/>
  <c r="J32" i="10"/>
  <c r="J34" s="1"/>
  <c r="G56" i="15"/>
  <c r="G59" s="1"/>
  <c r="G56" i="4" l="1"/>
  <c r="E34"/>
  <c r="E66" s="1"/>
  <c r="E68" s="1"/>
  <c r="E32" s="1"/>
  <c r="G63" l="1"/>
  <c r="G16" i="8"/>
  <c r="G17" s="1"/>
  <c r="M18" s="1"/>
  <c r="M20" s="1"/>
  <c r="G57" i="4"/>
  <c r="G58" s="1"/>
  <c r="G61" s="1"/>
  <c r="F22" i="3"/>
  <c r="F29" s="1"/>
  <c r="F30" s="1"/>
  <c r="H16" i="8" l="1"/>
  <c r="H17" s="1"/>
</calcChain>
</file>

<file path=xl/sharedStrings.xml><?xml version="1.0" encoding="utf-8"?>
<sst xmlns="http://schemas.openxmlformats.org/spreadsheetml/2006/main" count="1152" uniqueCount="764">
  <si>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</si>
  <si>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</si>
  <si>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</si>
  <si>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</si>
  <si>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</si>
  <si>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</si>
  <si>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</si>
  <si>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</si>
  <si>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</si>
  <si>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</si>
  <si>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</si>
  <si>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</si>
  <si>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</si>
  <si>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</si>
  <si>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</si>
  <si>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</si>
  <si>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</si>
  <si>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</si>
  <si>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</si>
  <si>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</si>
  <si>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</si>
  <si>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</si>
  <si>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 xml:space="preserve">         </t>
  </si>
  <si>
    <t>Governing Body</t>
  </si>
  <si>
    <t>County Clerk</t>
  </si>
  <si>
    <t>Amount</t>
  </si>
  <si>
    <t>Adopted Budget</t>
  </si>
  <si>
    <t>Ad Valorem Tax</t>
  </si>
  <si>
    <t>Delinquent Tax</t>
  </si>
  <si>
    <t>Motor Vehicle Tax</t>
  </si>
  <si>
    <t>Recreational Vehicle Tax</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</si>
  <si>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</si>
  <si>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</si>
  <si>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</si>
  <si>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</si>
  <si>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</si>
  <si>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</si>
  <si>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</si>
  <si>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</si>
  <si>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</si>
  <si>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</si>
  <si>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</si>
  <si>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</si>
  <si>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</si>
  <si>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</si>
  <si>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</si>
  <si>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</si>
  <si>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</si>
  <si>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</si>
  <si>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</si>
  <si>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</si>
  <si>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</si>
  <si>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</si>
  <si>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</si>
  <si>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</si>
  <si>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</si>
  <si>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</si>
  <si>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</si>
  <si>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</si>
  <si>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</si>
  <si>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</si>
  <si>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</si>
  <si>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</si>
  <si>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</si>
  <si>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</si>
  <si>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</si>
  <si>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</si>
  <si>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</si>
  <si>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</si>
  <si>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Enter the following information from the sources shown.  This information will be  entered</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</si>
  <si>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</si>
  <si>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</si>
  <si>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</si>
  <si>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</si>
  <si>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</si>
  <si>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</si>
  <si>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</si>
  <si>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</si>
  <si>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</si>
  <si>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</si>
  <si>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</si>
  <si>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</si>
  <si>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</si>
  <si>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</si>
  <si>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</si>
  <si>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</si>
  <si>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</si>
  <si>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</si>
  <si>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</si>
  <si>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</si>
  <si>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</si>
  <si>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</si>
  <si>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</si>
  <si>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</si>
  <si>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</si>
  <si>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</si>
  <si>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</si>
  <si>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</si>
  <si>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</si>
  <si>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</si>
  <si>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</si>
  <si>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</si>
  <si>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</si>
  <si>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*If you are merely leasing/renting with no intent to purchase, do not list--such transactions are not lease-purchases.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</si>
  <si>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</si>
  <si>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</si>
  <si>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</si>
  <si>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</si>
  <si>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</si>
  <si>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</si>
  <si>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</si>
  <si>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</si>
  <si>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</si>
  <si>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</si>
  <si>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</si>
  <si>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</si>
  <si>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</si>
  <si>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</si>
  <si>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</si>
  <si>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</si>
  <si>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</si>
  <si>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</si>
  <si>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</si>
  <si>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</si>
  <si>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</si>
  <si>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</si>
  <si>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</si>
  <si>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</si>
  <si>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</si>
  <si>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</si>
  <si>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</si>
  <si>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</si>
  <si>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</si>
  <si>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</si>
  <si>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</si>
  <si>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</si>
  <si>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</si>
  <si>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</si>
  <si>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</si>
  <si>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Allocation of MVT, RVT &amp; 16/20M Veh</t>
  </si>
  <si>
    <t>Total 16\20 M Vehicle Tax Estimate</t>
  </si>
  <si>
    <t>16\20 M Vehicle Tax Estimate:</t>
  </si>
  <si>
    <t>Total Recreational Vehicle Tax Estimate</t>
  </si>
  <si>
    <t>Total Motor Vehicle Tax Estimate</t>
  </si>
  <si>
    <t>Motor Vehicle Tax Estimate:</t>
  </si>
  <si>
    <t>Recreational Vehicle Tax Estimate:</t>
  </si>
  <si>
    <t>Average Delinquency Rate</t>
  </si>
  <si>
    <t>Final Assessed Valuation:</t>
  </si>
  <si>
    <t>Total Assessed Valuation</t>
  </si>
  <si>
    <t>Whereas, budgeting, taxing and service level decisions for all district services are the responsibility of the district board; and</t>
  </si>
  <si>
    <t>Whereas, the cost of provision of these services continues to increase.</t>
  </si>
  <si>
    <t>10-113</t>
  </si>
  <si>
    <t xml:space="preserve">The input for the following comes directly from </t>
  </si>
  <si>
    <t>Enter Other Supporting Counties' Name:</t>
  </si>
  <si>
    <t>Note:  All amounts are to be entered in as whole numbers only.</t>
  </si>
  <si>
    <t>General Obligation:</t>
  </si>
  <si>
    <t>Total G.O.</t>
  </si>
  <si>
    <t>Revenue Bonds:</t>
  </si>
  <si>
    <t>Total Revenue</t>
  </si>
  <si>
    <t>Other:</t>
  </si>
  <si>
    <t>Total Other</t>
  </si>
  <si>
    <t>In Lieu of Tax (IRB)</t>
  </si>
  <si>
    <t>Transfers</t>
  </si>
  <si>
    <t>Amount for</t>
  </si>
  <si>
    <t>Authorized by</t>
  </si>
  <si>
    <t>From:</t>
  </si>
  <si>
    <t>To:</t>
  </si>
  <si>
    <t xml:space="preserve"> Statute</t>
  </si>
  <si>
    <t>Adjusted Totals</t>
  </si>
  <si>
    <t>LAVTR</t>
  </si>
  <si>
    <t>Slider</t>
  </si>
  <si>
    <t>We, the undersigned, officers of</t>
  </si>
  <si>
    <t>Attest: _________________,</t>
  </si>
  <si>
    <t>Tax Rate*</t>
  </si>
  <si>
    <t>Read these instructions carefully.  If after reviewing them you still have questions, call Municipal Services at 785-296-2311 or e-mail : armunis@da.ks.gov</t>
  </si>
  <si>
    <t>The blue areas indicated where the information comes from to complete the section input.</t>
  </si>
  <si>
    <t>The yellow area indicates that statement requires action taken.</t>
  </si>
  <si>
    <t>Special District1 Instructions</t>
  </si>
  <si>
    <t>Less: Transfers</t>
  </si>
  <si>
    <t>Net Expenditures</t>
  </si>
  <si>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</si>
  <si>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</si>
  <si>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</si>
  <si>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</si>
  <si>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1. All dates are linked to the inputpryr page</t>
  </si>
  <si>
    <t>2. Instruction page changed the POC, electronic submission, blue area, and transfers expended</t>
  </si>
  <si>
    <t>3. Split the input page to inputpryr and inputoth</t>
  </si>
  <si>
    <t>4. Moved the mil rates from prior budget to Clerk info section</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</si>
  <si>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</si>
  <si>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</si>
  <si>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</si>
  <si>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</si>
  <si>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9. Added links from the indebtedness page to the Budget Summary page by separating bonds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</si>
  <si>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</si>
  <si>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</si>
  <si>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</si>
  <si>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12. Added "is a resolution required" statement with either yes or no automatic shown on Certificate</t>
  </si>
  <si>
    <t>13. moved the assisted blocks from center to left side on Certificate</t>
  </si>
  <si>
    <r>
      <t>**</t>
    </r>
    <r>
      <rPr>
        <b/>
        <u/>
        <sz val="12"/>
        <rFont val="Times New Roman"/>
        <family val="1"/>
      </rPr>
      <t>Note</t>
    </r>
    <r>
      <rPr>
        <sz val="12"/>
        <rFont val="Times New Roman"/>
        <family val="1"/>
      </rPr>
      <t>: The delinquency rate can be up to 5% more than the actual delinquency rate from the previous year.</t>
    </r>
  </si>
  <si>
    <t>Budget Summary</t>
  </si>
  <si>
    <t>Resolution</t>
  </si>
  <si>
    <t>Is a Resolution required?</t>
  </si>
  <si>
    <t>14. Added another space for "assisted by" on Certificate allowing two lines for name of company</t>
  </si>
  <si>
    <t>Total Tax Rates</t>
  </si>
  <si>
    <t>Rate used in this budget will be shown on all fund pages with a tax levy**</t>
  </si>
  <si>
    <t xml:space="preserve">Enter year being budgeted (YYYY) </t>
  </si>
  <si>
    <t xml:space="preserve">            the information on this input sheet.</t>
  </si>
  <si>
    <t>Assessed Valuation:</t>
  </si>
  <si>
    <t>15. Added to instructions about non-appropriated funds limit of 5%.</t>
  </si>
  <si>
    <t>16. Added warning "Exceeds 5%" on all fund pages for the non-appropirated balance.</t>
  </si>
  <si>
    <t>TOTAL</t>
  </si>
  <si>
    <t>Computation of Delinquency Taxes:</t>
  </si>
  <si>
    <t>Uncollected</t>
  </si>
  <si>
    <t>Levied</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</si>
  <si>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</si>
  <si>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</si>
  <si>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</si>
  <si>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</si>
  <si>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</si>
  <si>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</si>
  <si>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</si>
  <si>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</si>
  <si>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Neighborhood Revitalization Rebate</t>
  </si>
  <si>
    <t>Miscellaneous</t>
  </si>
  <si>
    <t>2a. Dates for the entire budget workbook is controlled by the year entered into the "Enter year being budgeted (YYYY)" field.  If you find a date that is not correct for the budget being submitted, please contact us for assistance.</t>
  </si>
  <si>
    <t>17. Added Neighborhood Revitalization table and linked to the tax levy fund pages.</t>
  </si>
  <si>
    <t>18. Added Neighborhood Revitalization expenditures to all tax levy fund pages.</t>
  </si>
  <si>
    <t>19. Added Neighborhood Revitalization Rebate page number to the Certificate page.</t>
  </si>
  <si>
    <t>22. Added 'miscellaneous' category to the receipt/expenditure for all fund pages and set error message.</t>
  </si>
  <si>
    <t>23. Added to the instruction about correct the error message for the miscellaneous.</t>
  </si>
  <si>
    <t>Enter County Name (Home County) followed by 'County'</t>
  </si>
  <si>
    <t>First</t>
  </si>
  <si>
    <t>Second</t>
  </si>
  <si>
    <t>Third</t>
  </si>
  <si>
    <t>Fourth</t>
  </si>
  <si>
    <t>Page No. 6</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</si>
  <si>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</si>
  <si>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</si>
  <si>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</si>
  <si>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</si>
  <si>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Slider Estimate:</t>
  </si>
  <si>
    <t>Total Slider Estimate</t>
  </si>
  <si>
    <t>ALLOCATION OF MOTOR, RECREATIONAL,16/20M VEHICLE TAXES &amp; SLIDER</t>
  </si>
  <si>
    <t>26. Added 'excluding oil, gas, and mobile homes' to lines 20 and 34 on Clerks budget info on tab inputoth.</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</si>
  <si>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</si>
  <si>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</si>
  <si>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</si>
  <si>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</si>
  <si>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</si>
  <si>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</si>
  <si>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</si>
  <si>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</si>
  <si>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</si>
  <si>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</si>
  <si>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</si>
  <si>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</si>
  <si>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</si>
  <si>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</si>
  <si>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</si>
  <si>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</si>
  <si>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The following were changed to this spreadsheet on 10/24/2008</t>
  </si>
  <si>
    <t xml:space="preserve">Prior Year </t>
  </si>
  <si>
    <t>Prior Year</t>
  </si>
  <si>
    <t xml:space="preserve">Current Year </t>
  </si>
  <si>
    <t xml:space="preserve">Proposed Budget </t>
  </si>
  <si>
    <t>Proposed Budget</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</si>
  <si>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</si>
  <si>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</si>
  <si>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</si>
  <si>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</si>
  <si>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</si>
  <si>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</si>
  <si>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</si>
  <si>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</si>
  <si>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</si>
  <si>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</si>
  <si>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</si>
  <si>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</si>
  <si>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</si>
  <si>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</si>
  <si>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</si>
  <si>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</si>
  <si>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</si>
  <si>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106 change from Budget Summary to Budget Certificate.</t>
  </si>
  <si>
    <t>Debt Service</t>
  </si>
  <si>
    <t>The following were changed to this spreadsheet on 3/19/09</t>
  </si>
  <si>
    <t>1. Certificate page change fund name Bond &amp; Interest to Debt Service</t>
  </si>
  <si>
    <t>2. Debt Service fund page name from Bond &amp; Interest to Debt Service</t>
  </si>
  <si>
    <t>3. Budget Summary page fund name from Bond &amp; Interest to Debt Service</t>
  </si>
  <si>
    <t>The following were changed to this spreadsheet on 5/08/09</t>
  </si>
  <si>
    <t xml:space="preserve">1. InputPrYr tab, cell d21, changed from d11 to d11-1 in order to correct date </t>
  </si>
  <si>
    <t>The following were changed to this spreadsheet on 9/01/09</t>
  </si>
  <si>
    <t>1. Mvalloc tab change cells c-11 to c-14 from reference 'D' to 'E'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</si>
  <si>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</si>
  <si>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</si>
  <si>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2. InputPrYr tab A21 add 'If amended ….'</t>
  </si>
  <si>
    <t>4. InputOth tab changed from Bond &amp; Interest to Debt Service</t>
  </si>
  <si>
    <t>3. InputPrYr tab changed from Bond &amp; Interest to Debt Service</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</si>
  <si>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</si>
  <si>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</si>
  <si>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</si>
  <si>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</si>
  <si>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</si>
  <si>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</si>
  <si>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</si>
  <si>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</si>
  <si>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</si>
  <si>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</si>
  <si>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</si>
  <si>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</si>
  <si>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The following were changed to this spreadsheet on 9/28/09</t>
  </si>
  <si>
    <t>Neighborhood Revitalization Subj to Rebate:</t>
  </si>
  <si>
    <t>Neighborhood Revitalization factor:</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</si>
  <si>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</si>
  <si>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</si>
  <si>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</si>
  <si>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</si>
  <si>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</si>
  <si>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</si>
  <si>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</si>
  <si>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</si>
  <si>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</si>
  <si>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</si>
  <si>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</si>
  <si>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1. Added tab 'TransferStatutes</t>
  </si>
  <si>
    <t>2. Added tab 'NonBudFunds'</t>
  </si>
  <si>
    <t>3. Added 'See Tab A - E' for violations</t>
  </si>
  <si>
    <t>4. Instruction tab added 10e and 7c, and changed 10c, 10d, and 10h</t>
  </si>
  <si>
    <t>5. Changed each fund page taking out the 'Yes' and 'No' and replacing with See Tab for violation</t>
  </si>
  <si>
    <t>6. Nhood tab changed the Net valuation to July 1</t>
  </si>
  <si>
    <t>Valuation Factor:</t>
  </si>
  <si>
    <t>7. Certificate tab moved the Assisted By: and added more lines for governing body signatures</t>
  </si>
  <si>
    <t>Assisted by:</t>
  </si>
  <si>
    <t>Address:</t>
  </si>
  <si>
    <t>Date:</t>
  </si>
  <si>
    <t>Time:</t>
  </si>
  <si>
    <t>Location:</t>
  </si>
  <si>
    <t>Available at:</t>
  </si>
  <si>
    <t>Examples</t>
  </si>
  <si>
    <t>August 12, 2010</t>
  </si>
  <si>
    <t>7:00 PM or 7:00 AM</t>
  </si>
  <si>
    <t>Shawnee County Clerk's Office/Some one residence/Township Hall/Local Library</t>
  </si>
  <si>
    <t xml:space="preserve">Shawnee County Clerk's Office </t>
  </si>
  <si>
    <t>answering objections of taxpayers relating to the proposed use of all funds and the amount of tax to levied.</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</si>
  <si>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</si>
  <si>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</si>
  <si>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</si>
  <si>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</si>
  <si>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</si>
  <si>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</si>
  <si>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</si>
  <si>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</si>
  <si>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</si>
  <si>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</si>
  <si>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</si>
  <si>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</si>
  <si>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</si>
  <si>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</si>
  <si>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</si>
  <si>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</si>
  <si>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</si>
  <si>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</si>
  <si>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</si>
  <si>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</si>
  <si>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</si>
  <si>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</si>
  <si>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</si>
  <si>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</si>
  <si>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</si>
  <si>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</si>
  <si>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</si>
  <si>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</si>
  <si>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</si>
  <si>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</si>
  <si>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</si>
  <si>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</si>
  <si>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</si>
  <si>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</si>
  <si>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</si>
  <si>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</si>
  <si>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</si>
  <si>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</si>
  <si>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</si>
  <si>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</si>
  <si>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</si>
  <si>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</si>
  <si>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</si>
  <si>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</si>
  <si>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</si>
  <si>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</si>
  <si>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</si>
  <si>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</si>
  <si>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</si>
  <si>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</si>
  <si>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</si>
  <si>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</si>
  <si>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</si>
  <si>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</si>
  <si>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</si>
  <si>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</si>
  <si>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</si>
  <si>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</si>
  <si>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</si>
  <si>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</si>
  <si>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</si>
  <si>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</si>
  <si>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</si>
  <si>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</si>
  <si>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</si>
  <si>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</si>
  <si>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</si>
  <si>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</si>
  <si>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</si>
  <si>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</si>
  <si>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</si>
  <si>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</si>
  <si>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</si>
  <si>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</si>
  <si>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</si>
  <si>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</si>
  <si>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</si>
  <si>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</si>
  <si>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</si>
  <si>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</si>
  <si>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</si>
  <si>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</si>
  <si>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</si>
  <si>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</si>
  <si>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</si>
  <si>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</si>
  <si>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</si>
  <si>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</si>
  <si>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</si>
  <si>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</si>
  <si>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</si>
  <si>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</si>
  <si>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</si>
  <si>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</si>
  <si>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</si>
  <si>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</si>
  <si>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</si>
  <si>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</si>
  <si>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</si>
  <si>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</si>
  <si>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</si>
  <si>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</si>
  <si>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</si>
  <si>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</si>
  <si>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</si>
  <si>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</si>
  <si>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</si>
  <si>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</si>
  <si>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</si>
  <si>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</si>
  <si>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</si>
  <si>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</si>
  <si>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</si>
  <si>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</si>
  <si>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</si>
  <si>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</si>
  <si>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</si>
  <si>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</si>
  <si>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</si>
  <si>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</si>
  <si>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</si>
  <si>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</si>
  <si>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</si>
  <si>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</si>
  <si>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</si>
  <si>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</si>
  <si>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</si>
  <si>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</si>
  <si>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</si>
  <si>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</si>
  <si>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</si>
  <si>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</si>
  <si>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</si>
  <si>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</si>
  <si>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</si>
  <si>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</si>
  <si>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</si>
  <si>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</si>
  <si>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</si>
  <si>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</si>
  <si>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</si>
  <si>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</si>
  <si>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</si>
  <si>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</si>
  <si>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</si>
  <si>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</si>
  <si>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</si>
  <si>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</si>
  <si>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</si>
  <si>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</si>
  <si>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</si>
  <si>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</si>
  <si>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</si>
  <si>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</si>
  <si>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The shifting of expenditures between funds, as described in</t>
  </si>
  <si>
    <t>the preceding paragraph, can be accomplished between any funds</t>
  </si>
  <si>
    <t>that share expenses.</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</si>
  <si>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</si>
  <si>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</si>
  <si>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</si>
  <si>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</si>
  <si>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</si>
  <si>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</si>
  <si>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</si>
  <si>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</si>
  <si>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</si>
  <si>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</si>
  <si>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</si>
  <si>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</si>
  <si>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</si>
  <si>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</si>
  <si>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</si>
  <si>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</si>
  <si>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</si>
  <si>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</si>
  <si>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</si>
  <si>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</si>
  <si>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</si>
  <si>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</si>
  <si>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</si>
  <si>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</si>
  <si>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</si>
  <si>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</si>
  <si>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</si>
  <si>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</si>
  <si>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</si>
  <si>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</si>
  <si>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</si>
  <si>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</si>
  <si>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</si>
  <si>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</si>
  <si>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</si>
  <si>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</si>
  <si>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</si>
  <si>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</si>
  <si>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</si>
  <si>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</si>
  <si>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</si>
  <si>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</si>
  <si>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</si>
  <si>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</si>
  <si>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</si>
  <si>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</si>
  <si>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</si>
  <si>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</si>
  <si>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</si>
  <si>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</si>
  <si>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</si>
  <si>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</si>
  <si>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</si>
  <si>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</si>
  <si>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</si>
  <si>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</si>
  <si>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</si>
  <si>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</si>
  <si>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</si>
  <si>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</si>
  <si>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</si>
  <si>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</si>
  <si>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</si>
  <si>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</si>
  <si>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</si>
  <si>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 xml:space="preserve">The Special District1 spreadsheet is designed with having up to five counties providing taxing support. </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</si>
  <si>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</si>
  <si>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</si>
  <si>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</si>
  <si>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</si>
  <si>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*Note:</t>
  </si>
  <si>
    <t>Receipt</t>
  </si>
  <si>
    <t xml:space="preserve">Fund Transferred </t>
  </si>
  <si>
    <t>Fund Transferred</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</si>
  <si>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</si>
  <si>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</si>
  <si>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</si>
  <si>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</si>
  <si>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</si>
  <si>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</si>
  <si>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of Total Receipts</t>
  </si>
  <si>
    <t>Does misc. exceed 10% Total Expenditures</t>
  </si>
  <si>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</si>
  <si>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</si>
  <si>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</si>
  <si>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</si>
  <si>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</si>
  <si>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</si>
  <si>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</si>
  <si>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</si>
  <si>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</si>
  <si>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</si>
  <si>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</si>
  <si>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</si>
  <si>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</si>
  <si>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</si>
  <si>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</si>
  <si>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</si>
  <si>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</si>
  <si>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</si>
  <si>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</si>
  <si>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</si>
  <si>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</si>
  <si>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</si>
  <si>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</si>
  <si>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</si>
  <si>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</si>
  <si>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</si>
  <si>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</si>
  <si>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</si>
  <si>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</si>
  <si>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</si>
  <si>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</si>
  <si>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</si>
  <si>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</si>
  <si>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</si>
  <si>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</si>
  <si>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</si>
  <si>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</si>
  <si>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</si>
  <si>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</si>
  <si>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</si>
  <si>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</si>
  <si>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</si>
  <si>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</si>
  <si>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</si>
  <si>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</si>
  <si>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</si>
  <si>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</si>
  <si>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</si>
  <si>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</si>
  <si>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</si>
  <si>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</si>
  <si>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</si>
  <si>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</si>
  <si>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</si>
  <si>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</si>
  <si>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</si>
  <si>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</si>
  <si>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</si>
  <si>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</si>
  <si>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</si>
  <si>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</si>
  <si>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</si>
  <si>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</si>
  <si>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</si>
  <si>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</si>
  <si>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</si>
  <si>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</si>
  <si>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</si>
  <si>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</si>
  <si>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</si>
  <si>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</si>
  <si>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</si>
  <si>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</si>
  <si>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</si>
  <si>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</si>
  <si>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</si>
  <si>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</si>
  <si>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</si>
  <si>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</si>
  <si>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</si>
  <si>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</si>
  <si>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</si>
  <si>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</si>
  <si>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</si>
  <si>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</si>
  <si>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</si>
  <si>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</si>
  <si>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</si>
  <si>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</si>
  <si>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</si>
  <si>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</si>
  <si>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</si>
  <si>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</si>
  <si>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</si>
  <si>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</si>
  <si>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</si>
  <si>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</si>
  <si>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</si>
  <si>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The following were changed to this spreadsheet on 10/27/10</t>
  </si>
  <si>
    <t>In Lieu of Taxes (IRB)</t>
  </si>
  <si>
    <t>Non-Appropriated Balance</t>
  </si>
  <si>
    <t>Total Expenditure/Non-Appr Balance</t>
  </si>
  <si>
    <t>Tax Required</t>
  </si>
  <si>
    <t>Delinquent Comp Rate:</t>
  </si>
  <si>
    <r>
      <t>(</t>
    </r>
    <r>
      <rPr>
        <sz val="10"/>
        <rFont val="Times New Roman"/>
        <family val="1"/>
      </rPr>
      <t>Includes Carryover</t>
    </r>
    <r>
      <rPr>
        <sz val="12"/>
        <rFont val="Times New Roman"/>
        <family val="1"/>
      </rPr>
      <t>)</t>
    </r>
  </si>
  <si>
    <t>Desired Carryover Amount:</t>
  </si>
  <si>
    <t>Estimated Mill Rate Impact:</t>
  </si>
  <si>
    <t>The estimated value of one mill would be:</t>
  </si>
  <si>
    <t>Change in Ad Valorem Tax Revenue:</t>
  </si>
  <si>
    <t>Estimate</t>
  </si>
  <si>
    <t>1. All pages removed the revision date</t>
  </si>
  <si>
    <t>2. All tax levy fund pages reduced the columns and revised the bottom of pages for see tabs</t>
  </si>
  <si>
    <t>3. Instruction tab added lines 13b (last year mill rate), 13c (desired mill rate), 11a(project carryover), 11b (Desired Carryover), 11d (project carryover Debt), and 16(protection)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</si>
  <si>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</si>
  <si>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</si>
  <si>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</si>
  <si>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</si>
  <si>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</si>
  <si>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</si>
  <si>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</si>
  <si>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</si>
  <si>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</si>
  <si>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</si>
  <si>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</si>
  <si>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</si>
  <si>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</si>
  <si>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</si>
  <si>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</si>
  <si>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</si>
  <si>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</si>
  <si>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</si>
  <si>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</si>
  <si>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23. Budget Summary tab changed proposed column heading from 'Actual' to 'Estimate'</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</si>
  <si>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</si>
  <si>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</si>
  <si>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</si>
  <si>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</si>
  <si>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11.  Individual fund sheets (tab names gen, levy pages, nolevy pages, and nonbud) need to be completed, using only those you need and numbering each page used.  When the fund pages are completed, the totals will be shown on the Certificate and Budget Summary pages.</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</si>
  <si>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</si>
  <si>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</si>
  <si>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</si>
  <si>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</si>
  <si>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</si>
  <si>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</si>
  <si>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</si>
  <si>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</si>
  <si>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</si>
  <si>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</si>
  <si>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</si>
  <si>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13a. At the bottom, there is a green shaded area, enter the page number.</t>
  </si>
  <si>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</si>
  <si>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</si>
  <si>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</si>
  <si>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</si>
  <si>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</si>
  <si>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</si>
  <si>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</si>
  <si>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The used of this spreadsheet is designed for a special district having up to five county support. </t>
  </si>
  <si>
    <t>and hearing held.</t>
  </si>
  <si>
    <t xml:space="preserve">Must be at least 10 days between date published </t>
  </si>
  <si>
    <t>Franklin County Clerk's Office</t>
  </si>
  <si>
    <t>315 S Main</t>
  </si>
  <si>
    <t>Ottawa, KS  66067</t>
  </si>
  <si>
    <t>Franklin County</t>
  </si>
  <si>
    <t>Tauy Watershed</t>
  </si>
  <si>
    <t>Douglas</t>
  </si>
  <si>
    <t>24-1219</t>
  </si>
  <si>
    <t>7:30 p.m.</t>
  </si>
  <si>
    <t>Baldwin City Library</t>
  </si>
  <si>
    <t>This tab will put the date and time and location of the budget hearing on the Budget Summary page.  Also, provide the location where as the budget can be reviewed.  Please input information in the green areas.</t>
  </si>
  <si>
    <t>Publication</t>
  </si>
  <si>
    <t>Allied Ins</t>
  </si>
  <si>
    <t>Engineering</t>
  </si>
  <si>
    <t>Consulting</t>
  </si>
  <si>
    <t>GES Group</t>
  </si>
  <si>
    <t>Contracting Officer</t>
  </si>
  <si>
    <t>Maintenance</t>
  </si>
  <si>
    <t>Dues</t>
  </si>
  <si>
    <t>Excavating</t>
  </si>
  <si>
    <t>August 13, 2012</t>
  </si>
  <si>
    <t>/s/ Angeline Baldwin Wootten</t>
  </si>
</sst>
</file>

<file path=xl/styles.xml><?xml version="1.0" encoding="utf-8"?>
<styleSheet xmlns="http://schemas.openxmlformats.org/spreadsheetml/2006/main">
  <numFmts count="17">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409]mmmm\ d\,\ yyyy;@"/>
    <numFmt numFmtId="176" formatCode="[$-409]h:mm\ AM/PM;@"/>
    <numFmt numFmtId="177" formatCode="&quot;$&quot;#,##0"/>
    <numFmt numFmtId="178" formatCode="&quot;$&quot;#,##0.00"/>
  </numFmts>
  <fonts count="51">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b/>
      <u/>
      <sz val="12"/>
      <color indexed="10"/>
      <name val="Times New Roman"/>
      <family val="1"/>
    </font>
    <font>
      <b/>
      <u/>
      <sz val="12"/>
      <name val="Courier"/>
      <family val="3"/>
    </font>
    <font>
      <sz val="10"/>
      <name val="Courier"/>
      <family val="3"/>
    </font>
    <font>
      <b/>
      <u/>
      <sz val="12"/>
      <name val="Times New Roman"/>
      <family val="1"/>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sz val="14"/>
      <name val="Times New Roman"/>
      <family val="1"/>
    </font>
    <font>
      <b/>
      <u/>
      <sz val="8"/>
      <color indexed="10"/>
      <name val="Times New Roman"/>
      <family val="1"/>
    </font>
    <font>
      <u/>
      <sz val="12"/>
      <color indexed="12"/>
      <name val="Courier"/>
      <family val="3"/>
    </font>
    <font>
      <sz val="12"/>
      <name val="Courier New"/>
      <family val="3"/>
    </font>
    <font>
      <b/>
      <sz val="12"/>
      <name val="Courier"/>
      <family val="3"/>
    </font>
    <font>
      <i/>
      <sz val="12"/>
      <name val="Courier"/>
      <family val="3"/>
    </font>
    <font>
      <i/>
      <u/>
      <sz val="12"/>
      <name val="Courier"/>
      <family val="3"/>
    </font>
    <font>
      <sz val="12"/>
      <name val="Courier"/>
      <family val="3"/>
    </font>
    <font>
      <i/>
      <sz val="12"/>
      <color indexed="8"/>
      <name val="Times New Roman"/>
      <family val="1"/>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u/>
      <sz val="12"/>
      <color rgb="FFFF0000"/>
      <name val="Times New Roman"/>
      <family val="1"/>
    </font>
    <font>
      <b/>
      <sz val="12"/>
      <color rgb="FF000000"/>
      <name val="Times New Roman"/>
      <family val="1"/>
    </font>
    <font>
      <b/>
      <sz val="11"/>
      <color theme="1"/>
      <name val="Cambria"/>
      <family val="1"/>
    </font>
    <font>
      <sz val="11"/>
      <color rgb="FF000000"/>
      <name val="Cambria"/>
      <family val="1"/>
    </font>
    <font>
      <b/>
      <sz val="12"/>
      <color rgb="FFFF0000"/>
      <name val="Times New Roman"/>
      <family val="1"/>
    </font>
    <font>
      <b/>
      <u/>
      <sz val="12"/>
      <color rgb="FFFF0000"/>
      <name val="Times New Roman"/>
      <family val="1"/>
    </font>
  </fonts>
  <fills count="19">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indexed="35"/>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FF0000"/>
        <bgColor indexed="64"/>
      </patternFill>
    </fill>
    <fill>
      <patternFill patternType="solid">
        <fgColor rgb="FFFFFFC0"/>
        <bgColor indexed="64"/>
      </patternFill>
    </fill>
    <fill>
      <patternFill patternType="solid">
        <fgColor rgb="FF00FFFF"/>
        <bgColor indexed="64"/>
      </patternFill>
    </fill>
    <fill>
      <patternFill patternType="solid">
        <fgColor rgb="FF00FF0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347">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9"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719">
    <xf numFmtId="0" fontId="0" fillId="0" borderId="0" xfId="0"/>
    <xf numFmtId="0" fontId="3" fillId="0" borderId="0" xfId="0" applyFont="1"/>
    <xf numFmtId="0" fontId="3" fillId="0" borderId="0" xfId="0" applyFont="1" applyAlignment="1" applyProtection="1">
      <alignment horizontal="left" wrapText="1"/>
    </xf>
    <xf numFmtId="0" fontId="3" fillId="0" borderId="0" xfId="0" applyFont="1" applyAlignment="1" applyProtection="1">
      <alignment wrapText="1"/>
    </xf>
    <xf numFmtId="0" fontId="3" fillId="0" borderId="0" xfId="0" applyFont="1" applyAlignment="1">
      <alignment wrapText="1"/>
    </xf>
    <xf numFmtId="0" fontId="3" fillId="0" borderId="0" xfId="0" applyFont="1" applyProtection="1"/>
    <xf numFmtId="0" fontId="4" fillId="0" borderId="0" xfId="0" applyFont="1" applyAlignment="1" applyProtection="1">
      <alignment horizontal="centerContinuous"/>
    </xf>
    <xf numFmtId="0" fontId="4" fillId="0" borderId="0" xfId="0" applyFont="1"/>
    <xf numFmtId="0" fontId="3" fillId="0" borderId="0" xfId="0" applyFont="1" applyAlignment="1">
      <alignment horizontal="left"/>
    </xf>
    <xf numFmtId="0" fontId="4" fillId="0" borderId="0" xfId="0" applyFont="1" applyAlignment="1" applyProtection="1">
      <alignment horizontal="center"/>
    </xf>
    <xf numFmtId="0" fontId="4" fillId="0" borderId="0" xfId="0" applyFont="1" applyAlignment="1">
      <alignment horizontal="center"/>
    </xf>
    <xf numFmtId="0" fontId="3" fillId="0" borderId="0" xfId="0" applyFont="1" applyAlignment="1" applyProtection="1">
      <alignment vertical="top" wrapText="1"/>
    </xf>
    <xf numFmtId="3" fontId="3" fillId="2" borderId="1" xfId="0" applyNumberFormat="1" applyFont="1" applyFill="1" applyBorder="1" applyProtection="1">
      <protection locked="0"/>
    </xf>
    <xf numFmtId="3" fontId="3" fillId="2" borderId="2" xfId="0" applyNumberFormat="1" applyFont="1" applyFill="1" applyBorder="1" applyProtection="1">
      <protection locked="0"/>
    </xf>
    <xf numFmtId="37" fontId="3" fillId="3" borderId="2" xfId="0" applyNumberFormat="1" applyFont="1" applyFill="1" applyBorder="1" applyProtection="1">
      <protection locked="0"/>
    </xf>
    <xf numFmtId="0" fontId="3" fillId="4" borderId="0" xfId="0" applyFont="1" applyFill="1" applyProtection="1"/>
    <xf numFmtId="0" fontId="3" fillId="4" borderId="0" xfId="0" applyFont="1" applyFill="1" applyAlignment="1" applyProtection="1">
      <alignment horizontal="centerContinuous"/>
    </xf>
    <xf numFmtId="0" fontId="3" fillId="4" borderId="0" xfId="0" applyFont="1" applyFill="1" applyAlignment="1" applyProtection="1">
      <alignment horizontal="left"/>
    </xf>
    <xf numFmtId="0" fontId="3" fillId="4" borderId="1" xfId="0" applyFont="1" applyFill="1" applyBorder="1" applyProtection="1"/>
    <xf numFmtId="0" fontId="3" fillId="4" borderId="3" xfId="0" applyFont="1" applyFill="1" applyBorder="1" applyAlignment="1" applyProtection="1">
      <alignment horizontal="center"/>
    </xf>
    <xf numFmtId="0" fontId="3" fillId="4" borderId="4" xfId="0" applyFont="1" applyFill="1" applyBorder="1" applyProtection="1"/>
    <xf numFmtId="0" fontId="3" fillId="4" borderId="0" xfId="0" applyFont="1" applyFill="1" applyBorder="1" applyProtection="1"/>
    <xf numFmtId="0" fontId="3" fillId="4" borderId="5" xfId="0" applyFont="1" applyFill="1" applyBorder="1" applyProtection="1"/>
    <xf numFmtId="0" fontId="3" fillId="4" borderId="6" xfId="0" applyFont="1" applyFill="1" applyBorder="1" applyProtection="1"/>
    <xf numFmtId="3" fontId="3" fillId="4" borderId="0" xfId="0" applyNumberFormat="1" applyFont="1" applyFill="1" applyProtection="1"/>
    <xf numFmtId="0" fontId="3" fillId="4" borderId="0" xfId="0" applyFont="1" applyFill="1" applyProtection="1">
      <protection locked="0"/>
    </xf>
    <xf numFmtId="0" fontId="3" fillId="4" borderId="0" xfId="0" applyFont="1" applyFill="1" applyBorder="1" applyProtection="1">
      <protection locked="0"/>
    </xf>
    <xf numFmtId="37" fontId="3" fillId="4" borderId="0" xfId="0" applyNumberFormat="1" applyFont="1" applyFill="1" applyProtection="1"/>
    <xf numFmtId="37" fontId="3" fillId="4" borderId="0" xfId="0" applyNumberFormat="1" applyFont="1" applyFill="1" applyAlignment="1" applyProtection="1">
      <alignment horizontal="left"/>
    </xf>
    <xf numFmtId="0" fontId="3" fillId="4" borderId="7" xfId="0" applyFont="1" applyFill="1" applyBorder="1" applyAlignment="1" applyProtection="1">
      <alignment horizontal="center"/>
    </xf>
    <xf numFmtId="37" fontId="3" fillId="4" borderId="0" xfId="0" applyNumberFormat="1" applyFont="1" applyFill="1" applyBorder="1" applyAlignment="1" applyProtection="1">
      <alignment horizontal="left"/>
    </xf>
    <xf numFmtId="0" fontId="3" fillId="0" borderId="0" xfId="0" applyFont="1" applyFill="1"/>
    <xf numFmtId="0" fontId="3" fillId="5" borderId="0" xfId="0" applyFont="1" applyFill="1" applyProtection="1"/>
    <xf numFmtId="37" fontId="4" fillId="6" borderId="0" xfId="0" applyNumberFormat="1" applyFont="1" applyFill="1" applyAlignment="1" applyProtection="1">
      <alignment horizontal="left"/>
    </xf>
    <xf numFmtId="0" fontId="3" fillId="6" borderId="0" xfId="0" applyFont="1" applyFill="1" applyProtection="1"/>
    <xf numFmtId="0" fontId="3" fillId="6" borderId="0" xfId="0" applyFont="1" applyFill="1" applyAlignment="1" applyProtection="1">
      <alignment horizontal="centerContinuous"/>
    </xf>
    <xf numFmtId="0" fontId="0" fillId="0" borderId="0" xfId="0" applyAlignment="1">
      <alignment vertical="top"/>
    </xf>
    <xf numFmtId="0" fontId="0" fillId="4" borderId="0" xfId="0" applyFill="1" applyProtection="1"/>
    <xf numFmtId="0" fontId="4" fillId="5" borderId="0" xfId="0" applyFont="1" applyFill="1" applyAlignment="1" applyProtection="1">
      <alignment horizontal="left"/>
    </xf>
    <xf numFmtId="0" fontId="9" fillId="0" borderId="0" xfId="346"/>
    <xf numFmtId="0" fontId="6" fillId="0" borderId="0" xfId="346" applyFont="1"/>
    <xf numFmtId="0" fontId="6" fillId="0" borderId="0" xfId="346" applyFont="1" applyAlignment="1">
      <alignment horizontal="left" indent="1"/>
    </xf>
    <xf numFmtId="0" fontId="14" fillId="0" borderId="0" xfId="346"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3" fontId="3" fillId="4" borderId="0" xfId="0" applyNumberFormat="1" applyFont="1" applyFill="1" applyBorder="1" applyProtection="1">
      <protection locked="0"/>
    </xf>
    <xf numFmtId="37" fontId="3" fillId="3" borderId="1" xfId="0" applyNumberFormat="1" applyFont="1" applyFill="1" applyBorder="1" applyProtection="1">
      <protection locked="0"/>
    </xf>
    <xf numFmtId="10" fontId="3" fillId="4" borderId="0" xfId="0" applyNumberFormat="1" applyFont="1" applyFill="1" applyBorder="1" applyProtection="1">
      <protection locked="0"/>
    </xf>
    <xf numFmtId="0" fontId="6" fillId="0" borderId="0" xfId="346" applyFont="1" applyAlignment="1">
      <alignment horizontal="center"/>
    </xf>
    <xf numFmtId="3" fontId="3" fillId="4" borderId="0" xfId="0" applyNumberFormat="1" applyFont="1" applyFill="1" applyBorder="1" applyProtection="1"/>
    <xf numFmtId="37" fontId="16" fillId="4" borderId="0" xfId="0" applyNumberFormat="1" applyFont="1" applyFill="1" applyAlignment="1" applyProtection="1">
      <alignment horizontal="center" vertical="justify"/>
    </xf>
    <xf numFmtId="0" fontId="19" fillId="4" borderId="0" xfId="0" applyFont="1" applyFill="1" applyBorder="1" applyAlignment="1" applyProtection="1">
      <alignment horizontal="center"/>
    </xf>
    <xf numFmtId="37" fontId="3" fillId="4" borderId="1" xfId="0" applyNumberFormat="1" applyFont="1" applyFill="1" applyBorder="1" applyAlignment="1" applyProtection="1">
      <alignment horizontal="left"/>
    </xf>
    <xf numFmtId="37" fontId="3" fillId="4" borderId="2" xfId="0" applyNumberFormat="1" applyFont="1" applyFill="1" applyBorder="1" applyAlignment="1" applyProtection="1">
      <alignment horizontal="left"/>
    </xf>
    <xf numFmtId="0" fontId="3" fillId="4" borderId="2" xfId="0" applyFont="1" applyFill="1" applyBorder="1" applyProtection="1"/>
    <xf numFmtId="37" fontId="3" fillId="4" borderId="0" xfId="0" applyNumberFormat="1" applyFont="1" applyFill="1" applyBorder="1" applyProtection="1"/>
    <xf numFmtId="0" fontId="3" fillId="0" borderId="0" xfId="346" applyFont="1" applyAlignment="1">
      <alignment horizontal="right"/>
    </xf>
    <xf numFmtId="3" fontId="3" fillId="3" borderId="8" xfId="0" applyNumberFormat="1" applyFont="1" applyFill="1" applyBorder="1" applyProtection="1">
      <protection locked="0"/>
    </xf>
    <xf numFmtId="37" fontId="5" fillId="4" borderId="0" xfId="0" applyNumberFormat="1" applyFont="1" applyFill="1" applyAlignment="1" applyProtection="1">
      <alignment horizontal="left"/>
    </xf>
    <xf numFmtId="0" fontId="5" fillId="4" borderId="0" xfId="0" applyFont="1" applyFill="1" applyAlignment="1" applyProtection="1">
      <alignment horizontal="left"/>
    </xf>
    <xf numFmtId="37" fontId="3" fillId="7" borderId="0" xfId="0" applyNumberFormat="1" applyFont="1" applyFill="1" applyBorder="1" applyAlignment="1" applyProtection="1">
      <alignment horizontal="left"/>
    </xf>
    <xf numFmtId="0" fontId="20" fillId="7" borderId="0" xfId="0" applyFont="1" applyFill="1" applyProtection="1"/>
    <xf numFmtId="0" fontId="6" fillId="3" borderId="0" xfId="346" applyFont="1" applyFill="1" applyAlignment="1" applyProtection="1">
      <alignment horizontal="center"/>
      <protection locked="0"/>
    </xf>
    <xf numFmtId="3" fontId="3" fillId="8" borderId="9" xfId="0" applyNumberFormat="1" applyFont="1" applyFill="1" applyBorder="1" applyProtection="1">
      <protection locked="0"/>
    </xf>
    <xf numFmtId="0" fontId="0" fillId="4" borderId="6" xfId="0" applyFill="1" applyBorder="1" applyProtection="1"/>
    <xf numFmtId="37" fontId="5" fillId="4" borderId="0" xfId="0" applyNumberFormat="1" applyFont="1" applyFill="1" applyBorder="1" applyAlignment="1" applyProtection="1">
      <alignment horizontal="left"/>
    </xf>
    <xf numFmtId="3" fontId="3" fillId="8" borderId="9" xfId="0" applyNumberFormat="1" applyFont="1" applyFill="1" applyBorder="1" applyProtection="1"/>
    <xf numFmtId="37" fontId="3" fillId="8" borderId="9" xfId="0" applyNumberFormat="1" applyFont="1" applyFill="1" applyBorder="1" applyProtection="1"/>
    <xf numFmtId="173" fontId="3" fillId="4" borderId="8" xfId="0" applyNumberFormat="1" applyFont="1" applyFill="1" applyBorder="1" applyProtection="1"/>
    <xf numFmtId="0" fontId="0" fillId="4" borderId="0" xfId="0" applyFill="1" applyBorder="1" applyProtection="1"/>
    <xf numFmtId="0" fontId="5" fillId="4" borderId="0" xfId="0" applyFont="1" applyFill="1" applyBorder="1" applyProtection="1"/>
    <xf numFmtId="3" fontId="0" fillId="4" borderId="0" xfId="0" applyNumberFormat="1" applyFill="1" applyBorder="1" applyProtection="1"/>
    <xf numFmtId="173" fontId="3" fillId="3" borderId="1" xfId="0" applyNumberFormat="1" applyFont="1" applyFill="1" applyBorder="1" applyProtection="1">
      <protection locked="0"/>
    </xf>
    <xf numFmtId="173" fontId="3" fillId="3" borderId="2" xfId="0" applyNumberFormat="1" applyFont="1" applyFill="1" applyBorder="1" applyProtection="1">
      <protection locked="0"/>
    </xf>
    <xf numFmtId="173" fontId="3" fillId="3" borderId="10" xfId="0" applyNumberFormat="1" applyFont="1" applyFill="1" applyBorder="1" applyProtection="1">
      <protection locked="0"/>
    </xf>
    <xf numFmtId="37" fontId="5" fillId="4" borderId="0" xfId="0" applyNumberFormat="1" applyFont="1" applyFill="1" applyProtection="1"/>
    <xf numFmtId="3" fontId="3" fillId="3" borderId="1" xfId="0" applyNumberFormat="1" applyFont="1" applyFill="1" applyBorder="1" applyProtection="1">
      <protection locked="0"/>
    </xf>
    <xf numFmtId="3" fontId="3" fillId="3" borderId="2" xfId="0" applyNumberFormat="1" applyFont="1" applyFill="1" applyBorder="1" applyProtection="1">
      <protection locked="0"/>
    </xf>
    <xf numFmtId="37" fontId="3" fillId="4" borderId="11" xfId="0" applyNumberFormat="1" applyFont="1" applyFill="1" applyBorder="1" applyAlignment="1" applyProtection="1">
      <alignment horizontal="left"/>
    </xf>
    <xf numFmtId="0" fontId="3" fillId="4" borderId="12" xfId="0" applyFont="1" applyFill="1" applyBorder="1" applyProtection="1"/>
    <xf numFmtId="0" fontId="20" fillId="4" borderId="0" xfId="0" applyFont="1" applyFill="1"/>
    <xf numFmtId="0" fontId="0" fillId="4" borderId="0" xfId="0" applyFill="1"/>
    <xf numFmtId="0" fontId="3" fillId="5" borderId="3" xfId="0" applyFont="1" applyFill="1" applyBorder="1" applyAlignment="1">
      <alignment horizontal="center"/>
    </xf>
    <xf numFmtId="0" fontId="3" fillId="5" borderId="7" xfId="0" applyFont="1" applyFill="1" applyBorder="1" applyAlignment="1">
      <alignment horizontal="center"/>
    </xf>
    <xf numFmtId="0" fontId="21" fillId="4" borderId="0" xfId="0" applyFont="1" applyFill="1" applyAlignment="1"/>
    <xf numFmtId="37" fontId="3" fillId="4" borderId="8" xfId="0" applyNumberFormat="1" applyFont="1" applyFill="1" applyBorder="1"/>
    <xf numFmtId="0" fontId="21" fillId="4" borderId="0" xfId="0" applyFont="1" applyFill="1"/>
    <xf numFmtId="3" fontId="3" fillId="3" borderId="13" xfId="0" applyNumberFormat="1" applyFont="1" applyFill="1" applyBorder="1" applyProtection="1">
      <protection locked="0"/>
    </xf>
    <xf numFmtId="3" fontId="3" fillId="3" borderId="6" xfId="0" applyNumberFormat="1" applyFont="1" applyFill="1" applyBorder="1" applyProtection="1">
      <protection locked="0"/>
    </xf>
    <xf numFmtId="3" fontId="3" fillId="3" borderId="7" xfId="0" applyNumberFormat="1" applyFont="1" applyFill="1" applyBorder="1" applyProtection="1">
      <protection locked="0"/>
    </xf>
    <xf numFmtId="3" fontId="3" fillId="8" borderId="14" xfId="0" applyNumberFormat="1" applyFont="1" applyFill="1" applyBorder="1" applyProtection="1">
      <protection locked="0"/>
    </xf>
    <xf numFmtId="0" fontId="3" fillId="0" borderId="0" xfId="0" applyFont="1" applyAlignment="1">
      <alignment horizontal="left" wrapText="1"/>
    </xf>
    <xf numFmtId="2" fontId="3" fillId="8" borderId="14" xfId="0" applyNumberFormat="1" applyFont="1" applyFill="1" applyBorder="1" applyProtection="1">
      <protection locked="0"/>
    </xf>
    <xf numFmtId="0" fontId="3" fillId="0" borderId="0" xfId="0" applyFont="1" applyAlignment="1" applyProtection="1">
      <alignment vertical="center"/>
      <protection locked="0"/>
    </xf>
    <xf numFmtId="0" fontId="3" fillId="4" borderId="0" xfId="0" applyFont="1" applyFill="1" applyAlignment="1" applyProtection="1">
      <alignment horizontal="left" vertical="center"/>
    </xf>
    <xf numFmtId="0" fontId="3" fillId="4" borderId="0" xfId="0" applyFont="1" applyFill="1" applyAlignment="1" applyProtection="1">
      <alignment vertical="center"/>
    </xf>
    <xf numFmtId="0" fontId="4" fillId="4" borderId="0" xfId="0" applyFont="1" applyFill="1" applyAlignment="1" applyProtection="1">
      <alignment horizontal="left" vertical="center"/>
    </xf>
    <xf numFmtId="0" fontId="3" fillId="2" borderId="1"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xf>
    <xf numFmtId="0" fontId="3" fillId="2" borderId="2"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xf>
    <xf numFmtId="0" fontId="3" fillId="4" borderId="0" xfId="0" applyFont="1" applyFill="1" applyBorder="1" applyAlignment="1" applyProtection="1">
      <alignment vertical="center"/>
    </xf>
    <xf numFmtId="0" fontId="4" fillId="3" borderId="8"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3" fillId="4" borderId="0" xfId="0" applyFont="1" applyFill="1" applyAlignment="1" applyProtection="1">
      <alignment horizontal="centerContinuous" vertical="center"/>
    </xf>
    <xf numFmtId="0" fontId="4" fillId="4" borderId="0" xfId="0" applyFont="1" applyFill="1" applyAlignment="1" applyProtection="1">
      <alignment vertical="center"/>
    </xf>
    <xf numFmtId="37" fontId="16" fillId="4" borderId="0" xfId="0" applyNumberFormat="1" applyFont="1" applyFill="1" applyAlignment="1" applyProtection="1">
      <alignment horizontal="center" vertical="center"/>
    </xf>
    <xf numFmtId="0" fontId="4" fillId="6" borderId="0" xfId="0" applyFont="1" applyFill="1" applyAlignment="1" applyProtection="1">
      <alignment vertical="center"/>
    </xf>
    <xf numFmtId="0" fontId="3" fillId="6" borderId="0" xfId="0" applyFont="1" applyFill="1" applyAlignment="1" applyProtection="1">
      <alignment vertical="center"/>
    </xf>
    <xf numFmtId="37" fontId="4" fillId="9" borderId="0" xfId="0" applyNumberFormat="1" applyFont="1" applyFill="1" applyAlignment="1" applyProtection="1">
      <alignment horizontal="left" vertical="center"/>
    </xf>
    <xf numFmtId="0" fontId="3" fillId="9" borderId="0" xfId="0" applyFont="1" applyFill="1" applyAlignment="1" applyProtection="1">
      <alignment vertical="center"/>
    </xf>
    <xf numFmtId="0" fontId="3"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3" fillId="4" borderId="8" xfId="0" applyFont="1" applyFill="1" applyBorder="1" applyAlignment="1" applyProtection="1">
      <alignment horizontal="left" vertical="center"/>
    </xf>
    <xf numFmtId="0" fontId="3" fillId="2" borderId="8" xfId="0" applyFont="1" applyFill="1" applyBorder="1" applyAlignment="1" applyProtection="1">
      <alignment horizontal="center" vertical="center"/>
      <protection locked="0"/>
    </xf>
    <xf numFmtId="3" fontId="3" fillId="2" borderId="8" xfId="0" applyNumberFormat="1"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3" fontId="3" fillId="4" borderId="0" xfId="0" applyNumberFormat="1" applyFont="1" applyFill="1" applyAlignment="1" applyProtection="1">
      <alignment vertical="center"/>
    </xf>
    <xf numFmtId="0" fontId="3" fillId="2" borderId="8" xfId="0" applyFont="1" applyFill="1" applyBorder="1" applyAlignment="1" applyProtection="1">
      <alignment vertical="center"/>
      <protection locked="0"/>
    </xf>
    <xf numFmtId="0" fontId="3" fillId="4" borderId="1" xfId="0" applyFont="1" applyFill="1" applyBorder="1" applyAlignment="1" applyProtection="1">
      <alignment horizontal="left" vertical="center"/>
    </xf>
    <xf numFmtId="0" fontId="3" fillId="4" borderId="1" xfId="0" applyFont="1" applyFill="1" applyBorder="1" applyAlignment="1" applyProtection="1">
      <alignment vertical="center"/>
    </xf>
    <xf numFmtId="3" fontId="3" fillId="4" borderId="13" xfId="0" applyNumberFormat="1" applyFont="1" applyFill="1" applyBorder="1" applyAlignment="1" applyProtection="1">
      <alignment vertical="center"/>
    </xf>
    <xf numFmtId="3" fontId="3" fillId="8" borderId="15" xfId="0" applyNumberFormat="1" applyFont="1" applyFill="1" applyBorder="1" applyAlignment="1" applyProtection="1">
      <alignment vertical="center"/>
    </xf>
    <xf numFmtId="37" fontId="3" fillId="4" borderId="0" xfId="0" applyNumberFormat="1" applyFont="1" applyFill="1" applyAlignment="1" applyProtection="1">
      <alignment horizontal="left" vertical="center"/>
    </xf>
    <xf numFmtId="0" fontId="3" fillId="4" borderId="6" xfId="0" applyFont="1" applyFill="1" applyBorder="1" applyAlignment="1" applyProtection="1">
      <alignment vertical="center"/>
    </xf>
    <xf numFmtId="3" fontId="3" fillId="8" borderId="14" xfId="0" applyNumberFormat="1"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4" borderId="8" xfId="0" applyFont="1" applyFill="1" applyBorder="1" applyAlignment="1" applyProtection="1">
      <alignment vertical="center"/>
    </xf>
    <xf numFmtId="164" fontId="3" fillId="2" borderId="8" xfId="0" applyNumberFormat="1" applyFont="1" applyFill="1" applyBorder="1" applyAlignment="1" applyProtection="1">
      <alignment vertical="center"/>
      <protection locked="0"/>
    </xf>
    <xf numFmtId="164" fontId="3" fillId="4" borderId="14" xfId="0" applyNumberFormat="1" applyFont="1" applyFill="1" applyBorder="1" applyAlignment="1" applyProtection="1">
      <alignment vertical="center"/>
    </xf>
    <xf numFmtId="3" fontId="3" fillId="4" borderId="0" xfId="0" applyNumberFormat="1" applyFont="1" applyFill="1" applyBorder="1" applyAlignment="1" applyProtection="1">
      <alignment vertical="center"/>
      <protection locked="0"/>
    </xf>
    <xf numFmtId="37" fontId="3" fillId="6" borderId="0" xfId="0" applyNumberFormat="1" applyFont="1" applyFill="1" applyAlignment="1" applyProtection="1">
      <alignment horizontal="left" vertical="center"/>
    </xf>
    <xf numFmtId="3" fontId="3" fillId="2" borderId="1" xfId="0" applyNumberFormat="1" applyFont="1" applyFill="1" applyBorder="1" applyAlignment="1" applyProtection="1">
      <alignment vertical="center"/>
      <protection locked="0"/>
    </xf>
    <xf numFmtId="0" fontId="3" fillId="4" borderId="0" xfId="0" applyFont="1" applyFill="1" applyAlignment="1" applyProtection="1">
      <alignment vertical="center"/>
      <protection locked="0"/>
    </xf>
    <xf numFmtId="3" fontId="3" fillId="3" borderId="8" xfId="0" applyNumberFormat="1" applyFont="1" applyFill="1" applyBorder="1" applyAlignment="1" applyProtection="1">
      <alignment vertical="center"/>
      <protection locked="0"/>
    </xf>
    <xf numFmtId="0" fontId="3" fillId="0" borderId="0" xfId="0" applyFont="1" applyAlignment="1">
      <alignment vertical="center"/>
    </xf>
    <xf numFmtId="0" fontId="3" fillId="4" borderId="0" xfId="0" applyFont="1" applyFill="1" applyAlignment="1" applyProtection="1">
      <alignment horizontal="centerContinuous" vertical="center"/>
      <protection locked="0"/>
    </xf>
    <xf numFmtId="37" fontId="3" fillId="4" borderId="0" xfId="0" applyNumberFormat="1" applyFont="1" applyFill="1" applyAlignment="1" applyProtection="1">
      <alignment horizontal="centerContinuous" vertical="center"/>
    </xf>
    <xf numFmtId="0" fontId="3" fillId="4" borderId="0" xfId="0" applyFont="1" applyFill="1" applyAlignment="1" applyProtection="1">
      <alignment horizontal="fill" vertical="center"/>
    </xf>
    <xf numFmtId="0" fontId="3" fillId="4" borderId="16" xfId="0" applyFont="1" applyFill="1" applyBorder="1" applyAlignment="1" applyProtection="1">
      <alignment horizontal="centerContinuous" vertical="center"/>
    </xf>
    <xf numFmtId="0" fontId="3" fillId="4" borderId="13" xfId="0" applyFont="1" applyFill="1" applyBorder="1" applyAlignment="1" applyProtection="1">
      <alignment horizontal="centerContinuous" vertical="center"/>
    </xf>
    <xf numFmtId="0" fontId="3" fillId="4" borderId="8" xfId="0" applyFont="1" applyFill="1" applyBorder="1" applyAlignment="1" applyProtection="1">
      <alignment horizontal="centerContinuous" vertical="center"/>
    </xf>
    <xf numFmtId="0" fontId="3" fillId="4" borderId="2" xfId="0" applyFont="1" applyFill="1" applyBorder="1" applyAlignment="1" applyProtection="1">
      <alignment horizontal="centerContinuous" vertical="center"/>
    </xf>
    <xf numFmtId="0" fontId="3" fillId="4" borderId="17" xfId="0" applyFont="1" applyFill="1" applyBorder="1" applyAlignment="1" applyProtection="1">
      <alignment horizontal="center" vertical="center"/>
    </xf>
    <xf numFmtId="0" fontId="3" fillId="4" borderId="17" xfId="0" applyFont="1" applyFill="1" applyBorder="1" applyAlignment="1" applyProtection="1">
      <alignment horizontal="center" vertical="center"/>
      <protection locked="0"/>
    </xf>
    <xf numFmtId="0" fontId="3" fillId="4" borderId="17" xfId="0" applyFont="1" applyFill="1" applyBorder="1" applyAlignment="1" applyProtection="1">
      <alignment vertical="center"/>
    </xf>
    <xf numFmtId="0" fontId="3" fillId="4" borderId="7" xfId="0" applyFont="1" applyFill="1" applyBorder="1" applyAlignment="1" applyProtection="1">
      <alignment horizontal="center" vertical="center"/>
    </xf>
    <xf numFmtId="0" fontId="3" fillId="4" borderId="7" xfId="0" applyFont="1" applyFill="1" applyBorder="1" applyAlignment="1" applyProtection="1">
      <alignment horizontal="center" vertical="center"/>
      <protection locked="0"/>
    </xf>
    <xf numFmtId="37" fontId="3" fillId="4" borderId="8" xfId="0" applyNumberFormat="1" applyFont="1" applyFill="1" applyBorder="1" applyAlignment="1" applyProtection="1">
      <alignment vertical="center"/>
    </xf>
    <xf numFmtId="164" fontId="3"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vertical="center"/>
    </xf>
    <xf numFmtId="0" fontId="3" fillId="4" borderId="11" xfId="0" applyFont="1" applyFill="1" applyBorder="1" applyAlignment="1" applyProtection="1">
      <alignment vertical="center"/>
    </xf>
    <xf numFmtId="37" fontId="3" fillId="8" borderId="8" xfId="0" applyNumberFormat="1" applyFont="1" applyFill="1" applyBorder="1" applyAlignment="1" applyProtection="1">
      <alignment vertical="center"/>
    </xf>
    <xf numFmtId="3" fontId="3" fillId="8" borderId="8" xfId="0" applyNumberFormat="1" applyFont="1" applyFill="1" applyBorder="1" applyAlignment="1" applyProtection="1">
      <alignment vertical="center"/>
    </xf>
    <xf numFmtId="164" fontId="3" fillId="4" borderId="3" xfId="0" applyNumberFormat="1" applyFont="1" applyFill="1" applyBorder="1" applyAlignment="1" applyProtection="1">
      <alignment vertical="center"/>
    </xf>
    <xf numFmtId="37" fontId="3" fillId="4" borderId="13" xfId="0" applyNumberFormat="1" applyFont="1" applyFill="1" applyBorder="1" applyAlignment="1" applyProtection="1">
      <alignment vertical="center"/>
    </xf>
    <xf numFmtId="37" fontId="3" fillId="4" borderId="0" xfId="0" applyNumberFormat="1" applyFont="1" applyFill="1" applyBorder="1" applyAlignment="1" applyProtection="1">
      <alignment vertical="center"/>
    </xf>
    <xf numFmtId="164" fontId="3" fillId="4" borderId="0" xfId="0" applyNumberFormat="1" applyFont="1" applyFill="1" applyBorder="1" applyAlignment="1" applyProtection="1">
      <alignment vertical="center"/>
    </xf>
    <xf numFmtId="37" fontId="3" fillId="8" borderId="14" xfId="0" applyNumberFormat="1" applyFont="1" applyFill="1" applyBorder="1" applyAlignment="1" applyProtection="1">
      <alignment vertical="center"/>
    </xf>
    <xf numFmtId="164" fontId="3" fillId="4" borderId="17" xfId="0" applyNumberFormat="1" applyFont="1" applyFill="1" applyBorder="1" applyAlignment="1" applyProtection="1">
      <alignment vertical="center"/>
    </xf>
    <xf numFmtId="37" fontId="3" fillId="8" borderId="15" xfId="0" applyNumberFormat="1" applyFont="1" applyFill="1" applyBorder="1" applyAlignment="1" applyProtection="1">
      <alignment vertical="center"/>
    </xf>
    <xf numFmtId="37" fontId="3" fillId="4" borderId="7" xfId="0" applyNumberFormat="1" applyFont="1" applyFill="1" applyBorder="1" applyAlignment="1" applyProtection="1">
      <alignment vertical="center"/>
    </xf>
    <xf numFmtId="37" fontId="3" fillId="4" borderId="6" xfId="0" applyNumberFormat="1" applyFont="1" applyFill="1" applyBorder="1" applyAlignment="1" applyProtection="1">
      <alignment vertical="center"/>
    </xf>
    <xf numFmtId="37" fontId="3" fillId="4" borderId="14" xfId="0" applyNumberFormat="1" applyFont="1" applyFill="1" applyBorder="1" applyAlignment="1" applyProtection="1">
      <alignment vertical="center"/>
    </xf>
    <xf numFmtId="37" fontId="3" fillId="4" borderId="8" xfId="0" applyNumberFormat="1" applyFont="1" applyFill="1" applyBorder="1" applyAlignment="1" applyProtection="1">
      <alignment horizontal="center" vertical="center"/>
    </xf>
    <xf numFmtId="37" fontId="3" fillId="4" borderId="0" xfId="0" applyNumberFormat="1" applyFont="1" applyFill="1" applyAlignment="1" applyProtection="1">
      <alignment vertical="center"/>
    </xf>
    <xf numFmtId="0" fontId="3" fillId="4" borderId="0" xfId="0" applyFont="1" applyFill="1" applyAlignment="1" applyProtection="1">
      <alignment horizontal="left" vertical="center"/>
      <protection locked="0"/>
    </xf>
    <xf numFmtId="165" fontId="3" fillId="4" borderId="0" xfId="0" applyNumberFormat="1" applyFont="1" applyFill="1" applyAlignment="1" applyProtection="1">
      <alignment vertical="center"/>
    </xf>
    <xf numFmtId="0" fontId="3" fillId="4" borderId="0" xfId="0" applyFont="1" applyFill="1" applyAlignment="1">
      <alignment vertical="center"/>
    </xf>
    <xf numFmtId="0" fontId="3" fillId="4" borderId="1" xfId="0" applyFont="1" applyFill="1" applyBorder="1" applyAlignment="1" applyProtection="1">
      <alignment horizontal="fill" vertical="center"/>
      <protection locked="0"/>
    </xf>
    <xf numFmtId="0" fontId="3" fillId="4" borderId="1" xfId="0" applyFont="1" applyFill="1" applyBorder="1" applyAlignment="1" applyProtection="1">
      <alignment horizontal="fill" vertical="center"/>
    </xf>
    <xf numFmtId="0" fontId="3" fillId="4" borderId="0" xfId="0" applyFont="1" applyFill="1" applyAlignment="1" applyProtection="1">
      <alignment horizontal="right" vertical="center"/>
    </xf>
    <xf numFmtId="165" fontId="3" fillId="2" borderId="0" xfId="0" applyNumberFormat="1" applyFont="1" applyFill="1" applyAlignment="1" applyProtection="1">
      <alignment horizontal="left" vertical="center"/>
      <protection locked="0"/>
    </xf>
    <xf numFmtId="37" fontId="3" fillId="4" borderId="0" xfId="0" applyNumberFormat="1" applyFont="1" applyFill="1" applyAlignment="1" applyProtection="1">
      <alignment vertical="center"/>
      <protection locked="0"/>
    </xf>
    <xf numFmtId="0" fontId="0" fillId="0" borderId="0" xfId="0" applyAlignment="1">
      <alignment vertical="center"/>
    </xf>
    <xf numFmtId="0" fontId="4" fillId="4" borderId="0" xfId="0" applyFont="1" applyFill="1" applyAlignment="1" applyProtection="1">
      <alignment horizontal="center" vertical="center"/>
    </xf>
    <xf numFmtId="0" fontId="3" fillId="4" borderId="3" xfId="0" applyFont="1" applyFill="1" applyBorder="1" applyAlignment="1" applyProtection="1">
      <alignment vertical="center"/>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37" fontId="3" fillId="4" borderId="8" xfId="0" applyNumberFormat="1" applyFont="1" applyFill="1" applyBorder="1" applyAlignment="1" applyProtection="1">
      <alignment horizontal="left" vertical="center"/>
    </xf>
    <xf numFmtId="3" fontId="3" fillId="3" borderId="8" xfId="0" applyNumberFormat="1" applyFont="1" applyFill="1" applyBorder="1" applyAlignment="1" applyProtection="1">
      <alignment horizontal="center" vertical="center"/>
      <protection locked="0"/>
    </xf>
    <xf numFmtId="174" fontId="3" fillId="4" borderId="8"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horizontal="center" vertical="center"/>
    </xf>
    <xf numFmtId="3" fontId="3" fillId="4" borderId="14" xfId="0" applyNumberFormat="1" applyFont="1" applyFill="1" applyBorder="1" applyAlignment="1" applyProtection="1">
      <alignment horizontal="center" vertical="center"/>
    </xf>
    <xf numFmtId="174" fontId="3" fillId="4" borderId="14" xfId="0" applyNumberFormat="1" applyFont="1" applyFill="1" applyBorder="1" applyAlignment="1" applyProtection="1">
      <alignment horizontal="center" vertical="center"/>
    </xf>
    <xf numFmtId="3" fontId="3" fillId="4" borderId="1" xfId="0" applyNumberFormat="1" applyFont="1" applyFill="1" applyBorder="1" applyAlignment="1" applyProtection="1">
      <alignment horizontal="center" vertical="center"/>
    </xf>
    <xf numFmtId="174" fontId="3" fillId="4" borderId="1" xfId="0" applyNumberFormat="1" applyFont="1" applyFill="1" applyBorder="1" applyAlignment="1" applyProtection="1">
      <alignment horizontal="center" vertical="center"/>
    </xf>
    <xf numFmtId="174" fontId="3" fillId="4" borderId="0" xfId="0" applyNumberFormat="1" applyFont="1" applyFill="1" applyBorder="1" applyAlignment="1" applyProtection="1">
      <alignment horizontal="center" vertical="center"/>
    </xf>
    <xf numFmtId="0" fontId="3" fillId="4" borderId="0" xfId="0" applyFont="1" applyFill="1" applyAlignment="1">
      <alignment horizontal="right" vertical="center"/>
    </xf>
    <xf numFmtId="3" fontId="3" fillId="4" borderId="1" xfId="0" applyNumberFormat="1"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3" fillId="4" borderId="1" xfId="0" applyFont="1" applyFill="1" applyBorder="1" applyAlignment="1">
      <alignment horizontal="center" vertical="center"/>
    </xf>
    <xf numFmtId="0" fontId="3" fillId="3" borderId="0" xfId="0" applyFont="1" applyFill="1" applyAlignment="1" applyProtection="1">
      <alignment horizontal="left" vertical="center"/>
      <protection locked="0"/>
    </xf>
    <xf numFmtId="0" fontId="3" fillId="4" borderId="17" xfId="0" applyFont="1" applyFill="1" applyBorder="1" applyAlignment="1" applyProtection="1">
      <alignment horizontal="left" vertical="center"/>
    </xf>
    <xf numFmtId="0" fontId="3" fillId="4" borderId="5" xfId="0" applyFont="1" applyFill="1" applyBorder="1" applyAlignment="1" applyProtection="1">
      <alignment horizontal="center" vertical="center"/>
    </xf>
    <xf numFmtId="0" fontId="3" fillId="0" borderId="0" xfId="0" applyFont="1" applyAlignment="1">
      <alignment horizontal="center" vertical="center"/>
    </xf>
    <xf numFmtId="0" fontId="3" fillId="4" borderId="3" xfId="0" applyFont="1" applyFill="1" applyBorder="1" applyAlignment="1" applyProtection="1">
      <alignment horizontal="center" vertical="center"/>
    </xf>
    <xf numFmtId="0" fontId="3" fillId="4" borderId="7" xfId="0" applyFont="1" applyFill="1" applyBorder="1" applyAlignment="1" applyProtection="1">
      <alignment horizontal="fill" vertical="center"/>
    </xf>
    <xf numFmtId="0" fontId="3" fillId="4" borderId="6" xfId="0" applyFont="1" applyFill="1" applyBorder="1" applyAlignment="1" applyProtection="1">
      <alignment horizontal="fill" vertical="center"/>
    </xf>
    <xf numFmtId="0" fontId="3" fillId="4" borderId="16" xfId="0" applyFont="1" applyFill="1" applyBorder="1" applyAlignment="1" applyProtection="1">
      <alignment horizontal="fill" vertical="center"/>
    </xf>
    <xf numFmtId="0" fontId="3" fillId="4" borderId="8" xfId="0" applyFont="1" applyFill="1" applyBorder="1" applyAlignment="1" applyProtection="1">
      <alignment horizontal="center" vertical="center"/>
    </xf>
    <xf numFmtId="0" fontId="3" fillId="4" borderId="0" xfId="0" applyFont="1" applyFill="1" applyBorder="1" applyAlignment="1" applyProtection="1">
      <alignment horizontal="fill" vertical="center"/>
    </xf>
    <xf numFmtId="0" fontId="3" fillId="4" borderId="4" xfId="0" applyFont="1" applyFill="1" applyBorder="1" applyAlignment="1" applyProtection="1">
      <alignment horizontal="fill" vertical="center"/>
    </xf>
    <xf numFmtId="37" fontId="3" fillId="4" borderId="16" xfId="0" applyNumberFormat="1" applyFont="1" applyFill="1" applyBorder="1" applyAlignment="1" applyProtection="1">
      <alignment horizontal="left" vertical="center"/>
    </xf>
    <xf numFmtId="0" fontId="3" fillId="4" borderId="5" xfId="0" applyFont="1" applyFill="1" applyBorder="1" applyAlignment="1" applyProtection="1">
      <alignment horizontal="fill" vertical="center"/>
    </xf>
    <xf numFmtId="0" fontId="3" fillId="4" borderId="13" xfId="0" applyFont="1" applyFill="1" applyBorder="1" applyAlignment="1" applyProtection="1">
      <alignment vertical="center"/>
    </xf>
    <xf numFmtId="0" fontId="3" fillId="4" borderId="12" xfId="0" applyFont="1" applyFill="1" applyBorder="1" applyAlignment="1" applyProtection="1">
      <alignment vertical="center"/>
    </xf>
    <xf numFmtId="0" fontId="3" fillId="4" borderId="16" xfId="0" applyFont="1" applyFill="1" applyBorder="1" applyAlignment="1" applyProtection="1">
      <alignment horizontal="left" vertical="center"/>
    </xf>
    <xf numFmtId="0" fontId="3" fillId="8" borderId="8" xfId="0" applyFont="1" applyFill="1" applyBorder="1" applyAlignment="1" applyProtection="1">
      <alignment horizontal="center" vertical="center"/>
    </xf>
    <xf numFmtId="3" fontId="3" fillId="4" borderId="7" xfId="0" applyNumberFormat="1" applyFont="1" applyFill="1" applyBorder="1" applyAlignment="1" applyProtection="1">
      <alignment vertical="center"/>
    </xf>
    <xf numFmtId="164" fontId="3" fillId="4" borderId="7" xfId="0" applyNumberFormat="1" applyFont="1" applyFill="1" applyBorder="1" applyAlignment="1" applyProtection="1">
      <alignment vertical="center"/>
    </xf>
    <xf numFmtId="0" fontId="3" fillId="4" borderId="16"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13" xfId="0" applyFont="1" applyFill="1" applyBorder="1" applyAlignment="1" applyProtection="1">
      <alignment horizontal="center" vertical="center"/>
    </xf>
    <xf numFmtId="3" fontId="3" fillId="4" borderId="13" xfId="0" applyNumberFormat="1" applyFont="1" applyFill="1" applyBorder="1" applyAlignment="1" applyProtection="1">
      <alignment horizontal="center" vertical="center"/>
    </xf>
    <xf numFmtId="0" fontId="3" fillId="4" borderId="10" xfId="0" applyFont="1" applyFill="1" applyBorder="1" applyAlignment="1" applyProtection="1">
      <alignment vertical="center"/>
    </xf>
    <xf numFmtId="3" fontId="3" fillId="4" borderId="3" xfId="0" applyNumberFormat="1" applyFont="1" applyFill="1" applyBorder="1" applyAlignment="1" applyProtection="1">
      <alignment vertical="center"/>
    </xf>
    <xf numFmtId="37" fontId="3" fillId="4" borderId="3" xfId="0" applyNumberFormat="1" applyFont="1" applyFill="1" applyBorder="1" applyAlignment="1" applyProtection="1">
      <alignment vertical="center"/>
    </xf>
    <xf numFmtId="0" fontId="4" fillId="4" borderId="16" xfId="0" applyFont="1" applyFill="1" applyBorder="1" applyAlignment="1" applyProtection="1">
      <alignment horizontal="left" vertical="center"/>
    </xf>
    <xf numFmtId="0" fontId="3" fillId="4" borderId="8" xfId="0" applyFont="1" applyFill="1" applyBorder="1" applyAlignment="1" applyProtection="1">
      <alignment horizontal="fill" vertical="center"/>
    </xf>
    <xf numFmtId="3" fontId="3" fillId="4" borderId="14" xfId="0" applyNumberFormat="1" applyFont="1" applyFill="1" applyBorder="1" applyAlignment="1" applyProtection="1">
      <alignment vertical="center"/>
    </xf>
    <xf numFmtId="172" fontId="3" fillId="4" borderId="14" xfId="0" applyNumberFormat="1" applyFont="1" applyFill="1" applyBorder="1" applyAlignment="1" applyProtection="1">
      <alignment vertical="center"/>
    </xf>
    <xf numFmtId="165" fontId="3" fillId="4" borderId="8" xfId="0" applyNumberFormat="1" applyFont="1" applyFill="1" applyBorder="1" applyAlignment="1" applyProtection="1">
      <alignment horizontal="center" vertical="center"/>
    </xf>
    <xf numFmtId="0" fontId="3" fillId="10" borderId="8" xfId="0" applyFont="1" applyFill="1" applyBorder="1" applyAlignment="1">
      <alignment horizontal="center" vertical="center" shrinkToFit="1"/>
    </xf>
    <xf numFmtId="0" fontId="20" fillId="10"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3" fillId="4" borderId="12" xfId="0" applyFont="1" applyFill="1" applyBorder="1" applyAlignment="1" applyProtection="1">
      <alignment horizontal="left" vertical="center"/>
    </xf>
    <xf numFmtId="0" fontId="3" fillId="3" borderId="1"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4" borderId="0" xfId="0" applyFont="1" applyFill="1" applyAlignment="1" applyProtection="1">
      <alignment horizontal="center" vertical="center" wrapText="1"/>
    </xf>
    <xf numFmtId="0" fontId="3" fillId="4" borderId="0" xfId="0" quotePrefix="1" applyFont="1" applyFill="1" applyAlignment="1" applyProtection="1">
      <alignment vertical="center"/>
    </xf>
    <xf numFmtId="3" fontId="3" fillId="4" borderId="0" xfId="0" quotePrefix="1" applyNumberFormat="1" applyFont="1" applyFill="1" applyAlignment="1" applyProtection="1">
      <alignment vertical="center"/>
    </xf>
    <xf numFmtId="3" fontId="3" fillId="4" borderId="1" xfId="0" applyNumberFormat="1" applyFont="1" applyFill="1" applyBorder="1" applyAlignment="1" applyProtection="1">
      <alignment vertical="center"/>
    </xf>
    <xf numFmtId="3" fontId="3" fillId="4" borderId="2" xfId="0" applyNumberFormat="1" applyFont="1" applyFill="1" applyBorder="1" applyAlignment="1" applyProtection="1">
      <alignment vertical="center"/>
    </xf>
    <xf numFmtId="3" fontId="3" fillId="4" borderId="0" xfId="0" applyNumberFormat="1" applyFont="1" applyFill="1" applyBorder="1" applyAlignment="1" applyProtection="1">
      <alignment vertical="center"/>
    </xf>
    <xf numFmtId="3" fontId="3" fillId="4" borderId="10" xfId="0" applyNumberFormat="1" applyFont="1" applyFill="1" applyBorder="1" applyAlignment="1" applyProtection="1">
      <alignment vertical="center"/>
    </xf>
    <xf numFmtId="168" fontId="3" fillId="4" borderId="1" xfId="0" applyNumberFormat="1" applyFont="1" applyFill="1" applyBorder="1" applyAlignment="1" applyProtection="1">
      <alignment vertical="center"/>
    </xf>
    <xf numFmtId="0" fontId="3" fillId="4" borderId="0" xfId="0" quotePrefix="1" applyFont="1" applyFill="1" applyBorder="1" applyAlignment="1" applyProtection="1">
      <alignment vertical="center"/>
    </xf>
    <xf numFmtId="3" fontId="3" fillId="4" borderId="9" xfId="0" applyNumberFormat="1" applyFont="1" applyFill="1" applyBorder="1" applyAlignment="1" applyProtection="1">
      <alignment vertical="center"/>
    </xf>
    <xf numFmtId="37" fontId="3" fillId="4" borderId="0" xfId="0" applyNumberFormat="1" applyFont="1" applyFill="1" applyAlignment="1" applyProtection="1">
      <alignment horizontal="right" vertical="center"/>
    </xf>
    <xf numFmtId="37" fontId="4" fillId="4" borderId="0" xfId="0" applyNumberFormat="1" applyFont="1" applyFill="1" applyBorder="1" applyAlignment="1" applyProtection="1">
      <alignment horizontal="center" vertical="center"/>
    </xf>
    <xf numFmtId="37" fontId="3" fillId="4" borderId="1" xfId="0" applyNumberFormat="1" applyFont="1" applyFill="1" applyBorder="1" applyAlignment="1" applyProtection="1">
      <alignment vertical="center"/>
    </xf>
    <xf numFmtId="166" fontId="3" fillId="8" borderId="1" xfId="0" applyNumberFormat="1" applyFont="1" applyFill="1" applyBorder="1" applyAlignment="1" applyProtection="1">
      <alignment vertical="center"/>
    </xf>
    <xf numFmtId="166" fontId="3" fillId="4" borderId="0" xfId="0" applyNumberFormat="1" applyFont="1" applyFill="1" applyBorder="1" applyAlignment="1" applyProtection="1">
      <alignment vertical="center"/>
    </xf>
    <xf numFmtId="167" fontId="3" fillId="8" borderId="1" xfId="0" applyNumberFormat="1" applyFont="1" applyFill="1" applyBorder="1" applyAlignment="1" applyProtection="1">
      <alignment vertical="center"/>
    </xf>
    <xf numFmtId="167" fontId="3" fillId="4" borderId="0" xfId="0" applyNumberFormat="1" applyFont="1" applyFill="1" applyBorder="1" applyAlignment="1" applyProtection="1">
      <alignment vertical="center"/>
    </xf>
    <xf numFmtId="0" fontId="3" fillId="4" borderId="0" xfId="0" applyFont="1" applyFill="1" applyAlignment="1" applyProtection="1">
      <alignment horizontal="right" vertical="center"/>
      <protection locked="0"/>
    </xf>
    <xf numFmtId="0" fontId="3" fillId="0" borderId="0" xfId="0" applyFont="1" applyFill="1" applyAlignment="1" applyProtection="1">
      <alignment vertical="center"/>
      <protection locked="0"/>
    </xf>
    <xf numFmtId="37" fontId="3" fillId="4" borderId="0" xfId="0" applyNumberFormat="1" applyFont="1" applyFill="1" applyAlignment="1">
      <alignment vertical="center"/>
    </xf>
    <xf numFmtId="0" fontId="4" fillId="4" borderId="1"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1" fontId="3" fillId="4" borderId="7"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3" borderId="7" xfId="0" applyFont="1" applyFill="1" applyBorder="1" applyAlignment="1" applyProtection="1">
      <alignment vertical="center"/>
      <protection locked="0"/>
    </xf>
    <xf numFmtId="169" fontId="3" fillId="3" borderId="7" xfId="1" applyNumberFormat="1" applyFont="1" applyFill="1" applyBorder="1" applyAlignment="1" applyProtection="1">
      <alignment vertical="center"/>
      <protection locked="0"/>
    </xf>
    <xf numFmtId="169" fontId="3" fillId="3" borderId="8" xfId="1" applyNumberFormat="1"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4" fillId="4" borderId="8" xfId="0" applyFont="1" applyFill="1" applyBorder="1" applyAlignment="1" applyProtection="1">
      <alignment horizontal="center" vertical="center"/>
    </xf>
    <xf numFmtId="3" fontId="3" fillId="8" borderId="8" xfId="0" applyNumberFormat="1" applyFont="1" applyFill="1" applyBorder="1" applyAlignment="1" applyProtection="1">
      <alignment horizontal="right" vertical="center"/>
    </xf>
    <xf numFmtId="0" fontId="3" fillId="4" borderId="0" xfId="0" applyFont="1" applyFill="1" applyAlignment="1" applyProtection="1">
      <alignment horizontal="center" vertical="center"/>
      <protection locked="0"/>
    </xf>
    <xf numFmtId="37" fontId="4" fillId="4" borderId="8" xfId="0" applyNumberFormat="1" applyFont="1" applyFill="1" applyBorder="1" applyAlignment="1" applyProtection="1">
      <alignment horizontal="center" vertical="center"/>
    </xf>
    <xf numFmtId="0" fontId="3" fillId="4" borderId="8" xfId="0" applyFont="1" applyFill="1" applyBorder="1" applyAlignment="1" applyProtection="1">
      <alignment horizontal="right" vertical="center"/>
    </xf>
    <xf numFmtId="0" fontId="3" fillId="3" borderId="8" xfId="0" applyFont="1" applyFill="1" applyBorder="1" applyAlignment="1" applyProtection="1">
      <alignment horizontal="right" vertical="center"/>
      <protection locked="0"/>
    </xf>
    <xf numFmtId="0" fontId="3" fillId="4" borderId="0" xfId="0" applyNumberFormat="1" applyFont="1" applyFill="1" applyAlignment="1" applyProtection="1">
      <alignment horizontal="right" vertical="center"/>
    </xf>
    <xf numFmtId="0" fontId="4" fillId="4" borderId="0" xfId="345" applyFont="1" applyFill="1" applyAlignment="1" applyProtection="1">
      <alignment horizontal="centerContinuous" vertical="center"/>
    </xf>
    <xf numFmtId="0" fontId="3" fillId="4" borderId="0" xfId="344" applyFont="1" applyFill="1" applyAlignment="1" applyProtection="1">
      <alignment horizontal="centerContinuous" vertical="center"/>
    </xf>
    <xf numFmtId="0" fontId="3" fillId="0" borderId="0" xfId="344" applyFont="1" applyAlignment="1" applyProtection="1">
      <alignment vertical="center"/>
      <protection locked="0"/>
    </xf>
    <xf numFmtId="0" fontId="3" fillId="4" borderId="0" xfId="344" applyFont="1" applyFill="1" applyAlignment="1" applyProtection="1">
      <alignment vertical="center"/>
    </xf>
    <xf numFmtId="0" fontId="3" fillId="4" borderId="11" xfId="0" applyFont="1" applyFill="1" applyBorder="1" applyAlignment="1" applyProtection="1">
      <alignment horizontal="centerContinuous" vertical="center"/>
    </xf>
    <xf numFmtId="0" fontId="3" fillId="4" borderId="4" xfId="0" applyFont="1" applyFill="1" applyBorder="1" applyAlignment="1" applyProtection="1">
      <alignment horizontal="centerContinuous" vertical="center"/>
    </xf>
    <xf numFmtId="0" fontId="3" fillId="4" borderId="12" xfId="0" applyFont="1" applyFill="1" applyBorder="1" applyAlignment="1" applyProtection="1">
      <alignment horizontal="centerContinuous" vertical="center"/>
    </xf>
    <xf numFmtId="0" fontId="3" fillId="4" borderId="6" xfId="0" applyFont="1" applyFill="1" applyBorder="1" applyAlignment="1" applyProtection="1">
      <alignment horizontal="centerContinuous" vertical="center"/>
    </xf>
    <xf numFmtId="0" fontId="3" fillId="4" borderId="6" xfId="0" applyFont="1" applyFill="1" applyBorder="1" applyAlignment="1" applyProtection="1">
      <alignment horizontal="left" vertical="center"/>
    </xf>
    <xf numFmtId="14" fontId="3" fillId="4" borderId="7" xfId="0" quotePrefix="1" applyNumberFormat="1" applyFont="1" applyFill="1" applyBorder="1" applyAlignment="1" applyProtection="1">
      <alignment horizontal="center" vertical="center"/>
    </xf>
    <xf numFmtId="170" fontId="3" fillId="4" borderId="8" xfId="0" applyNumberFormat="1" applyFont="1" applyFill="1" applyBorder="1" applyAlignment="1" applyProtection="1">
      <alignment horizontal="left" vertical="center"/>
    </xf>
    <xf numFmtId="171" fontId="3" fillId="4" borderId="8" xfId="0" applyNumberFormat="1" applyFont="1" applyFill="1" applyBorder="1" applyAlignment="1" applyProtection="1">
      <alignment horizontal="left" vertical="center"/>
    </xf>
    <xf numFmtId="0" fontId="3" fillId="3" borderId="8" xfId="0" applyFont="1" applyFill="1" applyBorder="1" applyAlignment="1" applyProtection="1">
      <alignment horizontal="left" vertical="center"/>
      <protection locked="0"/>
    </xf>
    <xf numFmtId="171" fontId="3" fillId="3" borderId="8" xfId="0" applyNumberFormat="1" applyFont="1" applyFill="1" applyBorder="1" applyAlignment="1" applyProtection="1">
      <alignment horizontal="left" vertical="center"/>
      <protection locked="0"/>
    </xf>
    <xf numFmtId="2" fontId="3" fillId="2" borderId="8" xfId="0" applyNumberFormat="1" applyFont="1" applyFill="1" applyBorder="1" applyAlignment="1" applyProtection="1">
      <alignment vertical="center"/>
      <protection locked="0"/>
    </xf>
    <xf numFmtId="171" fontId="3" fillId="2" borderId="8" xfId="0" applyNumberFormat="1" applyFont="1" applyFill="1" applyBorder="1" applyAlignment="1" applyProtection="1">
      <alignment vertical="center"/>
      <protection locked="0"/>
    </xf>
    <xf numFmtId="37" fontId="3" fillId="2" borderId="8" xfId="0" applyNumberFormat="1" applyFont="1" applyFill="1" applyBorder="1" applyAlignment="1" applyProtection="1">
      <alignment vertical="center"/>
      <protection locked="0"/>
    </xf>
    <xf numFmtId="170" fontId="3" fillId="4" borderId="8" xfId="0" applyNumberFormat="1" applyFont="1" applyFill="1" applyBorder="1" applyAlignment="1" applyProtection="1">
      <alignment vertical="center"/>
    </xf>
    <xf numFmtId="2" fontId="3" fillId="4" borderId="8" xfId="0" applyNumberFormat="1" applyFont="1" applyFill="1" applyBorder="1" applyAlignment="1" applyProtection="1">
      <alignment vertical="center"/>
    </xf>
    <xf numFmtId="171" fontId="3" fillId="4" borderId="8" xfId="0" applyNumberFormat="1" applyFont="1" applyFill="1" applyBorder="1" applyAlignment="1" applyProtection="1">
      <alignment vertical="center"/>
    </xf>
    <xf numFmtId="0" fontId="3" fillId="4" borderId="8" xfId="0" applyFont="1" applyFill="1" applyBorder="1" applyAlignment="1" applyProtection="1">
      <alignment vertical="center"/>
      <protection locked="0"/>
    </xf>
    <xf numFmtId="170" fontId="3" fillId="4" borderId="8" xfId="0" applyNumberFormat="1" applyFont="1" applyFill="1" applyBorder="1" applyAlignment="1" applyProtection="1">
      <alignment vertical="center"/>
      <protection locked="0"/>
    </xf>
    <xf numFmtId="2" fontId="3" fillId="4" borderId="8" xfId="0" applyNumberFormat="1" applyFont="1" applyFill="1" applyBorder="1" applyAlignment="1" applyProtection="1">
      <alignment vertical="center"/>
      <protection locked="0"/>
    </xf>
    <xf numFmtId="3" fontId="3" fillId="4" borderId="8" xfId="0" applyNumberFormat="1" applyFont="1" applyFill="1" applyBorder="1" applyAlignment="1" applyProtection="1">
      <alignment vertical="center"/>
      <protection locked="0"/>
    </xf>
    <xf numFmtId="0" fontId="3" fillId="4" borderId="8" xfId="344" applyFont="1" applyFill="1" applyBorder="1" applyAlignment="1" applyProtection="1">
      <alignment horizontal="left" vertical="center"/>
    </xf>
    <xf numFmtId="0" fontId="3" fillId="4" borderId="11" xfId="344" applyFont="1" applyFill="1" applyBorder="1" applyAlignment="1" applyProtection="1">
      <alignment vertical="center"/>
    </xf>
    <xf numFmtId="0" fontId="3" fillId="4" borderId="10" xfId="344" applyFont="1" applyFill="1" applyBorder="1" applyAlignment="1" applyProtection="1">
      <alignment vertical="center"/>
    </xf>
    <xf numFmtId="3" fontId="3" fillId="4" borderId="4" xfId="344" applyNumberFormat="1" applyFont="1" applyFill="1" applyBorder="1" applyAlignment="1" applyProtection="1">
      <alignment vertical="center"/>
    </xf>
    <xf numFmtId="37" fontId="4" fillId="8" borderId="8" xfId="344" applyNumberFormat="1" applyFont="1" applyFill="1" applyBorder="1" applyAlignment="1" applyProtection="1">
      <alignment vertical="center"/>
    </xf>
    <xf numFmtId="0" fontId="3" fillId="4" borderId="4" xfId="344" applyFont="1" applyFill="1" applyBorder="1" applyAlignment="1" applyProtection="1">
      <alignment vertical="center"/>
    </xf>
    <xf numFmtId="0" fontId="3" fillId="4" borderId="0" xfId="345" applyFont="1" applyFill="1" applyAlignment="1" applyProtection="1">
      <alignment horizontal="centerContinuous" vertical="center"/>
    </xf>
    <xf numFmtId="0" fontId="3" fillId="4" borderId="0" xfId="345" applyFont="1" applyFill="1" applyAlignment="1" applyProtection="1">
      <alignment vertical="center"/>
    </xf>
    <xf numFmtId="0" fontId="3" fillId="0" borderId="0" xfId="345" applyFont="1" applyAlignment="1">
      <alignment vertical="center"/>
    </xf>
    <xf numFmtId="0" fontId="3" fillId="4" borderId="18" xfId="345" applyFont="1" applyFill="1" applyBorder="1" applyAlignment="1" applyProtection="1">
      <alignment vertical="center"/>
    </xf>
    <xf numFmtId="0" fontId="3" fillId="4" borderId="0" xfId="345" applyFont="1" applyFill="1" applyBorder="1" applyAlignment="1" applyProtection="1">
      <alignment vertical="center"/>
    </xf>
    <xf numFmtId="0" fontId="3" fillId="4" borderId="7" xfId="0" applyFont="1" applyFill="1" applyBorder="1" applyAlignment="1" applyProtection="1">
      <alignment horizontal="left" vertical="center"/>
    </xf>
    <xf numFmtId="0" fontId="6" fillId="4" borderId="7" xfId="0" applyFont="1" applyFill="1" applyBorder="1" applyAlignment="1" applyProtection="1">
      <alignment horizontal="center" vertical="center"/>
    </xf>
    <xf numFmtId="1" fontId="3" fillId="2" borderId="8" xfId="0" applyNumberFormat="1" applyFont="1" applyFill="1" applyBorder="1" applyAlignment="1" applyProtection="1">
      <alignment vertical="center"/>
      <protection locked="0"/>
    </xf>
    <xf numFmtId="3" fontId="3" fillId="4" borderId="10" xfId="344" applyNumberFormat="1" applyFont="1" applyFill="1" applyBorder="1" applyAlignment="1" applyProtection="1">
      <alignment vertical="center"/>
    </xf>
    <xf numFmtId="0" fontId="0" fillId="4" borderId="0" xfId="0" applyFill="1" applyAlignment="1" applyProtection="1">
      <alignment vertical="center"/>
    </xf>
    <xf numFmtId="1" fontId="3" fillId="4" borderId="0" xfId="0" applyNumberFormat="1" applyFont="1" applyFill="1" applyBorder="1" applyAlignment="1" applyProtection="1">
      <alignment horizontal="right" vertical="center"/>
    </xf>
    <xf numFmtId="165" fontId="3" fillId="4" borderId="0" xfId="0" quotePrefix="1" applyNumberFormat="1" applyFont="1" applyFill="1" applyAlignment="1" applyProtection="1">
      <alignment horizontal="right" vertical="center"/>
    </xf>
    <xf numFmtId="37" fontId="3" fillId="4" borderId="3" xfId="0" applyNumberFormat="1" applyFont="1" applyFill="1" applyBorder="1" applyAlignment="1" applyProtection="1">
      <alignment horizontal="center" vertical="center"/>
    </xf>
    <xf numFmtId="37" fontId="3" fillId="4" borderId="16" xfId="0" applyNumberFormat="1" applyFont="1" applyFill="1" applyBorder="1" applyAlignment="1" applyProtection="1">
      <alignment vertical="center"/>
    </xf>
    <xf numFmtId="37" fontId="3" fillId="2" borderId="16" xfId="0" applyNumberFormat="1" applyFont="1" applyFill="1" applyBorder="1" applyAlignment="1" applyProtection="1">
      <alignment vertical="center"/>
      <protection locked="0"/>
    </xf>
    <xf numFmtId="0" fontId="3" fillId="3" borderId="16" xfId="0" applyFont="1" applyFill="1" applyBorder="1" applyAlignment="1" applyProtection="1">
      <alignment horizontal="left" vertical="center"/>
      <protection locked="0"/>
    </xf>
    <xf numFmtId="37" fontId="3" fillId="4" borderId="16" xfId="0" applyNumberFormat="1" applyFont="1" applyFill="1" applyBorder="1" applyAlignment="1" applyProtection="1">
      <alignment horizontal="left" vertical="center"/>
      <protection locked="0"/>
    </xf>
    <xf numFmtId="37" fontId="3" fillId="2" borderId="13" xfId="0" applyNumberFormat="1" applyFont="1" applyFill="1" applyBorder="1" applyAlignment="1" applyProtection="1">
      <alignment vertical="center"/>
      <protection locked="0"/>
    </xf>
    <xf numFmtId="3" fontId="20" fillId="10" borderId="13" xfId="0" applyNumberFormat="1" applyFont="1" applyFill="1" applyBorder="1" applyAlignment="1" applyProtection="1">
      <alignment horizontal="center" vertical="center"/>
    </xf>
    <xf numFmtId="37" fontId="4" fillId="4" borderId="16" xfId="0" applyNumberFormat="1" applyFont="1" applyFill="1" applyBorder="1" applyAlignment="1" applyProtection="1">
      <alignment horizontal="left" vertical="center"/>
    </xf>
    <xf numFmtId="3" fontId="4" fillId="8" borderId="8" xfId="0" applyNumberFormat="1" applyFont="1" applyFill="1" applyBorder="1" applyAlignment="1" applyProtection="1">
      <alignment vertical="center"/>
    </xf>
    <xf numFmtId="0" fontId="20" fillId="4" borderId="0" xfId="0" applyFont="1" applyFill="1" applyAlignment="1">
      <alignment vertical="center"/>
    </xf>
    <xf numFmtId="0" fontId="16" fillId="4" borderId="0" xfId="0" applyFont="1" applyFill="1" applyAlignment="1" applyProtection="1">
      <alignment horizontal="center" vertical="center"/>
    </xf>
    <xf numFmtId="37" fontId="3" fillId="4" borderId="0" xfId="0" quotePrefix="1" applyNumberFormat="1" applyFont="1" applyFill="1" applyAlignment="1" applyProtection="1">
      <alignment horizontal="right" vertical="center"/>
    </xf>
    <xf numFmtId="37" fontId="3" fillId="4" borderId="0" xfId="0" applyNumberFormat="1" applyFont="1" applyFill="1" applyAlignment="1" applyProtection="1">
      <alignment horizontal="fill" vertical="center"/>
    </xf>
    <xf numFmtId="3" fontId="3" fillId="4" borderId="8" xfId="1" applyNumberFormat="1" applyFont="1" applyFill="1" applyBorder="1" applyAlignment="1" applyProtection="1">
      <alignment horizontal="right" vertical="center"/>
    </xf>
    <xf numFmtId="37" fontId="3" fillId="4" borderId="12" xfId="0" applyNumberFormat="1" applyFont="1" applyFill="1" applyBorder="1" applyAlignment="1" applyProtection="1">
      <alignment horizontal="left" vertical="center"/>
    </xf>
    <xf numFmtId="3" fontId="3" fillId="4" borderId="8" xfId="0" applyNumberFormat="1" applyFont="1" applyFill="1" applyBorder="1" applyAlignment="1" applyProtection="1">
      <alignment horizontal="fill" vertical="center"/>
    </xf>
    <xf numFmtId="3" fontId="3" fillId="2" borderId="8" xfId="0" applyNumberFormat="1" applyFont="1" applyFill="1" applyBorder="1" applyAlignment="1" applyProtection="1">
      <alignment horizontal="right" vertical="center"/>
      <protection locked="0"/>
    </xf>
    <xf numFmtId="3" fontId="3" fillId="4" borderId="8" xfId="0" applyNumberFormat="1" applyFont="1" applyFill="1" applyBorder="1" applyAlignment="1" applyProtection="1">
      <alignment horizontal="right" vertical="center"/>
    </xf>
    <xf numFmtId="0" fontId="3" fillId="4" borderId="16" xfId="0" applyNumberFormat="1" applyFont="1" applyFill="1" applyBorder="1" applyAlignment="1" applyProtection="1">
      <alignment horizontal="left" vertical="center"/>
    </xf>
    <xf numFmtId="0" fontId="3" fillId="2" borderId="16" xfId="0" applyNumberFormat="1" applyFont="1" applyFill="1" applyBorder="1" applyAlignment="1" applyProtection="1">
      <alignment horizontal="left" vertical="center"/>
      <protection locked="0"/>
    </xf>
    <xf numFmtId="3" fontId="3" fillId="3" borderId="8" xfId="0" applyNumberFormat="1" applyFont="1" applyFill="1" applyBorder="1" applyAlignment="1" applyProtection="1">
      <alignment horizontal="right" vertical="center"/>
      <protection locked="0"/>
    </xf>
    <xf numFmtId="0" fontId="3" fillId="2" borderId="11" xfId="0" applyNumberFormat="1" applyFont="1" applyFill="1" applyBorder="1" applyAlignment="1" applyProtection="1">
      <alignment horizontal="left" vertical="center"/>
      <protection locked="0"/>
    </xf>
    <xf numFmtId="3" fontId="4" fillId="8" borderId="7" xfId="0" applyNumberFormat="1" applyFont="1" applyFill="1" applyBorder="1" applyAlignment="1" applyProtection="1">
      <alignment horizontal="right" vertical="center"/>
    </xf>
    <xf numFmtId="3" fontId="4" fillId="8" borderId="8" xfId="0" applyNumberFormat="1" applyFont="1" applyFill="1" applyBorder="1" applyAlignment="1" applyProtection="1">
      <alignment horizontal="right" vertical="center"/>
    </xf>
    <xf numFmtId="0" fontId="3" fillId="2" borderId="16" xfId="0" applyFont="1" applyFill="1" applyBorder="1" applyAlignment="1" applyProtection="1">
      <alignment vertical="center"/>
      <protection locked="0"/>
    </xf>
    <xf numFmtId="0" fontId="20" fillId="0" borderId="0" xfId="0" applyFont="1" applyAlignment="1" applyProtection="1">
      <alignment vertical="center"/>
    </xf>
    <xf numFmtId="0" fontId="20" fillId="0" borderId="0" xfId="0" applyFont="1" applyAlignment="1">
      <alignment vertical="center"/>
    </xf>
    <xf numFmtId="1" fontId="3" fillId="4" borderId="3" xfId="0" applyNumberFormat="1" applyFont="1" applyFill="1" applyBorder="1" applyAlignment="1" applyProtection="1">
      <alignment horizontal="center"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23" fillId="4" borderId="0" xfId="0" applyFont="1" applyFill="1" applyAlignment="1">
      <alignment horizontal="center" vertical="center"/>
    </xf>
    <xf numFmtId="0" fontId="3" fillId="4" borderId="13" xfId="0" applyFont="1" applyFill="1" applyBorder="1" applyAlignment="1">
      <alignment vertical="center"/>
    </xf>
    <xf numFmtId="0" fontId="3" fillId="4" borderId="1" xfId="0" applyFont="1" applyFill="1" applyBorder="1" applyAlignment="1">
      <alignment vertical="center"/>
    </xf>
    <xf numFmtId="0" fontId="24" fillId="4" borderId="3" xfId="0" applyFont="1" applyFill="1" applyBorder="1" applyAlignment="1">
      <alignment vertical="center"/>
    </xf>
    <xf numFmtId="0" fontId="24" fillId="4" borderId="13" xfId="0" applyFont="1" applyFill="1" applyBorder="1" applyAlignment="1">
      <alignment horizontal="center" vertical="center"/>
    </xf>
    <xf numFmtId="0" fontId="24" fillId="4" borderId="4" xfId="0" applyFont="1" applyFill="1" applyBorder="1" applyAlignment="1">
      <alignment vertical="center"/>
    </xf>
    <xf numFmtId="0" fontId="24"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8" xfId="0" applyFont="1" applyFill="1" applyBorder="1" applyAlignment="1">
      <alignment horizontal="center" vertical="center"/>
    </xf>
    <xf numFmtId="0" fontId="24" fillId="4" borderId="12" xfId="0" applyFont="1" applyFill="1" applyBorder="1" applyAlignment="1">
      <alignment vertical="center"/>
    </xf>
    <xf numFmtId="3" fontId="24" fillId="3" borderId="8" xfId="0" applyNumberFormat="1" applyFont="1" applyFill="1" applyBorder="1" applyAlignment="1" applyProtection="1">
      <alignment horizontal="center" vertical="center"/>
      <protection locked="0"/>
    </xf>
    <xf numFmtId="0" fontId="24" fillId="4" borderId="1" xfId="0" applyFont="1" applyFill="1" applyBorder="1" applyAlignment="1">
      <alignment vertical="center"/>
    </xf>
    <xf numFmtId="3" fontId="24" fillId="8" borderId="8" xfId="0" applyNumberFormat="1" applyFont="1" applyFill="1" applyBorder="1" applyAlignment="1">
      <alignment horizontal="center" vertical="center"/>
    </xf>
    <xf numFmtId="0" fontId="24" fillId="4" borderId="0" xfId="0" applyFont="1" applyFill="1" applyAlignment="1">
      <alignment vertical="center"/>
    </xf>
    <xf numFmtId="3" fontId="24" fillId="4" borderId="0" xfId="0" applyNumberFormat="1" applyFont="1" applyFill="1" applyAlignment="1">
      <alignment horizontal="center" vertical="center"/>
    </xf>
    <xf numFmtId="0" fontId="24" fillId="4" borderId="0" xfId="0" applyFont="1" applyFill="1" applyAlignment="1">
      <alignment horizontal="center" vertical="center"/>
    </xf>
    <xf numFmtId="0" fontId="24" fillId="3" borderId="8" xfId="0" applyFont="1" applyFill="1" applyBorder="1" applyAlignment="1" applyProtection="1">
      <alignment vertical="center"/>
      <protection locked="0"/>
    </xf>
    <xf numFmtId="0" fontId="24" fillId="3" borderId="4" xfId="0" applyFont="1" applyFill="1" applyBorder="1" applyAlignment="1" applyProtection="1">
      <alignment vertical="center"/>
      <protection locked="0"/>
    </xf>
    <xf numFmtId="3" fontId="24" fillId="3" borderId="4" xfId="0" applyNumberFormat="1" applyFont="1" applyFill="1" applyBorder="1" applyAlignment="1" applyProtection="1">
      <alignment horizontal="center" vertical="center"/>
      <protection locked="0"/>
    </xf>
    <xf numFmtId="0" fontId="24" fillId="3" borderId="0" xfId="0" applyFont="1" applyFill="1" applyAlignment="1" applyProtection="1">
      <alignment vertical="center"/>
      <protection locked="0"/>
    </xf>
    <xf numFmtId="3" fontId="24" fillId="3" borderId="6" xfId="0" applyNumberFormat="1" applyFont="1" applyFill="1" applyBorder="1" applyAlignment="1" applyProtection="1">
      <alignment horizontal="center" vertical="center"/>
      <protection locked="0"/>
    </xf>
    <xf numFmtId="3" fontId="24" fillId="3" borderId="13" xfId="0" applyNumberFormat="1" applyFont="1" applyFill="1" applyBorder="1" applyAlignment="1" applyProtection="1">
      <alignment horizontal="center" vertical="center"/>
      <protection locked="0"/>
    </xf>
    <xf numFmtId="0" fontId="24" fillId="3" borderId="13"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3" fontId="24" fillId="3" borderId="5"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vertical="center"/>
      <protection locked="0"/>
    </xf>
    <xf numFmtId="3" fontId="24" fillId="8" borderId="7" xfId="0" applyNumberFormat="1" applyFont="1" applyFill="1" applyBorder="1" applyAlignment="1">
      <alignment horizontal="center" vertical="center"/>
    </xf>
    <xf numFmtId="3" fontId="24" fillId="10" borderId="8" xfId="0" applyNumberFormat="1" applyFont="1" applyFill="1" applyBorder="1" applyAlignment="1">
      <alignment horizontal="center" vertical="center"/>
    </xf>
    <xf numFmtId="3" fontId="3" fillId="4" borderId="0" xfId="0" applyNumberFormat="1" applyFont="1" applyFill="1" applyAlignment="1">
      <alignment vertical="center"/>
    </xf>
    <xf numFmtId="0" fontId="3" fillId="7" borderId="0" xfId="0" applyFont="1" applyFill="1" applyAlignment="1">
      <alignment vertical="center"/>
    </xf>
    <xf numFmtId="3" fontId="3" fillId="0" borderId="0" xfId="0" applyNumberFormat="1" applyFont="1" applyAlignment="1">
      <alignment vertical="center"/>
    </xf>
    <xf numFmtId="0" fontId="27" fillId="0" borderId="0" xfId="0" applyFont="1" applyAlignment="1">
      <alignment horizontal="center" vertical="center"/>
    </xf>
    <xf numFmtId="0" fontId="4" fillId="0" borderId="0" xfId="0" applyFont="1" applyAlignment="1">
      <alignment vertical="center" wrapText="1"/>
    </xf>
    <xf numFmtId="0" fontId="44" fillId="0" borderId="0" xfId="0" applyFont="1" applyAlignment="1">
      <alignment vertical="center"/>
    </xf>
    <xf numFmtId="0" fontId="44" fillId="0" borderId="0" xfId="0" applyFont="1" applyAlignment="1">
      <alignment vertical="center" wrapText="1"/>
    </xf>
    <xf numFmtId="3" fontId="28" fillId="10" borderId="0" xfId="0" applyNumberFormat="1" applyFont="1" applyFill="1" applyAlignment="1">
      <alignment horizontal="center" vertical="center"/>
    </xf>
    <xf numFmtId="0" fontId="5" fillId="0" borderId="0" xfId="0" applyFont="1"/>
    <xf numFmtId="0" fontId="5" fillId="0" borderId="0" xfId="0" applyFont="1" applyBorder="1"/>
    <xf numFmtId="0" fontId="3" fillId="0" borderId="0" xfId="0" applyFont="1" applyAlignment="1">
      <alignment vertical="center" wrapText="1"/>
    </xf>
    <xf numFmtId="0" fontId="3" fillId="0" borderId="0" xfId="92" applyFont="1" applyAlignment="1">
      <alignment vertical="center" wrapText="1"/>
    </xf>
    <xf numFmtId="0" fontId="3" fillId="0" borderId="0" xfId="283" applyNumberFormat="1" applyFont="1" applyAlignment="1">
      <alignment vertical="center" wrapText="1"/>
    </xf>
    <xf numFmtId="0" fontId="3" fillId="0" borderId="0" xfId="185" applyFont="1" applyAlignment="1">
      <alignment vertical="center" wrapText="1"/>
    </xf>
    <xf numFmtId="0" fontId="3" fillId="0" borderId="0" xfId="312" applyFont="1" applyAlignment="1">
      <alignment vertical="center" wrapText="1"/>
    </xf>
    <xf numFmtId="0" fontId="3" fillId="12" borderId="0" xfId="0" applyFont="1" applyFill="1" applyAlignment="1">
      <alignment wrapText="1"/>
    </xf>
    <xf numFmtId="0" fontId="3" fillId="0" borderId="0" xfId="338" applyFont="1" applyAlignment="1">
      <alignment vertical="center"/>
    </xf>
    <xf numFmtId="0" fontId="3" fillId="4" borderId="1" xfId="0" applyFont="1" applyFill="1" applyBorder="1" applyAlignment="1" applyProtection="1">
      <alignment vertical="center"/>
      <protection locked="0"/>
    </xf>
    <xf numFmtId="0" fontId="3" fillId="0" borderId="0" xfId="14" applyFont="1" applyAlignment="1">
      <alignment vertical="center"/>
    </xf>
    <xf numFmtId="0" fontId="30" fillId="0" borderId="0" xfId="322" applyFont="1"/>
    <xf numFmtId="0" fontId="9" fillId="0" borderId="0" xfId="322" applyNumberFormat="1" applyFont="1" applyAlignment="1">
      <alignment horizontal="left" vertical="center"/>
    </xf>
    <xf numFmtId="0" fontId="3" fillId="0" borderId="0" xfId="322" applyFont="1" applyAlignment="1">
      <alignment horizontal="left" vertical="center"/>
    </xf>
    <xf numFmtId="49" fontId="3" fillId="3" borderId="0" xfId="322" applyNumberFormat="1" applyFont="1" applyFill="1" applyAlignment="1" applyProtection="1">
      <alignment horizontal="left" vertical="center"/>
      <protection locked="0"/>
    </xf>
    <xf numFmtId="175" fontId="24" fillId="0" borderId="0" xfId="322" applyNumberFormat="1" applyFont="1" applyAlignment="1">
      <alignment horizontal="left" vertical="center"/>
    </xf>
    <xf numFmtId="49" fontId="3" fillId="0" borderId="0" xfId="322" applyNumberFormat="1" applyFont="1" applyAlignment="1">
      <alignment horizontal="left" vertical="center"/>
    </xf>
    <xf numFmtId="0" fontId="24" fillId="0" borderId="0" xfId="322" applyFont="1" applyAlignment="1">
      <alignment horizontal="left" vertical="center"/>
    </xf>
    <xf numFmtId="176" fontId="24" fillId="0" borderId="0" xfId="322" applyNumberFormat="1" applyFont="1" applyAlignment="1">
      <alignment horizontal="left" vertical="center"/>
    </xf>
    <xf numFmtId="0" fontId="3" fillId="3" borderId="0" xfId="322" applyFont="1" applyFill="1" applyAlignment="1" applyProtection="1">
      <alignment horizontal="left" vertical="center"/>
      <protection locked="0"/>
    </xf>
    <xf numFmtId="0" fontId="30" fillId="3" borderId="0" xfId="322" applyFont="1" applyFill="1" applyAlignment="1" applyProtection="1">
      <alignment horizontal="left" vertical="center"/>
      <protection locked="0"/>
    </xf>
    <xf numFmtId="37" fontId="3" fillId="13" borderId="0" xfId="0" applyNumberFormat="1" applyFont="1" applyFill="1" applyAlignment="1" applyProtection="1">
      <alignment horizontal="centerContinuous" vertical="center"/>
    </xf>
    <xf numFmtId="0" fontId="3" fillId="13" borderId="0" xfId="0" applyFont="1" applyFill="1" applyAlignment="1" applyProtection="1">
      <alignment horizontal="centerContinuous" vertical="center"/>
    </xf>
    <xf numFmtId="0" fontId="17" fillId="0" borderId="0" xfId="0" applyFont="1" applyAlignment="1">
      <alignment horizontal="center"/>
    </xf>
    <xf numFmtId="0" fontId="2" fillId="0" borderId="0" xfId="0" applyFont="1"/>
    <xf numFmtId="0" fontId="31" fillId="0" borderId="0" xfId="0" applyFont="1"/>
    <xf numFmtId="0" fontId="31" fillId="0" borderId="0" xfId="0" applyFont="1" applyAlignment="1"/>
    <xf numFmtId="0" fontId="2" fillId="0" borderId="0" xfId="0" quotePrefix="1" applyFont="1"/>
    <xf numFmtId="0" fontId="2" fillId="0" borderId="0" xfId="138" applyFont="1"/>
    <xf numFmtId="0" fontId="2" fillId="0" borderId="0" xfId="138" applyFont="1" applyFill="1"/>
    <xf numFmtId="0" fontId="2" fillId="0" borderId="0" xfId="0" applyFont="1" applyAlignment="1"/>
    <xf numFmtId="0" fontId="0" fillId="0" borderId="0" xfId="0" applyAlignment="1"/>
    <xf numFmtId="0" fontId="31" fillId="0" borderId="0" xfId="0" applyFont="1" applyAlignment="1">
      <alignment horizontal="center"/>
    </xf>
    <xf numFmtId="0" fontId="3" fillId="0" borderId="0" xfId="341" applyFont="1" applyAlignment="1">
      <alignment vertical="center" wrapText="1"/>
    </xf>
    <xf numFmtId="0" fontId="3" fillId="0" borderId="0" xfId="17" applyFont="1" applyAlignment="1">
      <alignment vertical="center" wrapText="1"/>
    </xf>
    <xf numFmtId="0" fontId="5" fillId="0" borderId="0" xfId="66" applyFont="1" applyAlignment="1">
      <alignment vertical="center"/>
    </xf>
    <xf numFmtId="0" fontId="3" fillId="0" borderId="0" xfId="70" applyFont="1" applyAlignment="1">
      <alignment vertical="center"/>
    </xf>
    <xf numFmtId="0" fontId="3" fillId="13" borderId="0" xfId="0" applyFont="1" applyFill="1" applyAlignment="1" applyProtection="1">
      <alignment wrapText="1"/>
    </xf>
    <xf numFmtId="0" fontId="3" fillId="14" borderId="0" xfId="0" applyFont="1" applyFill="1" applyAlignment="1">
      <alignment wrapText="1"/>
    </xf>
    <xf numFmtId="0" fontId="3" fillId="15" borderId="0" xfId="0" applyFont="1" applyFill="1" applyProtection="1"/>
    <xf numFmtId="3" fontId="3" fillId="16" borderId="1" xfId="0" applyNumberFormat="1" applyFont="1" applyFill="1" applyBorder="1" applyAlignment="1" applyProtection="1">
      <alignment vertical="center"/>
    </xf>
    <xf numFmtId="3" fontId="3" fillId="16" borderId="2" xfId="0" applyNumberFormat="1" applyFont="1" applyFill="1" applyBorder="1" applyAlignment="1" applyProtection="1">
      <alignment vertical="center"/>
    </xf>
    <xf numFmtId="3" fontId="3" fillId="16" borderId="1" xfId="1" applyNumberFormat="1" applyFont="1" applyFill="1" applyBorder="1" applyAlignment="1" applyProtection="1">
      <alignment vertical="center"/>
    </xf>
    <xf numFmtId="0" fontId="3" fillId="4" borderId="0" xfId="0" applyFont="1" applyFill="1"/>
    <xf numFmtId="0" fontId="5" fillId="0" borderId="0" xfId="65" applyFont="1" applyAlignment="1">
      <alignment vertical="center"/>
    </xf>
    <xf numFmtId="0" fontId="45" fillId="4" borderId="0" xfId="0" applyFont="1" applyFill="1" applyAlignment="1" applyProtection="1">
      <alignment horizontal="right" vertical="center"/>
      <protection locked="0"/>
    </xf>
    <xf numFmtId="0" fontId="6" fillId="4" borderId="0" xfId="0" applyFont="1" applyFill="1" applyAlignment="1" applyProtection="1">
      <alignment horizontal="left" vertical="center"/>
      <protection locked="0"/>
    </xf>
    <xf numFmtId="3" fontId="3" fillId="2" borderId="16" xfId="0" applyNumberFormat="1" applyFont="1" applyFill="1" applyBorder="1" applyAlignment="1" applyProtection="1">
      <alignment vertical="center"/>
      <protection locked="0"/>
    </xf>
    <xf numFmtId="3" fontId="3" fillId="8" borderId="16" xfId="0" applyNumberFormat="1" applyFont="1" applyFill="1" applyBorder="1" applyAlignment="1" applyProtection="1">
      <alignment vertical="center"/>
    </xf>
    <xf numFmtId="3" fontId="20" fillId="10" borderId="16" xfId="0" applyNumberFormat="1" applyFont="1" applyFill="1" applyBorder="1" applyAlignment="1" applyProtection="1">
      <alignment horizontal="center" vertical="center"/>
    </xf>
    <xf numFmtId="3" fontId="4" fillId="8" borderId="16" xfId="0" applyNumberFormat="1" applyFont="1" applyFill="1" applyBorder="1" applyAlignment="1" applyProtection="1">
      <alignment vertical="center"/>
    </xf>
    <xf numFmtId="3" fontId="3" fillId="4" borderId="16" xfId="0" applyNumberFormat="1" applyFont="1" applyFill="1" applyBorder="1" applyAlignment="1" applyProtection="1">
      <alignment vertical="center"/>
    </xf>
    <xf numFmtId="1" fontId="3" fillId="4" borderId="11" xfId="0" applyNumberFormat="1" applyFont="1" applyFill="1" applyBorder="1" applyAlignment="1" applyProtection="1">
      <alignment horizontal="center" vertical="center"/>
    </xf>
    <xf numFmtId="1" fontId="3" fillId="4" borderId="12"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center" vertical="center"/>
    </xf>
    <xf numFmtId="3" fontId="3" fillId="2" borderId="16" xfId="0" applyNumberFormat="1" applyFont="1" applyFill="1" applyBorder="1" applyAlignment="1" applyProtection="1">
      <alignment horizontal="right" vertical="center"/>
      <protection locked="0"/>
    </xf>
    <xf numFmtId="3" fontId="4" fillId="8" borderId="16" xfId="0" applyNumberFormat="1" applyFont="1" applyFill="1" applyBorder="1" applyAlignment="1" applyProtection="1">
      <alignment horizontal="right" vertical="center"/>
    </xf>
    <xf numFmtId="3" fontId="3" fillId="8" borderId="16" xfId="0" applyNumberFormat="1" applyFont="1" applyFill="1" applyBorder="1" applyAlignment="1" applyProtection="1">
      <alignment horizontal="right" vertical="center"/>
    </xf>
    <xf numFmtId="3" fontId="3" fillId="4" borderId="16" xfId="0" applyNumberFormat="1" applyFont="1" applyFill="1" applyBorder="1" applyAlignment="1" applyProtection="1">
      <alignment horizontal="right" vertical="center"/>
    </xf>
    <xf numFmtId="3" fontId="3" fillId="4" borderId="16" xfId="1" applyNumberFormat="1" applyFont="1" applyFill="1" applyBorder="1" applyAlignment="1" applyProtection="1">
      <alignment horizontal="right" vertical="center"/>
    </xf>
    <xf numFmtId="14" fontId="3" fillId="3" borderId="8" xfId="0" applyNumberFormat="1" applyFont="1" applyFill="1" applyBorder="1" applyAlignment="1" applyProtection="1">
      <alignment horizontal="left" vertical="center"/>
      <protection locked="0"/>
    </xf>
    <xf numFmtId="14" fontId="3" fillId="2" borderId="8" xfId="0" applyNumberFormat="1" applyFont="1" applyFill="1" applyBorder="1" applyAlignment="1" applyProtection="1">
      <alignment vertical="center"/>
      <protection locked="0"/>
    </xf>
    <xf numFmtId="49" fontId="3" fillId="2" borderId="8" xfId="0" applyNumberFormat="1" applyFont="1" applyFill="1" applyBorder="1" applyAlignment="1" applyProtection="1">
      <alignment horizontal="center" vertical="center"/>
      <protection locked="0"/>
    </xf>
    <xf numFmtId="174" fontId="3" fillId="3" borderId="7" xfId="0" applyNumberFormat="1" applyFont="1" applyFill="1" applyBorder="1" applyProtection="1">
      <protection locked="0"/>
    </xf>
    <xf numFmtId="0" fontId="4" fillId="4" borderId="0" xfId="0" applyFont="1" applyFill="1" applyBorder="1" applyAlignment="1" applyProtection="1">
      <alignment vertical="center"/>
    </xf>
    <xf numFmtId="3" fontId="20" fillId="10" borderId="8" xfId="0" applyNumberFormat="1" applyFont="1" applyFill="1" applyBorder="1" applyAlignment="1" applyProtection="1">
      <alignment horizontal="center" vertical="center"/>
    </xf>
    <xf numFmtId="37" fontId="3" fillId="15" borderId="16"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xf>
    <xf numFmtId="0" fontId="3" fillId="15" borderId="16" xfId="0" applyNumberFormat="1" applyFont="1" applyFill="1" applyBorder="1" applyAlignment="1" applyProtection="1">
      <alignment horizontal="left" vertical="center"/>
      <protection locked="0"/>
    </xf>
    <xf numFmtId="3" fontId="3" fillId="15" borderId="8" xfId="0" applyNumberFormat="1" applyFont="1" applyFill="1" applyBorder="1" applyAlignment="1" applyProtection="1">
      <alignment horizontal="right" vertical="center"/>
      <protection locked="0"/>
    </xf>
    <xf numFmtId="3" fontId="16" fillId="4" borderId="8" xfId="0" applyNumberFormat="1" applyFont="1" applyFill="1" applyBorder="1" applyAlignment="1" applyProtection="1">
      <alignment horizontal="center" vertical="center"/>
    </xf>
    <xf numFmtId="0" fontId="46" fillId="0" borderId="0" xfId="0" applyFont="1" applyAlignment="1">
      <alignment wrapText="1"/>
    </xf>
    <xf numFmtId="0" fontId="46" fillId="0" borderId="0" xfId="0" applyFont="1" applyAlignment="1">
      <alignment vertical="center" wrapText="1"/>
    </xf>
    <xf numFmtId="0" fontId="4" fillId="0" borderId="0" xfId="0" applyFont="1" applyAlignment="1">
      <alignment wrapText="1"/>
    </xf>
    <xf numFmtId="0" fontId="36" fillId="14" borderId="0" xfId="0" applyFont="1" applyFill="1"/>
    <xf numFmtId="0" fontId="36" fillId="0" borderId="0" xfId="0" applyFont="1"/>
    <xf numFmtId="0" fontId="36" fillId="13" borderId="0" xfId="0" applyFont="1" applyFill="1"/>
    <xf numFmtId="0" fontId="47" fillId="14" borderId="0" xfId="0" applyFont="1" applyFill="1" applyAlignment="1">
      <alignment horizontal="center" wrapText="1"/>
    </xf>
    <xf numFmtId="0" fontId="47" fillId="13" borderId="0" xfId="0" applyFont="1" applyFill="1" applyAlignment="1">
      <alignment horizontal="center"/>
    </xf>
    <xf numFmtId="0" fontId="47" fillId="13" borderId="0" xfId="0" applyFont="1" applyFill="1"/>
    <xf numFmtId="0" fontId="36" fillId="13" borderId="0" xfId="0" applyFont="1" applyFill="1" applyAlignment="1">
      <alignment horizontal="center"/>
    </xf>
    <xf numFmtId="177" fontId="36" fillId="13" borderId="0" xfId="0" applyNumberFormat="1" applyFont="1" applyFill="1" applyAlignment="1">
      <alignment horizontal="center"/>
    </xf>
    <xf numFmtId="0" fontId="47" fillId="13" borderId="19" xfId="0" applyFont="1" applyFill="1" applyBorder="1"/>
    <xf numFmtId="0" fontId="36" fillId="13" borderId="20" xfId="0" applyFont="1" applyFill="1" applyBorder="1"/>
    <xf numFmtId="0" fontId="36" fillId="13" borderId="21" xfId="0" applyFont="1" applyFill="1" applyBorder="1"/>
    <xf numFmtId="177" fontId="36" fillId="13" borderId="22" xfId="0" applyNumberFormat="1" applyFont="1" applyFill="1" applyBorder="1"/>
    <xf numFmtId="0" fontId="36" fillId="13" borderId="0" xfId="0" applyFont="1" applyFill="1" applyBorder="1"/>
    <xf numFmtId="0" fontId="36" fillId="13" borderId="0" xfId="0" applyFont="1" applyFill="1" applyBorder="1" applyAlignment="1">
      <alignment horizontal="center"/>
    </xf>
    <xf numFmtId="177" fontId="36" fillId="13" borderId="1" xfId="0" applyNumberFormat="1" applyFont="1" applyFill="1" applyBorder="1" applyAlignment="1">
      <alignment horizontal="center"/>
    </xf>
    <xf numFmtId="0" fontId="36" fillId="13" borderId="23" xfId="0" applyFont="1" applyFill="1" applyBorder="1"/>
    <xf numFmtId="0" fontId="36" fillId="13" borderId="24" xfId="0" applyFont="1" applyFill="1" applyBorder="1"/>
    <xf numFmtId="0" fontId="36" fillId="13" borderId="25" xfId="0" applyFont="1" applyFill="1" applyBorder="1"/>
    <xf numFmtId="0" fontId="36" fillId="13" borderId="26" xfId="0" applyFont="1" applyFill="1" applyBorder="1"/>
    <xf numFmtId="177" fontId="36" fillId="13" borderId="0" xfId="0" applyNumberFormat="1" applyFont="1" applyFill="1"/>
    <xf numFmtId="0" fontId="36" fillId="13" borderId="19" xfId="0" applyFont="1" applyFill="1" applyBorder="1"/>
    <xf numFmtId="0" fontId="36" fillId="13" borderId="27" xfId="0" applyFont="1" applyFill="1" applyBorder="1"/>
    <xf numFmtId="177" fontId="36" fillId="15" borderId="22" xfId="0" applyNumberFormat="1" applyFont="1" applyFill="1" applyBorder="1" applyAlignment="1" applyProtection="1">
      <alignment horizontal="center"/>
      <protection locked="0"/>
    </xf>
    <xf numFmtId="174" fontId="36" fillId="13" borderId="0" xfId="0" applyNumberFormat="1" applyFont="1" applyFill="1" applyBorder="1" applyAlignment="1">
      <alignment horizontal="center"/>
    </xf>
    <xf numFmtId="177" fontId="36" fillId="0" borderId="0" xfId="0" applyNumberFormat="1" applyFont="1"/>
    <xf numFmtId="0" fontId="48" fillId="0" borderId="0" xfId="0" applyFont="1" applyBorder="1"/>
    <xf numFmtId="0" fontId="36" fillId="0" borderId="0" xfId="0" applyFont="1" applyBorder="1"/>
    <xf numFmtId="0" fontId="47"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7" fontId="36" fillId="13" borderId="0" xfId="0" applyNumberFormat="1" applyFont="1" applyFill="1" applyBorder="1" applyAlignment="1">
      <alignment horizontal="center"/>
    </xf>
    <xf numFmtId="0" fontId="36" fillId="13" borderId="28" xfId="0" applyFont="1" applyFill="1" applyBorder="1"/>
    <xf numFmtId="0" fontId="36" fillId="13" borderId="10" xfId="0" applyFont="1" applyFill="1" applyBorder="1"/>
    <xf numFmtId="0" fontId="36" fillId="13" borderId="10" xfId="0" applyFont="1" applyFill="1" applyBorder="1" applyAlignment="1">
      <alignment horizontal="center"/>
    </xf>
    <xf numFmtId="0" fontId="36" fillId="13" borderId="29" xfId="0" applyFont="1" applyFill="1" applyBorder="1"/>
    <xf numFmtId="178" fontId="36" fillId="13" borderId="0" xfId="0" applyNumberFormat="1" applyFont="1" applyFill="1" applyBorder="1" applyAlignment="1">
      <alignment horizontal="center"/>
    </xf>
    <xf numFmtId="5" fontId="36" fillId="13" borderId="25" xfId="0" applyNumberFormat="1" applyFont="1" applyFill="1" applyBorder="1" applyAlignment="1">
      <alignment horizontal="center"/>
    </xf>
    <xf numFmtId="0" fontId="36" fillId="13" borderId="25" xfId="0" applyFont="1" applyFill="1" applyBorder="1" applyAlignment="1">
      <alignment horizontal="center"/>
    </xf>
    <xf numFmtId="174" fontId="36" fillId="13" borderId="25" xfId="0" applyNumberFormat="1" applyFont="1" applyFill="1" applyBorder="1" applyAlignment="1">
      <alignment horizontal="center"/>
    </xf>
    <xf numFmtId="178" fontId="36" fillId="13" borderId="25" xfId="0" applyNumberFormat="1" applyFont="1" applyFill="1" applyBorder="1" applyAlignment="1">
      <alignment horizontal="center"/>
    </xf>
    <xf numFmtId="0" fontId="36" fillId="13" borderId="0" xfId="0" applyFont="1" applyFill="1" applyAlignment="1">
      <alignment horizontal="center" wrapText="1"/>
    </xf>
    <xf numFmtId="0" fontId="47" fillId="13" borderId="0" xfId="0" applyFont="1" applyFill="1" applyAlignment="1">
      <alignment horizontal="center" wrapText="1"/>
    </xf>
    <xf numFmtId="0" fontId="47" fillId="13" borderId="19" xfId="0" applyFont="1" applyFill="1" applyBorder="1" applyAlignment="1"/>
    <xf numFmtId="0" fontId="36" fillId="13" borderId="20" xfId="0" applyFont="1" applyFill="1" applyBorder="1" applyAlignment="1"/>
    <xf numFmtId="0" fontId="36" fillId="13" borderId="21" xfId="0" applyFont="1" applyFill="1" applyBorder="1" applyAlignment="1"/>
    <xf numFmtId="0" fontId="36" fillId="13" borderId="27" xfId="0" applyFont="1" applyFill="1" applyBorder="1" applyAlignment="1"/>
    <xf numFmtId="0" fontId="36" fillId="13" borderId="0" xfId="0" applyFont="1" applyFill="1" applyBorder="1" applyAlignment="1"/>
    <xf numFmtId="0" fontId="36" fillId="13" borderId="23" xfId="0" applyFont="1" applyFill="1" applyBorder="1" applyAlignment="1"/>
    <xf numFmtId="0" fontId="36" fillId="13" borderId="28" xfId="0" applyFont="1" applyFill="1" applyBorder="1" applyAlignment="1"/>
    <xf numFmtId="0" fontId="36" fillId="13" borderId="10" xfId="0" applyFont="1" applyFill="1" applyBorder="1" applyAlignment="1"/>
    <xf numFmtId="0" fontId="36" fillId="13" borderId="29" xfId="0" applyFont="1" applyFill="1" applyBorder="1" applyAlignment="1"/>
    <xf numFmtId="173" fontId="36" fillId="13" borderId="0" xfId="0" applyNumberFormat="1" applyFont="1" applyFill="1" applyBorder="1" applyAlignment="1">
      <alignment horizontal="center"/>
    </xf>
    <xf numFmtId="0" fontId="36" fillId="13" borderId="24" xfId="0" applyFont="1" applyFill="1" applyBorder="1" applyAlignment="1"/>
    <xf numFmtId="0" fontId="36" fillId="13" borderId="26" xfId="0" applyFont="1" applyFill="1" applyBorder="1" applyAlignment="1"/>
    <xf numFmtId="5" fontId="36" fillId="13" borderId="0" xfId="0" applyNumberFormat="1" applyFont="1" applyFill="1" applyBorder="1" applyAlignment="1">
      <alignment horizontal="center"/>
    </xf>
    <xf numFmtId="0" fontId="36" fillId="14" borderId="0" xfId="0" applyFont="1" applyFill="1" applyAlignment="1"/>
    <xf numFmtId="174" fontId="36" fillId="15" borderId="1" xfId="0" applyNumberFormat="1" applyFont="1" applyFill="1" applyBorder="1" applyAlignment="1" applyProtection="1">
      <alignment horizontal="center"/>
      <protection locked="0"/>
    </xf>
    <xf numFmtId="178" fontId="36" fillId="13" borderId="0" xfId="0" applyNumberFormat="1" applyFont="1" applyFill="1" applyBorder="1"/>
    <xf numFmtId="177" fontId="36" fillId="13" borderId="25" xfId="0" applyNumberFormat="1" applyFont="1" applyFill="1" applyBorder="1" applyAlignment="1">
      <alignment horizontal="center"/>
    </xf>
    <xf numFmtId="174" fontId="36" fillId="13" borderId="25" xfId="0" applyNumberFormat="1" applyFont="1" applyFill="1" applyBorder="1" applyAlignment="1" applyProtection="1">
      <alignment horizontal="center"/>
      <protection locked="0"/>
    </xf>
    <xf numFmtId="178" fontId="36" fillId="13" borderId="25" xfId="0" applyNumberFormat="1" applyFont="1" applyFill="1" applyBorder="1"/>
    <xf numFmtId="0" fontId="47" fillId="13" borderId="27" xfId="0" applyFont="1" applyFill="1" applyBorder="1" applyAlignment="1">
      <alignment horizontal="centerContinuous" vertical="center"/>
    </xf>
    <xf numFmtId="177" fontId="47" fillId="13" borderId="0" xfId="0" applyNumberFormat="1" applyFont="1" applyFill="1" applyBorder="1" applyAlignment="1">
      <alignment horizontal="centerContinuous" vertical="center"/>
    </xf>
    <xf numFmtId="0" fontId="47" fillId="13" borderId="0" xfId="0" applyFont="1" applyFill="1" applyBorder="1" applyAlignment="1">
      <alignment horizontal="centerContinuous" vertical="center"/>
    </xf>
    <xf numFmtId="174" fontId="47" fillId="13" borderId="0" xfId="0" applyNumberFormat="1" applyFont="1" applyFill="1" applyBorder="1" applyAlignment="1" applyProtection="1">
      <alignment horizontal="centerContinuous" vertical="center"/>
      <protection locked="0"/>
    </xf>
    <xf numFmtId="178" fontId="47" fillId="13" borderId="0" xfId="0" applyNumberFormat="1" applyFont="1" applyFill="1" applyBorder="1" applyAlignment="1">
      <alignment horizontal="centerContinuous" vertical="center"/>
    </xf>
    <xf numFmtId="0" fontId="47" fillId="13" borderId="23" xfId="0" applyFont="1" applyFill="1" applyBorder="1" applyAlignment="1">
      <alignment horizontal="centerContinuous" vertical="center"/>
    </xf>
    <xf numFmtId="0" fontId="47" fillId="13" borderId="27" xfId="0" applyFont="1" applyFill="1" applyBorder="1" applyAlignment="1">
      <alignment horizontal="centerContinuous"/>
    </xf>
    <xf numFmtId="177" fontId="47" fillId="13" borderId="0" xfId="0" applyNumberFormat="1" applyFont="1" applyFill="1" applyBorder="1" applyAlignment="1">
      <alignment horizontal="centerContinuous"/>
    </xf>
    <xf numFmtId="0" fontId="47" fillId="13" borderId="0" xfId="0" applyFont="1" applyFill="1" applyBorder="1" applyAlignment="1">
      <alignment horizontal="centerContinuous"/>
    </xf>
    <xf numFmtId="174" fontId="47" fillId="13" borderId="0" xfId="0" applyNumberFormat="1" applyFont="1" applyFill="1" applyBorder="1" applyAlignment="1" applyProtection="1">
      <alignment horizontal="centerContinuous"/>
      <protection locked="0"/>
    </xf>
    <xf numFmtId="178" fontId="47" fillId="13" borderId="0" xfId="0" applyNumberFormat="1" applyFont="1" applyFill="1" applyBorder="1" applyAlignment="1">
      <alignment horizontal="centerContinuous"/>
    </xf>
    <xf numFmtId="0" fontId="47" fillId="13" borderId="23" xfId="0" applyFont="1" applyFill="1" applyBorder="1" applyAlignment="1">
      <alignment horizontal="centerContinuous"/>
    </xf>
    <xf numFmtId="174" fontId="36" fillId="13" borderId="0" xfId="0" applyNumberFormat="1" applyFont="1" applyFill="1" applyBorder="1" applyAlignment="1" applyProtection="1">
      <alignment horizontal="center"/>
      <protection locked="0"/>
    </xf>
    <xf numFmtId="177" fontId="36" fillId="13" borderId="20" xfId="0" applyNumberFormat="1" applyFont="1" applyFill="1" applyBorder="1" applyAlignment="1">
      <alignment horizontal="center"/>
    </xf>
    <xf numFmtId="0" fontId="36" fillId="13" borderId="20" xfId="0" applyFont="1" applyFill="1" applyBorder="1" applyAlignment="1">
      <alignment horizontal="center"/>
    </xf>
    <xf numFmtId="174" fontId="36" fillId="13" borderId="20" xfId="0" applyNumberFormat="1" applyFont="1" applyFill="1" applyBorder="1" applyAlignment="1" applyProtection="1">
      <alignment horizontal="center"/>
      <protection locked="0"/>
    </xf>
    <xf numFmtId="178" fontId="36" fillId="13" borderId="20" xfId="0" applyNumberFormat="1" applyFont="1" applyFill="1" applyBorder="1"/>
    <xf numFmtId="177"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pplyProtection="1">
      <alignment horizontal="center"/>
      <protection locked="0"/>
    </xf>
    <xf numFmtId="0" fontId="36" fillId="17" borderId="0" xfId="0" applyFont="1" applyFill="1"/>
    <xf numFmtId="0" fontId="38" fillId="0" borderId="0" xfId="16" applyFont="1" applyAlignment="1">
      <alignment horizontal="center"/>
    </xf>
    <xf numFmtId="0" fontId="3" fillId="0" borderId="0" xfId="16" applyFont="1" applyAlignment="1">
      <alignment wrapText="1"/>
    </xf>
    <xf numFmtId="0" fontId="39" fillId="0" borderId="0" xfId="8" applyFont="1" applyAlignment="1" applyProtection="1"/>
    <xf numFmtId="0" fontId="3" fillId="0" borderId="0" xfId="16" applyFont="1"/>
    <xf numFmtId="0" fontId="49" fillId="4" borderId="0" xfId="0" applyFont="1" applyFill="1" applyAlignment="1" applyProtection="1">
      <alignment horizontal="center" vertical="center"/>
    </xf>
    <xf numFmtId="0" fontId="3" fillId="4" borderId="0" xfId="32" applyFont="1" applyFill="1" applyAlignment="1" applyProtection="1">
      <alignment horizontal="right" vertical="center"/>
    </xf>
    <xf numFmtId="0" fontId="50" fillId="4" borderId="0" xfId="16" applyFont="1" applyFill="1" applyAlignment="1" applyProtection="1">
      <alignment horizontal="center" vertical="center"/>
    </xf>
    <xf numFmtId="37" fontId="3" fillId="4" borderId="0" xfId="16" applyNumberFormat="1" applyFont="1" applyFill="1" applyAlignment="1" applyProtection="1">
      <alignment horizontal="right" vertical="center"/>
    </xf>
    <xf numFmtId="174" fontId="3" fillId="4" borderId="0" xfId="16" applyNumberFormat="1" applyFont="1" applyFill="1" applyAlignment="1" applyProtection="1">
      <alignment horizontal="center" vertical="center"/>
    </xf>
    <xf numFmtId="0" fontId="3" fillId="13" borderId="18" xfId="0" applyFont="1" applyFill="1" applyBorder="1" applyAlignment="1" applyProtection="1">
      <alignment vertical="center"/>
    </xf>
    <xf numFmtId="0" fontId="3" fillId="13" borderId="0" xfId="0" applyFont="1" applyFill="1" applyBorder="1" applyAlignment="1" applyProtection="1">
      <alignment vertical="center"/>
    </xf>
    <xf numFmtId="0" fontId="3" fillId="13" borderId="5" xfId="0" applyFont="1" applyFill="1" applyBorder="1" applyAlignment="1" applyProtection="1">
      <alignment vertical="center"/>
    </xf>
    <xf numFmtId="177" fontId="7" fillId="13" borderId="18" xfId="0" applyNumberFormat="1" applyFont="1" applyFill="1" applyBorder="1" applyAlignment="1" applyProtection="1">
      <alignment horizontal="center" vertical="center"/>
    </xf>
    <xf numFmtId="0" fontId="7" fillId="13" borderId="0" xfId="0" applyFont="1" applyFill="1" applyBorder="1" applyAlignment="1" applyProtection="1">
      <alignment horizontal="left" vertical="center"/>
    </xf>
    <xf numFmtId="0" fontId="7" fillId="13" borderId="0" xfId="0" applyFont="1" applyFill="1" applyBorder="1" applyAlignment="1" applyProtection="1">
      <alignment vertical="center"/>
    </xf>
    <xf numFmtId="177" fontId="7" fillId="13" borderId="12" xfId="0" applyNumberFormat="1" applyFont="1" applyFill="1" applyBorder="1" applyAlignment="1" applyProtection="1">
      <alignment horizontal="center" vertical="center"/>
    </xf>
    <xf numFmtId="177" fontId="7" fillId="13" borderId="18" xfId="0" applyNumberFormat="1" applyFont="1" applyFill="1" applyBorder="1" applyAlignment="1" applyProtection="1">
      <alignment vertical="center"/>
    </xf>
    <xf numFmtId="177" fontId="42" fillId="18" borderId="12" xfId="0" applyNumberFormat="1" applyFont="1" applyFill="1" applyBorder="1" applyAlignment="1" applyProtection="1">
      <alignment horizontal="center" vertical="center"/>
    </xf>
    <xf numFmtId="0" fontId="42" fillId="18" borderId="1" xfId="0" applyFont="1" applyFill="1" applyBorder="1" applyAlignment="1" applyProtection="1">
      <alignment vertical="center"/>
    </xf>
    <xf numFmtId="0" fontId="7" fillId="18" borderId="1" xfId="0" applyFont="1" applyFill="1" applyBorder="1" applyAlignment="1" applyProtection="1">
      <alignment vertical="center"/>
    </xf>
    <xf numFmtId="0" fontId="3" fillId="18" borderId="6" xfId="0" applyFont="1" applyFill="1" applyBorder="1" applyAlignment="1" applyProtection="1">
      <alignment vertical="center"/>
    </xf>
    <xf numFmtId="174" fontId="42" fillId="13" borderId="16" xfId="0" applyNumberFormat="1" applyFont="1" applyFill="1" applyBorder="1" applyAlignment="1" applyProtection="1">
      <alignment horizontal="center" vertical="center"/>
    </xf>
    <xf numFmtId="0" fontId="7" fillId="13" borderId="2" xfId="0" applyFont="1" applyFill="1" applyBorder="1" applyAlignment="1" applyProtection="1">
      <alignment horizontal="left" vertical="center"/>
    </xf>
    <xf numFmtId="0" fontId="40" fillId="13" borderId="2" xfId="0" applyFont="1" applyFill="1" applyBorder="1" applyAlignment="1" applyProtection="1">
      <alignment horizontal="center" vertical="center"/>
    </xf>
    <xf numFmtId="0" fontId="0" fillId="13" borderId="13" xfId="0" applyFill="1" applyBorder="1" applyAlignment="1" applyProtection="1">
      <alignment vertical="center"/>
    </xf>
    <xf numFmtId="0" fontId="3" fillId="0" borderId="0" xfId="0" applyFont="1" applyFill="1" applyBorder="1" applyAlignment="1" applyProtection="1">
      <alignment vertical="center"/>
    </xf>
    <xf numFmtId="0" fontId="7" fillId="13" borderId="18" xfId="0" applyFont="1" applyFill="1" applyBorder="1" applyAlignment="1" applyProtection="1">
      <alignment vertical="center"/>
    </xf>
    <xf numFmtId="177" fontId="7" fillId="13" borderId="5" xfId="0" applyNumberFormat="1" applyFont="1" applyFill="1" applyBorder="1" applyAlignment="1" applyProtection="1">
      <alignment horizontal="center" vertical="center"/>
    </xf>
    <xf numFmtId="0" fontId="7" fillId="13" borderId="18" xfId="0" applyFont="1" applyFill="1" applyBorder="1" applyAlignment="1" applyProtection="1">
      <alignment horizontal="left" vertical="center"/>
    </xf>
    <xf numFmtId="177" fontId="7" fillId="15" borderId="8" xfId="0" applyNumberFormat="1" applyFont="1" applyFill="1" applyBorder="1" applyAlignment="1" applyProtection="1">
      <alignment horizontal="center" vertical="center"/>
      <protection locked="0"/>
    </xf>
    <xf numFmtId="0" fontId="42" fillId="13" borderId="6" xfId="0" applyFont="1" applyFill="1" applyBorder="1" applyAlignment="1" applyProtection="1">
      <alignment horizontal="center" vertical="center"/>
    </xf>
    <xf numFmtId="0" fontId="42" fillId="18" borderId="12" xfId="0" applyFont="1" applyFill="1" applyBorder="1" applyAlignment="1" applyProtection="1">
      <alignment vertical="center"/>
    </xf>
    <xf numFmtId="0" fontId="3" fillId="18" borderId="1" xfId="0" applyFont="1" applyFill="1" applyBorder="1" applyAlignment="1" applyProtection="1">
      <alignment vertical="center"/>
    </xf>
    <xf numFmtId="177" fontId="42" fillId="18" borderId="6" xfId="0" applyNumberFormat="1" applyFont="1" applyFill="1" applyBorder="1" applyAlignment="1" applyProtection="1">
      <alignment horizontal="center" vertical="center"/>
    </xf>
    <xf numFmtId="0" fontId="24" fillId="13" borderId="0" xfId="0" applyFont="1" applyFill="1" applyBorder="1" applyAlignment="1" applyProtection="1">
      <alignment horizontal="left" vertical="center"/>
    </xf>
    <xf numFmtId="0" fontId="24" fillId="13" borderId="0" xfId="0" applyFont="1" applyFill="1" applyBorder="1" applyAlignment="1" applyProtection="1">
      <alignment vertical="center"/>
    </xf>
    <xf numFmtId="177" fontId="7" fillId="18" borderId="12" xfId="0" applyNumberFormat="1" applyFont="1" applyFill="1" applyBorder="1" applyAlignment="1" applyProtection="1">
      <alignment horizontal="center" vertical="center"/>
    </xf>
    <xf numFmtId="0" fontId="24" fillId="18" borderId="1" xfId="0" applyFont="1" applyFill="1" applyBorder="1" applyAlignment="1" applyProtection="1">
      <alignment vertical="center"/>
    </xf>
    <xf numFmtId="0" fontId="7" fillId="18" borderId="16" xfId="0" applyFont="1" applyFill="1" applyBorder="1" applyAlignment="1" applyProtection="1">
      <alignment horizontal="center" vertical="center"/>
      <protection locked="0"/>
    </xf>
    <xf numFmtId="0" fontId="7" fillId="18" borderId="2" xfId="0" applyFont="1" applyFill="1" applyBorder="1" applyAlignment="1" applyProtection="1">
      <alignment vertical="center"/>
      <protection locked="0"/>
    </xf>
    <xf numFmtId="0" fontId="3" fillId="18" borderId="13" xfId="0" applyFont="1" applyFill="1" applyBorder="1" applyAlignment="1" applyProtection="1">
      <alignment vertical="center"/>
      <protection locked="0"/>
    </xf>
    <xf numFmtId="0" fontId="7" fillId="13" borderId="18" xfId="0" applyFont="1" applyFill="1" applyBorder="1" applyProtection="1"/>
    <xf numFmtId="0" fontId="3" fillId="13" borderId="0" xfId="0" applyFont="1" applyFill="1" applyBorder="1" applyProtection="1"/>
    <xf numFmtId="177" fontId="3" fillId="13" borderId="5" xfId="0" applyNumberFormat="1" applyFont="1" applyFill="1" applyBorder="1" applyAlignment="1" applyProtection="1">
      <alignment horizontal="center"/>
    </xf>
    <xf numFmtId="0" fontId="3" fillId="13" borderId="12" xfId="0" applyFont="1" applyFill="1" applyBorder="1" applyProtection="1"/>
    <xf numFmtId="0" fontId="3" fillId="13" borderId="1" xfId="0" applyFont="1" applyFill="1" applyBorder="1" applyProtection="1"/>
    <xf numFmtId="177" fontId="3" fillId="18" borderId="6" xfId="0" applyNumberFormat="1" applyFont="1" applyFill="1" applyBorder="1" applyAlignment="1" applyProtection="1">
      <alignment horizontal="center"/>
    </xf>
    <xf numFmtId="0" fontId="3" fillId="13" borderId="18" xfId="0" applyFont="1" applyFill="1" applyBorder="1" applyProtection="1"/>
    <xf numFmtId="0" fontId="3" fillId="13" borderId="5" xfId="0" applyFont="1" applyFill="1" applyBorder="1" applyProtection="1"/>
    <xf numFmtId="177" fontId="3" fillId="13" borderId="6" xfId="0" applyNumberFormat="1" applyFont="1" applyFill="1" applyBorder="1" applyAlignment="1" applyProtection="1">
      <alignment horizontal="center"/>
    </xf>
    <xf numFmtId="0" fontId="3" fillId="18" borderId="12" xfId="0" applyFont="1" applyFill="1" applyBorder="1" applyProtection="1"/>
    <xf numFmtId="0" fontId="3" fillId="18" borderId="1" xfId="0" applyFont="1" applyFill="1" applyBorder="1" applyProtection="1"/>
    <xf numFmtId="0" fontId="3" fillId="0" borderId="0" xfId="0" applyFont="1" applyFill="1" applyBorder="1" applyProtection="1"/>
    <xf numFmtId="37" fontId="3" fillId="8" borderId="7" xfId="0" applyNumberFormat="1" applyFont="1" applyFill="1" applyBorder="1" applyAlignment="1" applyProtection="1">
      <alignment vertical="center"/>
    </xf>
    <xf numFmtId="164" fontId="3" fillId="8" borderId="7" xfId="0" applyNumberFormat="1" applyFont="1" applyFill="1" applyBorder="1" applyAlignment="1" applyProtection="1">
      <alignment vertical="center"/>
    </xf>
    <xf numFmtId="3" fontId="3" fillId="8" borderId="7" xfId="0" applyNumberFormat="1" applyFont="1" applyFill="1" applyBorder="1" applyAlignment="1" applyProtection="1">
      <alignment vertical="center"/>
    </xf>
    <xf numFmtId="0" fontId="3" fillId="4" borderId="1" xfId="16" applyFont="1" applyFill="1" applyBorder="1" applyAlignment="1" applyProtection="1">
      <alignment vertical="center"/>
    </xf>
    <xf numFmtId="0" fontId="4" fillId="4" borderId="0" xfId="21" applyFont="1" applyFill="1" applyAlignment="1" applyProtection="1">
      <alignment vertical="center"/>
    </xf>
    <xf numFmtId="0" fontId="4" fillId="4" borderId="0" xfId="19" applyFont="1" applyFill="1" applyAlignment="1" applyProtection="1">
      <alignment vertical="center"/>
    </xf>
    <xf numFmtId="0" fontId="3" fillId="0" borderId="0" xfId="32" applyFont="1" applyAlignment="1">
      <alignment vertical="center"/>
    </xf>
    <xf numFmtId="0" fontId="3" fillId="0" borderId="0" xfId="32" applyFont="1" applyAlignment="1">
      <alignment vertical="center" wrapText="1"/>
    </xf>
    <xf numFmtId="37" fontId="3" fillId="0" borderId="0" xfId="0" applyNumberFormat="1" applyFont="1" applyFill="1" applyAlignment="1" applyProtection="1">
      <alignment horizontal="left" vertical="center" wrapText="1"/>
    </xf>
    <xf numFmtId="0" fontId="3" fillId="0" borderId="0" xfId="16" applyFont="1" applyAlignment="1">
      <alignment vertical="center" wrapText="1"/>
    </xf>
    <xf numFmtId="0" fontId="3" fillId="0" borderId="0" xfId="0" applyNumberFormat="1" applyFont="1" applyAlignment="1">
      <alignment vertical="center" wrapText="1"/>
    </xf>
    <xf numFmtId="0" fontId="19" fillId="4" borderId="16" xfId="0" applyFont="1" applyFill="1" applyBorder="1" applyAlignment="1" applyProtection="1">
      <alignment horizontal="left" vertical="center"/>
    </xf>
    <xf numFmtId="0" fontId="19" fillId="4" borderId="8" xfId="0" applyFont="1" applyFill="1" applyBorder="1" applyAlignment="1" applyProtection="1">
      <alignment horizontal="center" vertical="center"/>
    </xf>
    <xf numFmtId="0" fontId="3" fillId="4" borderId="12" xfId="0" applyFont="1" applyFill="1" applyBorder="1" applyAlignment="1">
      <alignment horizontal="center" vertical="center" shrinkToFit="1"/>
    </xf>
    <xf numFmtId="0" fontId="3" fillId="4" borderId="0" xfId="0" applyFont="1" applyFill="1" applyBorder="1" applyAlignment="1" applyProtection="1">
      <alignment horizontal="fill" vertical="center"/>
      <protection locked="0"/>
    </xf>
    <xf numFmtId="0" fontId="3" fillId="4" borderId="10" xfId="0" applyFont="1" applyFill="1" applyBorder="1" applyAlignment="1" applyProtection="1">
      <alignment vertical="center"/>
      <protection locked="0"/>
    </xf>
    <xf numFmtId="0" fontId="3" fillId="13" borderId="0" xfId="0" applyFont="1" applyFill="1" applyAlignment="1" applyProtection="1">
      <alignment horizontal="left" vertical="center"/>
    </xf>
    <xf numFmtId="37" fontId="3" fillId="6" borderId="0" xfId="0" applyNumberFormat="1" applyFont="1" applyFill="1" applyAlignment="1" applyProtection="1">
      <alignment horizontal="center" vertical="center" wrapText="1"/>
    </xf>
    <xf numFmtId="0" fontId="0" fillId="6" borderId="1" xfId="0" applyFill="1" applyBorder="1" applyAlignment="1">
      <alignment vertical="center" wrapText="1"/>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0" fontId="19"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37" fontId="16" fillId="4" borderId="0" xfId="0" applyNumberFormat="1" applyFont="1" applyFill="1" applyAlignment="1" applyProtection="1">
      <alignment horizontal="center" vertical="justify"/>
    </xf>
    <xf numFmtId="0" fontId="17" fillId="0" borderId="0" xfId="0" applyFont="1" applyAlignment="1" applyProtection="1">
      <alignment horizontal="center" vertical="justify"/>
    </xf>
    <xf numFmtId="37" fontId="19" fillId="4" borderId="0" xfId="0" applyNumberFormat="1" applyFont="1" applyFill="1" applyBorder="1" applyAlignment="1" applyProtection="1">
      <alignment horizontal="center"/>
    </xf>
    <xf numFmtId="0" fontId="0" fillId="0" borderId="0" xfId="0" applyAlignment="1" applyProtection="1">
      <alignment horizontal="center"/>
    </xf>
    <xf numFmtId="0" fontId="4" fillId="5" borderId="0" xfId="0" applyFont="1" applyFill="1" applyBorder="1" applyAlignment="1">
      <alignment horizontal="center"/>
    </xf>
    <xf numFmtId="0" fontId="1" fillId="5" borderId="0" xfId="0" applyFont="1" applyFill="1" applyBorder="1" applyAlignment="1">
      <alignment horizontal="center"/>
    </xf>
    <xf numFmtId="0" fontId="20" fillId="4" borderId="0" xfId="0" applyFont="1" applyFill="1" applyBorder="1" applyAlignment="1"/>
    <xf numFmtId="0" fontId="21" fillId="0" borderId="0" xfId="0" applyFont="1" applyAlignment="1"/>
    <xf numFmtId="0" fontId="3" fillId="0" borderId="0" xfId="322" applyFont="1" applyAlignment="1">
      <alignment horizontal="left" vertical="center" wrapText="1"/>
    </xf>
    <xf numFmtId="0" fontId="30" fillId="0" borderId="0" xfId="322" applyFont="1" applyAlignment="1">
      <alignment horizontal="left" vertical="center" wrapText="1"/>
    </xf>
    <xf numFmtId="0" fontId="19" fillId="0" borderId="0" xfId="322" applyFont="1" applyAlignment="1">
      <alignment horizontal="left" vertical="center"/>
    </xf>
    <xf numFmtId="0" fontId="3" fillId="4"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8" fillId="11" borderId="0" xfId="0" applyFont="1" applyFill="1" applyAlignment="1">
      <alignment horizontal="right" vertical="center" textRotation="180" wrapText="1"/>
    </xf>
    <xf numFmtId="0" fontId="4" fillId="4" borderId="0" xfId="0" applyFont="1" applyFill="1" applyAlignment="1" applyProtection="1">
      <alignment horizontal="center" vertical="center"/>
    </xf>
    <xf numFmtId="0" fontId="3" fillId="4" borderId="3"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37" fontId="3" fillId="4" borderId="0" xfId="0" applyNumberFormat="1" applyFont="1" applyFill="1" applyAlignment="1" applyProtection="1">
      <alignment horizontal="center" vertical="center"/>
    </xf>
    <xf numFmtId="0" fontId="3" fillId="4" borderId="16" xfId="0" applyFont="1" applyFill="1" applyBorder="1" applyAlignment="1" applyProtection="1">
      <alignment horizontal="center" vertical="center"/>
    </xf>
    <xf numFmtId="0" fontId="0" fillId="0" borderId="2" xfId="0" applyBorder="1" applyAlignment="1">
      <alignment vertical="center"/>
    </xf>
    <xf numFmtId="0" fontId="0" fillId="0" borderId="13" xfId="0" applyBorder="1" applyAlignment="1">
      <alignment vertical="center"/>
    </xf>
    <xf numFmtId="0" fontId="3" fillId="4" borderId="0" xfId="0" applyFont="1" applyFill="1" applyAlignment="1" applyProtection="1">
      <alignment horizontal="center" vertical="center"/>
    </xf>
    <xf numFmtId="0" fontId="0" fillId="0" borderId="0" xfId="0" applyAlignment="1">
      <alignment vertical="center"/>
    </xf>
    <xf numFmtId="0" fontId="7" fillId="5" borderId="16" xfId="0" applyFont="1" applyFill="1" applyBorder="1" applyAlignment="1" applyProtection="1">
      <alignment horizontal="center" vertical="center"/>
    </xf>
    <xf numFmtId="3" fontId="3" fillId="3" borderId="16" xfId="1" applyNumberFormat="1" applyFont="1" applyFill="1" applyBorder="1" applyAlignment="1" applyProtection="1">
      <alignment horizontal="center" vertical="center"/>
      <protection locked="0"/>
    </xf>
    <xf numFmtId="0" fontId="0" fillId="0" borderId="13" xfId="0" applyBorder="1" applyAlignment="1">
      <alignment horizontal="center" vertical="center"/>
    </xf>
    <xf numFmtId="3" fontId="3" fillId="16" borderId="16" xfId="1" applyNumberFormat="1" applyFont="1" applyFill="1" applyBorder="1" applyAlignment="1" applyProtection="1">
      <alignment horizontal="center" vertical="center"/>
      <protection locked="0"/>
    </xf>
    <xf numFmtId="0" fontId="0" fillId="16" borderId="13" xfId="0" applyFill="1" applyBorder="1" applyAlignment="1">
      <alignment horizontal="center" vertical="center"/>
    </xf>
    <xf numFmtId="37" fontId="4" fillId="4" borderId="0" xfId="0" applyNumberFormat="1" applyFont="1" applyFill="1" applyAlignment="1" applyProtection="1">
      <alignment horizontal="center" vertical="center"/>
    </xf>
    <xf numFmtId="37" fontId="3" fillId="4" borderId="3"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37" fontId="4" fillId="4" borderId="0" xfId="0" applyNumberFormat="1"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0" xfId="7" applyNumberFormat="1" applyFont="1" applyFill="1" applyBorder="1" applyAlignment="1" applyProtection="1">
      <alignment horizontal="right" vertical="center"/>
    </xf>
    <xf numFmtId="0" fontId="3" fillId="0" borderId="0" xfId="7" applyFont="1" applyAlignment="1" applyProtection="1">
      <alignment horizontal="right" vertical="center"/>
    </xf>
    <xf numFmtId="3" fontId="3" fillId="4" borderId="10" xfId="32" applyNumberFormat="1" applyFont="1" applyFill="1" applyBorder="1" applyAlignment="1" applyProtection="1">
      <alignment horizontal="right" vertical="center"/>
    </xf>
    <xf numFmtId="0" fontId="2" fillId="0" borderId="4" xfId="32" applyBorder="1" applyAlignment="1">
      <alignment horizontal="right" vertical="center"/>
    </xf>
    <xf numFmtId="0" fontId="3" fillId="4" borderId="0" xfId="32" applyFont="1" applyFill="1" applyAlignment="1" applyProtection="1">
      <alignment horizontal="right" vertical="center"/>
    </xf>
    <xf numFmtId="0" fontId="3" fillId="0" borderId="5" xfId="32" applyFont="1" applyBorder="1" applyAlignment="1">
      <alignment horizontal="right" vertical="center"/>
    </xf>
    <xf numFmtId="0" fontId="40" fillId="13" borderId="11" xfId="0" applyFont="1" applyFill="1" applyBorder="1" applyAlignment="1" applyProtection="1">
      <alignment horizontal="center" vertical="center"/>
    </xf>
    <xf numFmtId="0" fontId="41" fillId="0" borderId="10" xfId="0" applyFont="1" applyBorder="1" applyAlignment="1" applyProtection="1">
      <alignment horizontal="center" vertical="center"/>
    </xf>
    <xf numFmtId="0" fontId="0" fillId="0" borderId="4" xfId="0" applyBorder="1" applyAlignment="1" applyProtection="1">
      <alignment vertical="center"/>
    </xf>
    <xf numFmtId="0" fontId="40" fillId="13" borderId="10" xfId="0" applyFont="1" applyFill="1" applyBorder="1" applyAlignment="1" applyProtection="1">
      <alignment horizontal="center" vertical="center"/>
    </xf>
    <xf numFmtId="0" fontId="43" fillId="13" borderId="11"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4" xfId="0" applyFont="1" applyBorder="1" applyAlignment="1" applyProtection="1">
      <alignment horizontal="center" vertical="center"/>
    </xf>
    <xf numFmtId="0" fontId="4" fillId="4" borderId="16" xfId="0" applyFont="1" applyFill="1" applyBorder="1" applyAlignment="1">
      <alignment vertical="center"/>
    </xf>
    <xf numFmtId="0" fontId="4" fillId="4" borderId="13" xfId="0" applyFont="1" applyFill="1" applyBorder="1" applyAlignment="1">
      <alignment vertical="center"/>
    </xf>
    <xf numFmtId="0" fontId="19" fillId="13" borderId="11" xfId="0" applyFont="1" applyFill="1" applyBorder="1" applyAlignment="1" applyProtection="1">
      <alignment horizontal="center"/>
    </xf>
    <xf numFmtId="0" fontId="0" fillId="0" borderId="10" xfId="0" applyBorder="1" applyAlignment="1">
      <alignment horizontal="center"/>
    </xf>
    <xf numFmtId="0" fontId="0" fillId="0" borderId="4" xfId="0" applyBorder="1" applyAlignment="1">
      <alignment horizontal="center"/>
    </xf>
    <xf numFmtId="0" fontId="0" fillId="0" borderId="10" xfId="0" applyBorder="1" applyAlignment="1" applyProtection="1">
      <alignment horizontal="center"/>
    </xf>
    <xf numFmtId="0" fontId="0" fillId="0" borderId="4" xfId="0" applyBorder="1" applyAlignment="1" applyProtection="1">
      <alignment horizontal="center"/>
    </xf>
    <xf numFmtId="0" fontId="7" fillId="4" borderId="3" xfId="0" applyFont="1" applyFill="1" applyBorder="1" applyAlignment="1">
      <alignment horizontal="center" vertical="center" wrapText="1" shrinkToFit="1"/>
    </xf>
    <xf numFmtId="0" fontId="18" fillId="0" borderId="7" xfId="0" applyFont="1" applyBorder="1" applyAlignment="1">
      <alignment horizontal="center" vertical="center" wrapText="1" shrinkToFit="1"/>
    </xf>
    <xf numFmtId="0" fontId="5" fillId="4" borderId="0" xfId="0" applyFont="1" applyFill="1" applyAlignment="1" applyProtection="1">
      <alignment horizontal="center" vertical="center"/>
    </xf>
    <xf numFmtId="37" fontId="3" fillId="13" borderId="0" xfId="0" applyNumberFormat="1" applyFont="1" applyFill="1" applyAlignment="1" applyProtection="1">
      <alignment horizontal="center" vertical="center"/>
    </xf>
    <xf numFmtId="0" fontId="3" fillId="4"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4" borderId="0" xfId="0" applyFont="1" applyFill="1" applyAlignment="1" applyProtection="1">
      <alignment horizontal="right" vertical="center"/>
    </xf>
    <xf numFmtId="0" fontId="6" fillId="0" borderId="0" xfId="346" applyFont="1" applyAlignment="1">
      <alignment horizontal="center"/>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wrapText="1"/>
    </xf>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wrapText="1"/>
    </xf>
    <xf numFmtId="0" fontId="2" fillId="0" borderId="0" xfId="0" applyFont="1" applyAlignment="1">
      <alignment vertical="top" wrapText="1"/>
    </xf>
    <xf numFmtId="173"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lignment horizontal="center"/>
    </xf>
    <xf numFmtId="177" fontId="36" fillId="0" borderId="23" xfId="0" applyNumberFormat="1" applyFont="1" applyBorder="1" applyAlignment="1">
      <alignment horizontal="center"/>
    </xf>
    <xf numFmtId="0" fontId="47" fillId="13" borderId="0" xfId="0" applyFont="1" applyFill="1" applyAlignment="1">
      <alignment horizontal="center" wrapText="1"/>
    </xf>
    <xf numFmtId="0" fontId="36" fillId="13" borderId="0" xfId="0" applyFont="1" applyFill="1" applyAlignment="1">
      <alignment wrapText="1"/>
    </xf>
    <xf numFmtId="0" fontId="36" fillId="13" borderId="0" xfId="0" applyFont="1" applyFill="1" applyBorder="1" applyAlignment="1">
      <alignment horizontal="center"/>
    </xf>
    <xf numFmtId="177" fontId="36" fillId="15" borderId="1" xfId="0" applyNumberFormat="1" applyFont="1" applyFill="1" applyBorder="1" applyAlignment="1" applyProtection="1">
      <alignment horizontal="center"/>
      <protection locked="0"/>
    </xf>
    <xf numFmtId="0" fontId="36" fillId="13" borderId="10" xfId="0" applyFont="1" applyFill="1" applyBorder="1" applyAlignment="1">
      <alignment horizontal="center"/>
    </xf>
    <xf numFmtId="0" fontId="36" fillId="13" borderId="27" xfId="0" applyFont="1" applyFill="1" applyBorder="1" applyAlignment="1">
      <alignment vertical="top" wrapText="1"/>
    </xf>
    <xf numFmtId="0" fontId="36" fillId="0" borderId="0" xfId="0" applyFont="1" applyAlignment="1">
      <alignment vertical="top" wrapText="1"/>
    </xf>
    <xf numFmtId="0" fontId="36" fillId="0" borderId="23" xfId="0" applyFont="1" applyBorder="1" applyAlignment="1">
      <alignment vertical="top" wrapText="1"/>
    </xf>
    <xf numFmtId="178" fontId="36" fillId="13" borderId="0" xfId="0" applyNumberFormat="1" applyFont="1" applyFill="1" applyBorder="1" applyAlignment="1">
      <alignment horizontal="center"/>
    </xf>
    <xf numFmtId="0" fontId="36" fillId="0" borderId="23" xfId="0" applyFont="1" applyBorder="1" applyAlignment="1">
      <alignment horizontal="center"/>
    </xf>
    <xf numFmtId="5" fontId="36" fillId="13" borderId="1" xfId="0" applyNumberFormat="1" applyFont="1" applyFill="1" applyBorder="1" applyAlignment="1">
      <alignment horizontal="center"/>
    </xf>
    <xf numFmtId="0" fontId="47" fillId="13" borderId="20" xfId="0" applyFont="1" applyFill="1" applyBorder="1" applyAlignment="1">
      <alignment horizontal="center" vertical="center"/>
    </xf>
    <xf numFmtId="0" fontId="36" fillId="0" borderId="20" xfId="0" applyFont="1" applyBorder="1" applyAlignment="1">
      <alignment horizontal="center" vertical="center"/>
    </xf>
    <xf numFmtId="0" fontId="47" fillId="13" borderId="0" xfId="0" applyFont="1" applyFill="1" applyBorder="1" applyAlignment="1">
      <alignment horizontal="center" wrapText="1"/>
    </xf>
    <xf numFmtId="0" fontId="36" fillId="0" borderId="0" xfId="0" applyFont="1" applyAlignment="1">
      <alignment horizontal="center" wrapText="1"/>
    </xf>
    <xf numFmtId="0" fontId="47" fillId="0" borderId="0" xfId="0" applyFont="1" applyAlignment="1">
      <alignment horizontal="center" wrapText="1"/>
    </xf>
    <xf numFmtId="0" fontId="36" fillId="13" borderId="0" xfId="0" applyFont="1" applyFill="1" applyBorder="1" applyAlignment="1">
      <alignment wrapText="1"/>
    </xf>
    <xf numFmtId="0" fontId="36" fillId="0" borderId="0" xfId="0" applyFont="1" applyAlignment="1">
      <alignment wrapText="1"/>
    </xf>
    <xf numFmtId="177" fontId="36" fillId="13" borderId="0" xfId="0" applyNumberFormat="1" applyFont="1" applyFill="1" applyAlignment="1"/>
    <xf numFmtId="0" fontId="47" fillId="13" borderId="0" xfId="0" applyFont="1" applyFill="1" applyAlignment="1">
      <alignment horizontal="center"/>
    </xf>
    <xf numFmtId="177" fontId="36" fillId="13" borderId="0" xfId="0" applyNumberFormat="1" applyFont="1" applyFill="1" applyAlignment="1">
      <alignment horizontal="center"/>
    </xf>
    <xf numFmtId="0" fontId="36" fillId="13" borderId="0" xfId="0" applyFont="1" applyFill="1" applyBorder="1" applyAlignment="1"/>
    <xf numFmtId="0" fontId="36" fillId="0" borderId="0" xfId="0" applyFont="1" applyBorder="1" applyAlignment="1"/>
    <xf numFmtId="0" fontId="36" fillId="13" borderId="25" xfId="0" applyFont="1" applyFill="1" applyBorder="1" applyAlignment="1"/>
    <xf numFmtId="0" fontId="36" fillId="13" borderId="26" xfId="0" applyFont="1" applyFill="1" applyBorder="1" applyAlignment="1"/>
    <xf numFmtId="0" fontId="47" fillId="13" borderId="0" xfId="0" applyFont="1" applyFill="1" applyAlignment="1">
      <alignment horizontal="center" vertical="center"/>
    </xf>
    <xf numFmtId="0" fontId="47" fillId="0" borderId="0" xfId="0" applyFont="1" applyAlignment="1">
      <alignment horizontal="center" vertical="center"/>
    </xf>
  </cellXfs>
  <cellStyles count="347">
    <cellStyle name="Comma" xfId="1" builtinId="3"/>
    <cellStyle name="Comma 16" xfId="2"/>
    <cellStyle name="Comma 16 2" xfId="3"/>
    <cellStyle name="Comma 16 3" xfId="4"/>
    <cellStyle name="Comma 4" xfId="5"/>
    <cellStyle name="Comma 7" xfId="6"/>
    <cellStyle name="Hyperlink" xfId="7" builtinId="8"/>
    <cellStyle name="Hyperlink 2 2" xfId="8"/>
    <cellStyle name="Hyperlink 3 2" xfId="9"/>
    <cellStyle name="Hyperlink 3 3" xfId="10"/>
    <cellStyle name="Hyperlink 4 2" xfId="11"/>
    <cellStyle name="Hyperlink 7" xfId="12"/>
    <cellStyle name="Hyperlink 7 2" xfId="13"/>
    <cellStyle name="Normal" xfId="0" builtinId="0"/>
    <cellStyle name="Normal 10" xfId="14"/>
    <cellStyle name="Normal 10 2" xfId="15"/>
    <cellStyle name="Normal 10 2 2" xfId="16"/>
    <cellStyle name="Normal 10 3" xfId="17"/>
    <cellStyle name="Normal 10 4" xfId="18"/>
    <cellStyle name="Normal 10 5" xfId="19"/>
    <cellStyle name="Normal 10 6" xfId="20"/>
    <cellStyle name="Normal 10 7" xfId="21"/>
    <cellStyle name="Normal 11" xfId="22"/>
    <cellStyle name="Normal 11 2" xfId="23"/>
    <cellStyle name="Normal 11 2 2" xfId="24"/>
    <cellStyle name="Normal 11 3" xfId="25"/>
    <cellStyle name="Normal 11 4" xfId="26"/>
    <cellStyle name="Normal 11 5" xfId="27"/>
    <cellStyle name="Normal 12" xfId="28"/>
    <cellStyle name="Normal 12 10" xfId="29"/>
    <cellStyle name="Normal 12 11" xfId="30"/>
    <cellStyle name="Normal 12 12" xfId="31"/>
    <cellStyle name="Normal 12 2" xfId="32"/>
    <cellStyle name="Normal 12 2 2" xfId="33"/>
    <cellStyle name="Normal 12 3" xfId="34"/>
    <cellStyle name="Normal 12 4" xfId="35"/>
    <cellStyle name="Normal 12 5" xfId="36"/>
    <cellStyle name="Normal 12 6" xfId="37"/>
    <cellStyle name="Normal 12 7" xfId="38"/>
    <cellStyle name="Normal 12 8" xfId="39"/>
    <cellStyle name="Normal 12 9" xfId="40"/>
    <cellStyle name="Normal 13" xfId="41"/>
    <cellStyle name="Normal 13 10" xfId="42"/>
    <cellStyle name="Normal 13 11" xfId="43"/>
    <cellStyle name="Normal 13 12" xfId="44"/>
    <cellStyle name="Normal 13 2" xfId="45"/>
    <cellStyle name="Normal 13 2 2" xfId="46"/>
    <cellStyle name="Normal 13 3" xfId="47"/>
    <cellStyle name="Normal 13 4" xfId="48"/>
    <cellStyle name="Normal 13 5" xfId="49"/>
    <cellStyle name="Normal 13 6" xfId="50"/>
    <cellStyle name="Normal 13 7" xfId="51"/>
    <cellStyle name="Normal 13 8" xfId="52"/>
    <cellStyle name="Normal 13 9" xfId="53"/>
    <cellStyle name="Normal 14" xfId="54"/>
    <cellStyle name="Normal 14 2" xfId="55"/>
    <cellStyle name="Normal 14 3" xfId="56"/>
    <cellStyle name="Normal 14 4" xfId="57"/>
    <cellStyle name="Normal 14 5" xfId="58"/>
    <cellStyle name="Normal 14 6" xfId="59"/>
    <cellStyle name="Normal 14 7"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2" xfId="96"/>
    <cellStyle name="Normal 2 10 3" xfId="97"/>
    <cellStyle name="Normal 2 10 4" xfId="98"/>
    <cellStyle name="Normal 2 10 5" xfId="99"/>
    <cellStyle name="Normal 2 10 6" xfId="100"/>
    <cellStyle name="Normal 2 10 7" xfId="101"/>
    <cellStyle name="Normal 2 10 8" xfId="102"/>
    <cellStyle name="Normal 2 10 9" xfId="103"/>
    <cellStyle name="Normal 2 11" xfId="104"/>
    <cellStyle name="Normal 2 11 10" xfId="105"/>
    <cellStyle name="Normal 2 11 11" xfId="106"/>
    <cellStyle name="Normal 2 11 2" xfId="107"/>
    <cellStyle name="Normal 2 11 3" xfId="108"/>
    <cellStyle name="Normal 2 11 4" xfId="109"/>
    <cellStyle name="Normal 2 11 5" xfId="110"/>
    <cellStyle name="Normal 2 11 6" xfId="111"/>
    <cellStyle name="Normal 2 11 7" xfId="112"/>
    <cellStyle name="Normal 2 11 8" xfId="113"/>
    <cellStyle name="Normal 2 11 9" xfId="114"/>
    <cellStyle name="Normal 2 12" xfId="115"/>
    <cellStyle name="Normal 2 13" xfId="116"/>
    <cellStyle name="Normal 2 14" xfId="117"/>
    <cellStyle name="Normal 2 15" xfId="118"/>
    <cellStyle name="Normal 2 16" xfId="119"/>
    <cellStyle name="Normal 2 2" xfId="120"/>
    <cellStyle name="Normal 2 2 10" xfId="121"/>
    <cellStyle name="Normal 2 2 10 2" xfId="122"/>
    <cellStyle name="Normal 2 2 11" xfId="123"/>
    <cellStyle name="Normal 2 2 12" xfId="124"/>
    <cellStyle name="Normal 2 2 12 2" xfId="125"/>
    <cellStyle name="Normal 2 2 12 3" xfId="126"/>
    <cellStyle name="Normal 2 2 13" xfId="127"/>
    <cellStyle name="Normal 2 2 13 2" xfId="128"/>
    <cellStyle name="Normal 2 2 13 3" xfId="129"/>
    <cellStyle name="Normal 2 2 14" xfId="130"/>
    <cellStyle name="Normal 2 2 15" xfId="131"/>
    <cellStyle name="Normal 2 2 16" xfId="132"/>
    <cellStyle name="Normal 2 2 16 2" xfId="133"/>
    <cellStyle name="Normal 2 2 17" xfId="134"/>
    <cellStyle name="Normal 2 2 18" xfId="135"/>
    <cellStyle name="Normal 2 2 19" xfId="136"/>
    <cellStyle name="Normal 2 2 2" xfId="137"/>
    <cellStyle name="Normal 2 2 2 2" xfId="138"/>
    <cellStyle name="Normal 2 2 2 2 2" xfId="139"/>
    <cellStyle name="Normal 2 2 2 2 3" xfId="140"/>
    <cellStyle name="Normal 2 2 2 3" xfId="141"/>
    <cellStyle name="Normal 2 2 2 4" xfId="142"/>
    <cellStyle name="Normal 2 2 2 5" xfId="143"/>
    <cellStyle name="Normal 2 2 2 6" xfId="144"/>
    <cellStyle name="Normal 2 2 2 7" xfId="145"/>
    <cellStyle name="Normal 2 2 2 8" xfId="146"/>
    <cellStyle name="Normal 2 2 20" xfId="147"/>
    <cellStyle name="Normal 2 2 21" xfId="148"/>
    <cellStyle name="Normal 2 2 3" xfId="149"/>
    <cellStyle name="Normal 2 2 3 2" xfId="150"/>
    <cellStyle name="Normal 2 2 4" xfId="151"/>
    <cellStyle name="Normal 2 2 4 2" xfId="152"/>
    <cellStyle name="Normal 2 2 5" xfId="153"/>
    <cellStyle name="Normal 2 2 5 2" xfId="154"/>
    <cellStyle name="Normal 2 2 6" xfId="155"/>
    <cellStyle name="Normal 2 2 6 2" xfId="156"/>
    <cellStyle name="Normal 2 2 7" xfId="157"/>
    <cellStyle name="Normal 2 2 7 2" xfId="158"/>
    <cellStyle name="Normal 2 2 8" xfId="159"/>
    <cellStyle name="Normal 2 2 8 2" xfId="160"/>
    <cellStyle name="Normal 2 2 9" xfId="161"/>
    <cellStyle name="Normal 2 2 9 2" xfId="162"/>
    <cellStyle name="Normal 2 3" xfId="163"/>
    <cellStyle name="Normal 2 3 10" xfId="164"/>
    <cellStyle name="Normal 2 3 11" xfId="165"/>
    <cellStyle name="Normal 2 3 12" xfId="166"/>
    <cellStyle name="Normal 2 3 13" xfId="167"/>
    <cellStyle name="Normal 2 3 14" xfId="168"/>
    <cellStyle name="Normal 2 3 15" xfId="169"/>
    <cellStyle name="Normal 2 3 2" xfId="170"/>
    <cellStyle name="Normal 2 3 2 2" xfId="171"/>
    <cellStyle name="Normal 2 3 2 2 2" xfId="172"/>
    <cellStyle name="Normal 2 3 2 2 3" xfId="173"/>
    <cellStyle name="Normal 2 3 2 3" xfId="174"/>
    <cellStyle name="Normal 2 3 2 4" xfId="175"/>
    <cellStyle name="Normal 2 3 3" xfId="176"/>
    <cellStyle name="Normal 2 3 3 2" xfId="177"/>
    <cellStyle name="Normal 2 3 3 3" xfId="178"/>
    <cellStyle name="Normal 2 3 4" xfId="179"/>
    <cellStyle name="Normal 2 3 5" xfId="180"/>
    <cellStyle name="Normal 2 3 6" xfId="181"/>
    <cellStyle name="Normal 2 3 7" xfId="182"/>
    <cellStyle name="Normal 2 3 8" xfId="183"/>
    <cellStyle name="Normal 2 3 9" xfId="184"/>
    <cellStyle name="Normal 2 4" xfId="185"/>
    <cellStyle name="Normal 2 4 10" xfId="186"/>
    <cellStyle name="Normal 2 4 11" xfId="187"/>
    <cellStyle name="Normal 2 4 12" xfId="188"/>
    <cellStyle name="Normal 2 4 13" xfId="189"/>
    <cellStyle name="Normal 2 4 2" xfId="190"/>
    <cellStyle name="Normal 2 4 2 2" xfId="191"/>
    <cellStyle name="Normal 2 4 2 2 2" xfId="192"/>
    <cellStyle name="Normal 2 4 2 2 3" xfId="193"/>
    <cellStyle name="Normal 2 4 2 3" xfId="194"/>
    <cellStyle name="Normal 2 4 2 4" xfId="195"/>
    <cellStyle name="Normal 2 4 3" xfId="196"/>
    <cellStyle name="Normal 2 4 3 2" xfId="197"/>
    <cellStyle name="Normal 2 4 3 3" xfId="198"/>
    <cellStyle name="Normal 2 4 4" xfId="199"/>
    <cellStyle name="Normal 2 4 5" xfId="200"/>
    <cellStyle name="Normal 2 4 6" xfId="201"/>
    <cellStyle name="Normal 2 4 7" xfId="202"/>
    <cellStyle name="Normal 2 4 8" xfId="203"/>
    <cellStyle name="Normal 2 4 9" xfId="204"/>
    <cellStyle name="Normal 2 5" xfId="205"/>
    <cellStyle name="Normal 2 5 10" xfId="206"/>
    <cellStyle name="Normal 2 5 11" xfId="207"/>
    <cellStyle name="Normal 2 5 12" xfId="208"/>
    <cellStyle name="Normal 2 5 12 2" xfId="209"/>
    <cellStyle name="Normal 2 5 2" xfId="210"/>
    <cellStyle name="Normal 2 5 2 2" xfId="211"/>
    <cellStyle name="Normal 2 5 3" xfId="212"/>
    <cellStyle name="Normal 2 5 3 2" xfId="213"/>
    <cellStyle name="Normal 2 5 4" xfId="214"/>
    <cellStyle name="Normal 2 5 5" xfId="215"/>
    <cellStyle name="Normal 2 5 6" xfId="216"/>
    <cellStyle name="Normal 2 5 7" xfId="217"/>
    <cellStyle name="Normal 2 5 8" xfId="218"/>
    <cellStyle name="Normal 2 5 9" xfId="219"/>
    <cellStyle name="Normal 2 6" xfId="220"/>
    <cellStyle name="Normal 2 6 10" xfId="221"/>
    <cellStyle name="Normal 2 6 11" xfId="222"/>
    <cellStyle name="Normal 2 6 12" xfId="223"/>
    <cellStyle name="Normal 2 6 2" xfId="224"/>
    <cellStyle name="Normal 2 6 2 2" xfId="225"/>
    <cellStyle name="Normal 2 6 3" xfId="226"/>
    <cellStyle name="Normal 2 6 3 2" xfId="227"/>
    <cellStyle name="Normal 2 6 4" xfId="228"/>
    <cellStyle name="Normal 2 6 5" xfId="229"/>
    <cellStyle name="Normal 2 6 6" xfId="230"/>
    <cellStyle name="Normal 2 6 7" xfId="231"/>
    <cellStyle name="Normal 2 6 8" xfId="232"/>
    <cellStyle name="Normal 2 6 9" xfId="233"/>
    <cellStyle name="Normal 2 7" xfId="234"/>
    <cellStyle name="Normal 2 7 10" xfId="235"/>
    <cellStyle name="Normal 2 7 2" xfId="236"/>
    <cellStyle name="Normal 2 7 2 2" xfId="237"/>
    <cellStyle name="Normal 2 7 2 3" xfId="238"/>
    <cellStyle name="Normal 2 7 3" xfId="239"/>
    <cellStyle name="Normal 2 7 4" xfId="240"/>
    <cellStyle name="Normal 2 7 5" xfId="241"/>
    <cellStyle name="Normal 2 7 6" xfId="242"/>
    <cellStyle name="Normal 2 7 7" xfId="243"/>
    <cellStyle name="Normal 2 7 8" xfId="244"/>
    <cellStyle name="Normal 2 7 9" xfId="245"/>
    <cellStyle name="Normal 2 8" xfId="246"/>
    <cellStyle name="Normal 2 8 10" xfId="247"/>
    <cellStyle name="Normal 2 8 11" xfId="248"/>
    <cellStyle name="Normal 2 8 2" xfId="249"/>
    <cellStyle name="Normal 2 8 3" xfId="250"/>
    <cellStyle name="Normal 2 8 4" xfId="251"/>
    <cellStyle name="Normal 2 8 5" xfId="252"/>
    <cellStyle name="Normal 2 8 6" xfId="253"/>
    <cellStyle name="Normal 2 8 7" xfId="254"/>
    <cellStyle name="Normal 2 8 8" xfId="255"/>
    <cellStyle name="Normal 2 8 9" xfId="256"/>
    <cellStyle name="Normal 2 9" xfId="257"/>
    <cellStyle name="Normal 2 9 10" xfId="258"/>
    <cellStyle name="Normal 2 9 11" xfId="259"/>
    <cellStyle name="Normal 2 9 2" xfId="260"/>
    <cellStyle name="Normal 2 9 3" xfId="261"/>
    <cellStyle name="Normal 2 9 4" xfId="262"/>
    <cellStyle name="Normal 2 9 5" xfId="263"/>
    <cellStyle name="Normal 2 9 6" xfId="264"/>
    <cellStyle name="Normal 2 9 7" xfId="265"/>
    <cellStyle name="Normal 2 9 8" xfId="266"/>
    <cellStyle name="Normal 2 9 9" xfId="267"/>
    <cellStyle name="Normal 20" xfId="268"/>
    <cellStyle name="Normal 20 2" xfId="269"/>
    <cellStyle name="Normal 20 3" xfId="270"/>
    <cellStyle name="Normal 22" xfId="271"/>
    <cellStyle name="Normal 22 2" xfId="272"/>
    <cellStyle name="Normal 22 3" xfId="273"/>
    <cellStyle name="Normal 23" xfId="274"/>
    <cellStyle name="Normal 23 2" xfId="275"/>
    <cellStyle name="Normal 23 3" xfId="276"/>
    <cellStyle name="Normal 24" xfId="277"/>
    <cellStyle name="Normal 24 2" xfId="278"/>
    <cellStyle name="Normal 24 3" xfId="279"/>
    <cellStyle name="Normal 25" xfId="280"/>
    <cellStyle name="Normal 25 2" xfId="281"/>
    <cellStyle name="Normal 25 3" xfId="282"/>
    <cellStyle name="Normal 3" xfId="283"/>
    <cellStyle name="Normal 3 2" xfId="284"/>
    <cellStyle name="Normal 3 2 2" xfId="285"/>
    <cellStyle name="Normal 3 2 2 2" xfId="286"/>
    <cellStyle name="Normal 3 2 2 3" xfId="287"/>
    <cellStyle name="Normal 3 2 3" xfId="288"/>
    <cellStyle name="Normal 3 2 4" xfId="289"/>
    <cellStyle name="Normal 3 3" xfId="290"/>
    <cellStyle name="Normal 3 3 2" xfId="291"/>
    <cellStyle name="Normal 3 3 2 2" xfId="292"/>
    <cellStyle name="Normal 3 3 2 3" xfId="293"/>
    <cellStyle name="Normal 3 3 3" xfId="294"/>
    <cellStyle name="Normal 3 4" xfId="295"/>
    <cellStyle name="Normal 3 5" xfId="296"/>
    <cellStyle name="Normal 3 6" xfId="297"/>
    <cellStyle name="Normal 3 7" xfId="298"/>
    <cellStyle name="Normal 3 8" xfId="299"/>
    <cellStyle name="Normal 3 9" xfId="300"/>
    <cellStyle name="Normal 4 2" xfId="301"/>
    <cellStyle name="Normal 4 2 2" xfId="302"/>
    <cellStyle name="Normal 4 2 2 2" xfId="303"/>
    <cellStyle name="Normal 4 2 3" xfId="304"/>
    <cellStyle name="Normal 4 2 4" xfId="305"/>
    <cellStyle name="Normal 4 3" xfId="306"/>
    <cellStyle name="Normal 4 3 2" xfId="307"/>
    <cellStyle name="Normal 4 3 3" xfId="308"/>
    <cellStyle name="Normal 4 4" xfId="309"/>
    <cellStyle name="Normal 4 5" xfId="310"/>
    <cellStyle name="Normal 4 6" xfId="311"/>
    <cellStyle name="Normal 5" xfId="312"/>
    <cellStyle name="Normal 5 2" xfId="313"/>
    <cellStyle name="Normal 5 3" xfId="314"/>
    <cellStyle name="Normal 5 3 2" xfId="315"/>
    <cellStyle name="Normal 5 3 3" xfId="316"/>
    <cellStyle name="Normal 5 4" xfId="317"/>
    <cellStyle name="Normal 6 2" xfId="318"/>
    <cellStyle name="Normal 6 3" xfId="319"/>
    <cellStyle name="Normal 6 4" xfId="320"/>
    <cellStyle name="Normal 6 5" xfId="321"/>
    <cellStyle name="Normal 7" xfId="322"/>
    <cellStyle name="Normal 7 2" xfId="323"/>
    <cellStyle name="Normal 7 2 2" xfId="324"/>
    <cellStyle name="Normal 7 2 2 2" xfId="325"/>
    <cellStyle name="Normal 7 2 3" xfId="326"/>
    <cellStyle name="Normal 7 2 4" xfId="327"/>
    <cellStyle name="Normal 7 3" xfId="328"/>
    <cellStyle name="Normal 7 4" xfId="329"/>
    <cellStyle name="Normal 7 4 2" xfId="330"/>
    <cellStyle name="Normal 7 4 3" xfId="331"/>
    <cellStyle name="Normal 7 5" xfId="332"/>
    <cellStyle name="Normal 7 5 2" xfId="333"/>
    <cellStyle name="Normal 7 5 3" xfId="334"/>
    <cellStyle name="Normal 7 5 4" xfId="335"/>
    <cellStyle name="Normal 7 6" xfId="336"/>
    <cellStyle name="Normal 8 2" xfId="337"/>
    <cellStyle name="Normal 9" xfId="338"/>
    <cellStyle name="Normal 9 2" xfId="339"/>
    <cellStyle name="Normal 9 2 2" xfId="340"/>
    <cellStyle name="Normal 9 3" xfId="341"/>
    <cellStyle name="Normal 9 4" xfId="342"/>
    <cellStyle name="Normal 9 5" xfId="343"/>
    <cellStyle name="Normal_debt" xfId="344"/>
    <cellStyle name="Normal_lpform" xfId="345"/>
    <cellStyle name="Normal_Township 07" xfId="346"/>
  </cellStyles>
  <dxfs count="60">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8"/>
  <sheetViews>
    <sheetView zoomScaleNormal="75" workbookViewId="0">
      <selection activeCell="B3" sqref="B3"/>
    </sheetView>
  </sheetViews>
  <sheetFormatPr defaultRowHeight="15.75"/>
  <cols>
    <col min="1" max="1" width="81.6640625" style="1" customWidth="1"/>
    <col min="2" max="16384" width="8.88671875" style="1"/>
  </cols>
  <sheetData>
    <row r="1" spans="1:2">
      <c r="A1" s="6" t="s">
        <v>177</v>
      </c>
      <c r="B1" s="7"/>
    </row>
    <row r="2" spans="1:2">
      <c r="A2" s="6"/>
      <c r="B2" s="7"/>
    </row>
    <row r="3" spans="1:2" ht="35.25" customHeight="1">
      <c r="A3" s="2" t="s">
        <v>174</v>
      </c>
    </row>
    <row r="4" spans="1:2">
      <c r="A4" s="8"/>
    </row>
    <row r="5" spans="1:2">
      <c r="A5" s="8" t="s">
        <v>566</v>
      </c>
    </row>
    <row r="6" spans="1:2">
      <c r="A6" s="8"/>
    </row>
    <row r="7" spans="1:2" ht="55.5" customHeight="1">
      <c r="A7" s="96" t="s">
        <v>279</v>
      </c>
    </row>
    <row r="8" spans="1:2">
      <c r="A8" s="8"/>
    </row>
    <row r="9" spans="1:2">
      <c r="A9" s="9" t="s">
        <v>236</v>
      </c>
      <c r="B9" s="7"/>
    </row>
    <row r="10" spans="1:2" ht="14.25" customHeight="1">
      <c r="A10" s="5"/>
    </row>
    <row r="11" spans="1:2" ht="20.25" customHeight="1">
      <c r="A11" s="8" t="s">
        <v>237</v>
      </c>
    </row>
    <row r="12" spans="1:2" ht="14.25" customHeight="1">
      <c r="A12" s="5"/>
    </row>
    <row r="13" spans="1:2" s="4" customFormat="1" ht="40.5" customHeight="1">
      <c r="A13" s="3" t="s">
        <v>280</v>
      </c>
    </row>
    <row r="16" spans="1:2">
      <c r="A16" s="9" t="s">
        <v>0</v>
      </c>
    </row>
    <row r="17" spans="1:1">
      <c r="A17" s="5"/>
    </row>
    <row r="18" spans="1:1" ht="17.25" customHeight="1">
      <c r="A18" s="11" t="s">
        <v>121</v>
      </c>
    </row>
    <row r="19" spans="1:1" ht="24.75" customHeight="1">
      <c r="A19" s="424" t="s">
        <v>120</v>
      </c>
    </row>
    <row r="20" spans="1:1" ht="52.5" customHeight="1">
      <c r="A20" s="422" t="s">
        <v>122</v>
      </c>
    </row>
    <row r="21" spans="1:1" ht="20.25" customHeight="1">
      <c r="A21" s="423" t="s">
        <v>175</v>
      </c>
    </row>
    <row r="22" spans="1:1" s="31" customFormat="1" ht="20.25" customHeight="1">
      <c r="A22" s="392" t="s">
        <v>176</v>
      </c>
    </row>
    <row r="23" spans="1:1" ht="21" customHeight="1">
      <c r="A23" s="3" t="s">
        <v>68</v>
      </c>
    </row>
    <row r="24" spans="1:1">
      <c r="A24" s="5"/>
    </row>
    <row r="25" spans="1:1">
      <c r="A25" s="10" t="s">
        <v>1</v>
      </c>
    </row>
    <row r="27" spans="1:1" ht="21" customHeight="1">
      <c r="A27" s="387" t="s">
        <v>740</v>
      </c>
    </row>
    <row r="28" spans="1:1" ht="9" customHeight="1">
      <c r="A28" s="142"/>
    </row>
    <row r="29" spans="1:1" ht="62.25" customHeight="1">
      <c r="A29" s="387" t="s">
        <v>716</v>
      </c>
    </row>
    <row r="30" spans="1:1" ht="51.75" customHeight="1">
      <c r="A30" s="601" t="s">
        <v>224</v>
      </c>
    </row>
    <row r="31" spans="1:1" ht="55.5" customHeight="1">
      <c r="A31" s="418" t="s">
        <v>540</v>
      </c>
    </row>
    <row r="32" spans="1:1" ht="74.099999999999994" customHeight="1">
      <c r="A32" s="419" t="s">
        <v>541</v>
      </c>
    </row>
    <row r="33" spans="1:1" ht="16.5" customHeight="1">
      <c r="A33" s="142"/>
    </row>
    <row r="34" spans="1:1" ht="56.25" customHeight="1">
      <c r="A34" s="387" t="s">
        <v>717</v>
      </c>
    </row>
    <row r="35" spans="1:1" ht="52.5" customHeight="1">
      <c r="A35" s="387" t="s">
        <v>542</v>
      </c>
    </row>
    <row r="36" spans="1:1" ht="101.25" customHeight="1">
      <c r="A36" s="387" t="s">
        <v>718</v>
      </c>
    </row>
    <row r="37" spans="1:1" ht="15.75" customHeight="1">
      <c r="A37" s="387"/>
    </row>
    <row r="38" spans="1:1" ht="69" customHeight="1">
      <c r="A38" s="387" t="s">
        <v>543</v>
      </c>
    </row>
    <row r="39" spans="1:1" ht="79.5" customHeight="1">
      <c r="A39" s="387" t="s">
        <v>719</v>
      </c>
    </row>
    <row r="40" spans="1:1" ht="52.5" customHeight="1">
      <c r="A40" s="387" t="s">
        <v>544</v>
      </c>
    </row>
    <row r="41" spans="1:1" ht="16.5" customHeight="1">
      <c r="A41" s="387"/>
    </row>
    <row r="42" spans="1:1" ht="73.5" customHeight="1">
      <c r="A42" s="387" t="s">
        <v>545</v>
      </c>
    </row>
    <row r="43" spans="1:1" ht="53.25" customHeight="1">
      <c r="A43" s="387" t="s">
        <v>546</v>
      </c>
    </row>
    <row r="44" spans="1:1" ht="38.25" customHeight="1">
      <c r="A44" s="387" t="s">
        <v>547</v>
      </c>
    </row>
    <row r="45" spans="1:1" ht="16.5" customHeight="1">
      <c r="A45" s="142"/>
    </row>
    <row r="46" spans="1:1" ht="53.25" customHeight="1">
      <c r="A46" s="387" t="s">
        <v>548</v>
      </c>
    </row>
    <row r="47" spans="1:1" ht="15.75" customHeight="1">
      <c r="A47" s="142"/>
    </row>
    <row r="48" spans="1:1" ht="49.5" customHeight="1">
      <c r="A48" s="387" t="s">
        <v>549</v>
      </c>
    </row>
    <row r="49" spans="1:1" ht="41.25" customHeight="1">
      <c r="A49" s="142" t="s">
        <v>550</v>
      </c>
    </row>
    <row r="50" spans="1:1" ht="66" customHeight="1">
      <c r="A50" s="387" t="s">
        <v>569</v>
      </c>
    </row>
    <row r="51" spans="1:1" ht="34.5" customHeight="1">
      <c r="A51" s="387" t="s">
        <v>551</v>
      </c>
    </row>
    <row r="52" spans="1:1" ht="15.75" customHeight="1">
      <c r="A52" s="142"/>
    </row>
    <row r="53" spans="1:1" ht="72" customHeight="1">
      <c r="A53" s="387" t="s">
        <v>552</v>
      </c>
    </row>
    <row r="54" spans="1:1" s="4" customFormat="1" ht="18.75" customHeight="1">
      <c r="A54" s="142"/>
    </row>
    <row r="55" spans="1:1" ht="75" customHeight="1">
      <c r="A55" s="387" t="s">
        <v>553</v>
      </c>
    </row>
    <row r="56" spans="1:1" s="4" customFormat="1" ht="18.75" customHeight="1">
      <c r="A56" s="387"/>
    </row>
    <row r="57" spans="1:1" ht="48" customHeight="1">
      <c r="A57" s="387" t="s">
        <v>720</v>
      </c>
    </row>
    <row r="58" spans="1:1" ht="66.75" customHeight="1">
      <c r="A58" s="600" t="s">
        <v>721</v>
      </c>
    </row>
    <row r="59" spans="1:1" ht="65.25" customHeight="1">
      <c r="A59" s="600" t="s">
        <v>722</v>
      </c>
    </row>
    <row r="60" spans="1:1" ht="66.75" customHeight="1">
      <c r="A60" s="602" t="s">
        <v>723</v>
      </c>
    </row>
    <row r="61" spans="1:1" ht="83.25" customHeight="1">
      <c r="A61" s="600" t="s">
        <v>724</v>
      </c>
    </row>
    <row r="62" spans="1:1" ht="75.75" customHeight="1">
      <c r="A62" s="387" t="s">
        <v>725</v>
      </c>
    </row>
    <row r="63" spans="1:1" ht="64.5" customHeight="1">
      <c r="A63" s="387" t="s">
        <v>726</v>
      </c>
    </row>
    <row r="64" spans="1:1" ht="88.5" customHeight="1">
      <c r="A64" s="388" t="s">
        <v>727</v>
      </c>
    </row>
    <row r="65" spans="1:1" ht="82.5" customHeight="1">
      <c r="A65" s="389" t="s">
        <v>728</v>
      </c>
    </row>
    <row r="66" spans="1:1" ht="52.5" customHeight="1">
      <c r="A66" s="390" t="s">
        <v>729</v>
      </c>
    </row>
    <row r="67" spans="1:1" ht="87.75" customHeight="1">
      <c r="A67" s="387" t="s">
        <v>730</v>
      </c>
    </row>
    <row r="68" spans="1:1" ht="107.25" customHeight="1">
      <c r="A68" s="391" t="s">
        <v>731</v>
      </c>
    </row>
    <row r="69" spans="1:1" ht="17.25" customHeight="1">
      <c r="A69" s="387"/>
    </row>
    <row r="70" spans="1:1" ht="114" customHeight="1">
      <c r="A70" s="387" t="s">
        <v>554</v>
      </c>
    </row>
    <row r="71" spans="1:1" ht="48.75" customHeight="1">
      <c r="A71" s="603" t="s">
        <v>555</v>
      </c>
    </row>
    <row r="72" spans="1:1" ht="54" customHeight="1">
      <c r="A72" s="603" t="s">
        <v>556</v>
      </c>
    </row>
    <row r="73" spans="1:1" ht="25.5" customHeight="1">
      <c r="A73" s="387" t="s">
        <v>557</v>
      </c>
    </row>
    <row r="74" spans="1:1" ht="12" customHeight="1">
      <c r="A74" s="387"/>
    </row>
    <row r="75" spans="1:1" ht="58.5" customHeight="1">
      <c r="A75" s="387" t="s">
        <v>558</v>
      </c>
    </row>
    <row r="76" spans="1:1" ht="38.25" customHeight="1">
      <c r="A76" s="387" t="s">
        <v>732</v>
      </c>
    </row>
    <row r="77" spans="1:1" ht="67.5" customHeight="1">
      <c r="A77" s="600" t="s">
        <v>733</v>
      </c>
    </row>
    <row r="78" spans="1:1" ht="81.75" customHeight="1">
      <c r="A78" s="600" t="s">
        <v>734</v>
      </c>
    </row>
    <row r="79" spans="1:1" ht="33.75" customHeight="1">
      <c r="A79" s="387" t="s">
        <v>735</v>
      </c>
    </row>
    <row r="80" spans="1:1" ht="59.25" customHeight="1">
      <c r="A80" s="387" t="s">
        <v>736</v>
      </c>
    </row>
    <row r="81" spans="1:1">
      <c r="A81" s="142"/>
    </row>
    <row r="82" spans="1:1" ht="31.5">
      <c r="A82" s="387" t="s">
        <v>559</v>
      </c>
    </row>
    <row r="83" spans="1:1">
      <c r="A83" s="142"/>
    </row>
    <row r="84" spans="1:1">
      <c r="A84" s="387" t="s">
        <v>560</v>
      </c>
    </row>
    <row r="85" spans="1:1">
      <c r="A85" s="142"/>
    </row>
    <row r="86" spans="1:1" ht="53.25" customHeight="1">
      <c r="A86" s="600" t="s">
        <v>737</v>
      </c>
    </row>
    <row r="87" spans="1:1" ht="85.5" customHeight="1">
      <c r="A87" s="600" t="s">
        <v>738</v>
      </c>
    </row>
    <row r="88" spans="1:1" ht="100.5" customHeight="1">
      <c r="A88" s="600" t="s">
        <v>739</v>
      </c>
    </row>
  </sheetData>
  <sheetProtection sheet="1"/>
  <phoneticPr fontId="0" type="noConversion"/>
  <pageMargins left="0.5" right="0.5" top="0.5" bottom="0.5" header="0.5" footer="0.5"/>
  <pageSetup orientation="portrait" blackAndWhite="1" horizontalDpi="4294967292" r:id="rId1"/>
  <headerFooter alignWithMargins="0"/>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181" customWidth="1"/>
    <col min="2" max="16384" width="8.88671875" style="181"/>
  </cols>
  <sheetData>
    <row r="1" spans="1:1" ht="18.75">
      <c r="A1" s="380" t="s">
        <v>313</v>
      </c>
    </row>
    <row r="2" spans="1:1" ht="15.75">
      <c r="A2" s="142"/>
    </row>
    <row r="3" spans="1:1" ht="47.25">
      <c r="A3" s="381" t="s">
        <v>314</v>
      </c>
    </row>
    <row r="4" spans="1:1" ht="15.75">
      <c r="A4" s="382"/>
    </row>
    <row r="5" spans="1:1" ht="15.75">
      <c r="A5" s="142"/>
    </row>
    <row r="6" spans="1:1" ht="63">
      <c r="A6" s="381" t="s">
        <v>315</v>
      </c>
    </row>
    <row r="7" spans="1:1" ht="15.75">
      <c r="A7" s="382"/>
    </row>
    <row r="8" spans="1:1" ht="15.75">
      <c r="A8" s="142"/>
    </row>
    <row r="9" spans="1:1" ht="47.25">
      <c r="A9" s="381" t="s">
        <v>316</v>
      </c>
    </row>
    <row r="10" spans="1:1" ht="15.75">
      <c r="A10" s="382"/>
    </row>
    <row r="11" spans="1:1" ht="15.75">
      <c r="A11" s="382"/>
    </row>
    <row r="12" spans="1:1" ht="31.5">
      <c r="A12" s="381" t="s">
        <v>317</v>
      </c>
    </row>
    <row r="13" spans="1:1" ht="15.75">
      <c r="A13" s="142"/>
    </row>
    <row r="14" spans="1:1" ht="15.75">
      <c r="A14" s="142"/>
    </row>
    <row r="15" spans="1:1" ht="47.25">
      <c r="A15" s="381" t="s">
        <v>318</v>
      </c>
    </row>
    <row r="16" spans="1:1" ht="15.75">
      <c r="A16" s="142"/>
    </row>
    <row r="17" spans="1:1" ht="15.75">
      <c r="A17" s="142"/>
    </row>
    <row r="18" spans="1:1" ht="63">
      <c r="A18" s="456" t="s">
        <v>583</v>
      </c>
    </row>
    <row r="19" spans="1:1" ht="15.75">
      <c r="A19" s="142"/>
    </row>
    <row r="20" spans="1:1" ht="15.75">
      <c r="A20" s="142"/>
    </row>
    <row r="21" spans="1:1" ht="63">
      <c r="A21" s="457" t="s">
        <v>319</v>
      </c>
    </row>
    <row r="22" spans="1:1" ht="15.75">
      <c r="A22" s="382"/>
    </row>
    <row r="23" spans="1:1" ht="15.75">
      <c r="A23" s="142"/>
    </row>
    <row r="24" spans="1:1" ht="63">
      <c r="A24" s="381" t="s">
        <v>320</v>
      </c>
    </row>
    <row r="25" spans="1:1" ht="47.25">
      <c r="A25" s="383" t="s">
        <v>321</v>
      </c>
    </row>
    <row r="26" spans="1:1" ht="15.75">
      <c r="A26" s="382"/>
    </row>
    <row r="27" spans="1:1" ht="15.75">
      <c r="A27" s="142"/>
    </row>
    <row r="28" spans="1:1" ht="63">
      <c r="A28" s="456" t="s">
        <v>584</v>
      </c>
    </row>
    <row r="29" spans="1:1" ht="15.75">
      <c r="A29" s="142"/>
    </row>
    <row r="30" spans="1:1" ht="15.75">
      <c r="A30" s="142"/>
    </row>
    <row r="31" spans="1:1" ht="78.75">
      <c r="A31" s="456" t="s">
        <v>585</v>
      </c>
    </row>
    <row r="32" spans="1:1" ht="15.75">
      <c r="A32" s="142"/>
    </row>
    <row r="33" spans="1:1" ht="15.75">
      <c r="A33" s="142"/>
    </row>
    <row r="34" spans="1:1" ht="47.25">
      <c r="A34" s="458" t="s">
        <v>586</v>
      </c>
    </row>
    <row r="35" spans="1:1" ht="15.75">
      <c r="A35" s="142"/>
    </row>
    <row r="36" spans="1:1" ht="15.75">
      <c r="A36" s="142"/>
    </row>
    <row r="37" spans="1:1" ht="78.75">
      <c r="A37" s="381" t="s">
        <v>322</v>
      </c>
    </row>
    <row r="38" spans="1:1" ht="15.75">
      <c r="A38" s="382"/>
    </row>
    <row r="39" spans="1:1" ht="15.75">
      <c r="A39" s="382"/>
    </row>
    <row r="40" spans="1:1" ht="47.25">
      <c r="A40" s="457" t="s">
        <v>323</v>
      </c>
    </row>
    <row r="41" spans="1:1" ht="15.75">
      <c r="A41" s="382"/>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98" customWidth="1"/>
    <col min="2" max="2" width="9.77734375" style="98" customWidth="1"/>
    <col min="3" max="3" width="10.77734375" style="98" customWidth="1"/>
    <col min="4" max="4" width="9.77734375" style="98" customWidth="1"/>
    <col min="5" max="5" width="17.21875" style="98" customWidth="1"/>
    <col min="6" max="11" width="9.77734375" style="98" customWidth="1"/>
    <col min="12" max="16384" width="8.88671875" style="98"/>
  </cols>
  <sheetData>
    <row r="1" spans="1:11">
      <c r="A1" s="100" t="str">
        <f>inputPrYr!$D$3</f>
        <v>Tauy Watershed</v>
      </c>
      <c r="B1" s="100"/>
      <c r="C1" s="100"/>
      <c r="D1" s="100"/>
      <c r="E1" s="100"/>
      <c r="F1" s="100"/>
      <c r="G1" s="100"/>
      <c r="H1" s="100"/>
      <c r="I1" s="100"/>
      <c r="J1" s="100"/>
      <c r="K1" s="276">
        <f>inputPrYr!D11</f>
        <v>2013</v>
      </c>
    </row>
    <row r="2" spans="1:11">
      <c r="A2" s="100" t="str">
        <f>inputPrYr!$D$4</f>
        <v>Franklin County</v>
      </c>
      <c r="B2" s="100"/>
      <c r="C2" s="100"/>
      <c r="D2" s="100"/>
      <c r="E2" s="100"/>
      <c r="F2" s="100"/>
      <c r="G2" s="100"/>
      <c r="H2" s="100"/>
      <c r="I2" s="100"/>
      <c r="J2" s="100"/>
      <c r="K2" s="178"/>
    </row>
    <row r="3" spans="1:11">
      <c r="A3" s="100"/>
      <c r="B3" s="100"/>
      <c r="C3" s="100"/>
      <c r="D3" s="100"/>
      <c r="E3" s="100"/>
      <c r="F3" s="100"/>
      <c r="G3" s="100"/>
      <c r="H3" s="100"/>
      <c r="I3" s="100"/>
      <c r="J3" s="100"/>
      <c r="K3" s="178"/>
    </row>
    <row r="4" spans="1:11" s="279" customFormat="1">
      <c r="A4" s="277" t="s">
        <v>77</v>
      </c>
      <c r="B4" s="278"/>
      <c r="C4" s="278"/>
      <c r="D4" s="110"/>
      <c r="E4" s="278"/>
      <c r="F4" s="278"/>
      <c r="G4" s="278"/>
      <c r="H4" s="278"/>
      <c r="I4" s="278"/>
      <c r="J4" s="278"/>
      <c r="K4" s="278"/>
    </row>
    <row r="5" spans="1:11" s="279" customFormat="1">
      <c r="A5" s="280"/>
      <c r="B5" s="280"/>
      <c r="C5" s="280"/>
      <c r="D5" s="280"/>
      <c r="E5" s="280"/>
      <c r="F5" s="280"/>
      <c r="G5" s="280"/>
      <c r="H5" s="280"/>
      <c r="I5" s="280"/>
      <c r="J5" s="280"/>
      <c r="K5" s="280"/>
    </row>
    <row r="6" spans="1:11" s="279" customFormat="1">
      <c r="A6" s="100"/>
      <c r="B6" s="205" t="s">
        <v>50</v>
      </c>
      <c r="C6" s="205" t="s">
        <v>59</v>
      </c>
      <c r="D6" s="205"/>
      <c r="E6" s="205" t="s">
        <v>25</v>
      </c>
      <c r="F6" s="281"/>
      <c r="G6" s="282"/>
      <c r="H6" s="281" t="s">
        <v>51</v>
      </c>
      <c r="I6" s="282"/>
      <c r="J6" s="281" t="s">
        <v>51</v>
      </c>
      <c r="K6" s="282"/>
    </row>
    <row r="7" spans="1:11" s="279" customFormat="1">
      <c r="A7" s="100"/>
      <c r="B7" s="150" t="s">
        <v>52</v>
      </c>
      <c r="C7" s="150" t="s">
        <v>53</v>
      </c>
      <c r="D7" s="150" t="s">
        <v>25</v>
      </c>
      <c r="E7" s="150" t="s">
        <v>124</v>
      </c>
      <c r="F7" s="283" t="s">
        <v>54</v>
      </c>
      <c r="G7" s="284"/>
      <c r="H7" s="283">
        <f>K1-1</f>
        <v>2012</v>
      </c>
      <c r="I7" s="284"/>
      <c r="J7" s="283">
        <f>K1</f>
        <v>2013</v>
      </c>
      <c r="K7" s="284"/>
    </row>
    <row r="8" spans="1:11" s="279" customFormat="1">
      <c r="A8" s="285" t="s">
        <v>55</v>
      </c>
      <c r="B8" s="153" t="s">
        <v>56</v>
      </c>
      <c r="C8" s="153" t="s">
        <v>36</v>
      </c>
      <c r="D8" s="153" t="s">
        <v>57</v>
      </c>
      <c r="E8" s="286" t="str">
        <f>CONCATENATE("Jan 1,",K1-1,"")</f>
        <v>Jan 1,2012</v>
      </c>
      <c r="F8" s="209" t="s">
        <v>59</v>
      </c>
      <c r="G8" s="209" t="s">
        <v>60</v>
      </c>
      <c r="H8" s="209" t="s">
        <v>59</v>
      </c>
      <c r="I8" s="209" t="s">
        <v>60</v>
      </c>
      <c r="J8" s="209" t="s">
        <v>59</v>
      </c>
      <c r="K8" s="209" t="s">
        <v>60</v>
      </c>
    </row>
    <row r="9" spans="1:11" s="279" customFormat="1">
      <c r="A9" s="120" t="s">
        <v>155</v>
      </c>
      <c r="B9" s="287"/>
      <c r="C9" s="120"/>
      <c r="D9" s="120"/>
      <c r="E9" s="120"/>
      <c r="F9" s="288"/>
      <c r="G9" s="288"/>
      <c r="H9" s="120"/>
      <c r="I9" s="120"/>
      <c r="J9" s="120"/>
      <c r="K9" s="120"/>
    </row>
    <row r="10" spans="1:11" s="279" customFormat="1">
      <c r="A10" s="289"/>
      <c r="B10" s="445"/>
      <c r="C10" s="289"/>
      <c r="D10" s="289"/>
      <c r="E10" s="141"/>
      <c r="F10" s="290"/>
      <c r="G10" s="290"/>
      <c r="H10" s="289"/>
      <c r="I10" s="289"/>
      <c r="J10" s="289"/>
      <c r="K10" s="289"/>
    </row>
    <row r="11" spans="1:11" s="279" customFormat="1">
      <c r="A11" s="125"/>
      <c r="B11" s="446"/>
      <c r="C11" s="291"/>
      <c r="D11" s="122"/>
      <c r="E11" s="122"/>
      <c r="F11" s="292"/>
      <c r="G11" s="292"/>
      <c r="H11" s="293"/>
      <c r="I11" s="293"/>
      <c r="J11" s="293"/>
      <c r="K11" s="293"/>
    </row>
    <row r="12" spans="1:11" s="279" customFormat="1">
      <c r="A12" s="134" t="s">
        <v>156</v>
      </c>
      <c r="B12" s="294"/>
      <c r="C12" s="295"/>
      <c r="D12" s="157"/>
      <c r="E12" s="159">
        <f>SUM(E10:E11)</f>
        <v>0</v>
      </c>
      <c r="F12" s="296"/>
      <c r="G12" s="296"/>
      <c r="H12" s="159">
        <f>SUM(H10:H11)</f>
        <v>0</v>
      </c>
      <c r="I12" s="159">
        <f>SUM(I10:I11)</f>
        <v>0</v>
      </c>
      <c r="J12" s="159">
        <f>SUM(J10:J11)</f>
        <v>0</v>
      </c>
      <c r="K12" s="159">
        <f>SUM(K10:K11)</f>
        <v>0</v>
      </c>
    </row>
    <row r="13" spans="1:11" s="279" customFormat="1">
      <c r="A13" s="297" t="s">
        <v>157</v>
      </c>
      <c r="B13" s="298"/>
      <c r="C13" s="299"/>
      <c r="D13" s="300"/>
      <c r="E13" s="155"/>
      <c r="F13" s="296"/>
      <c r="G13" s="296"/>
      <c r="H13" s="155"/>
      <c r="I13" s="155"/>
      <c r="J13" s="155"/>
      <c r="K13" s="155"/>
    </row>
    <row r="14" spans="1:11" s="279" customFormat="1">
      <c r="A14" s="125"/>
      <c r="B14" s="446"/>
      <c r="C14" s="291"/>
      <c r="D14" s="122"/>
      <c r="E14" s="293"/>
      <c r="F14" s="292"/>
      <c r="G14" s="292"/>
      <c r="H14" s="293"/>
      <c r="I14" s="293"/>
      <c r="J14" s="293"/>
      <c r="K14" s="293"/>
    </row>
    <row r="15" spans="1:11" s="279" customFormat="1">
      <c r="A15" s="125"/>
      <c r="B15" s="446"/>
      <c r="C15" s="291"/>
      <c r="D15" s="122"/>
      <c r="E15" s="293"/>
      <c r="F15" s="292"/>
      <c r="G15" s="292"/>
      <c r="H15" s="293"/>
      <c r="I15" s="293"/>
      <c r="J15" s="293"/>
      <c r="K15" s="293"/>
    </row>
    <row r="16" spans="1:11" s="279" customFormat="1">
      <c r="A16" s="134" t="s">
        <v>158</v>
      </c>
      <c r="B16" s="294"/>
      <c r="C16" s="295"/>
      <c r="D16" s="157"/>
      <c r="E16" s="159">
        <f>SUM(E14:E15)</f>
        <v>0</v>
      </c>
      <c r="F16" s="296"/>
      <c r="G16" s="296"/>
      <c r="H16" s="159">
        <f>SUM(H14:H15)</f>
        <v>0</v>
      </c>
      <c r="I16" s="159">
        <f>SUM(I14:I15)</f>
        <v>0</v>
      </c>
      <c r="J16" s="159">
        <f>SUM(J14:J15)</f>
        <v>0</v>
      </c>
      <c r="K16" s="159">
        <f>SUM(K14:K15)</f>
        <v>0</v>
      </c>
    </row>
    <row r="17" spans="1:24" s="279" customFormat="1">
      <c r="A17" s="297" t="s">
        <v>159</v>
      </c>
      <c r="B17" s="298"/>
      <c r="C17" s="299"/>
      <c r="D17" s="300"/>
      <c r="E17" s="155"/>
      <c r="F17" s="296"/>
      <c r="G17" s="296"/>
      <c r="H17" s="155"/>
      <c r="I17" s="155"/>
      <c r="J17" s="155"/>
      <c r="K17" s="155"/>
    </row>
    <row r="18" spans="1:24" s="279" customFormat="1">
      <c r="A18" s="125"/>
      <c r="B18" s="446"/>
      <c r="C18" s="291"/>
      <c r="D18" s="122"/>
      <c r="E18" s="293"/>
      <c r="F18" s="292"/>
      <c r="G18" s="292"/>
      <c r="H18" s="293"/>
      <c r="I18" s="293"/>
      <c r="J18" s="293"/>
      <c r="K18" s="293"/>
    </row>
    <row r="19" spans="1:24" s="279" customFormat="1">
      <c r="A19" s="125"/>
      <c r="B19" s="446"/>
      <c r="C19" s="291"/>
      <c r="D19" s="122"/>
      <c r="E19" s="293"/>
      <c r="F19" s="292"/>
      <c r="G19" s="292"/>
      <c r="H19" s="293"/>
      <c r="I19" s="293"/>
      <c r="J19" s="293"/>
      <c r="K19" s="293"/>
    </row>
    <row r="20" spans="1:24" s="279" customFormat="1">
      <c r="A20" s="134" t="s">
        <v>160</v>
      </c>
      <c r="B20" s="294"/>
      <c r="C20" s="295"/>
      <c r="D20" s="157"/>
      <c r="E20" s="159">
        <f>SUM(E18:E19)</f>
        <v>0</v>
      </c>
      <c r="F20" s="296"/>
      <c r="G20" s="296"/>
      <c r="H20" s="159">
        <f>SUM(H18:H19)</f>
        <v>0</v>
      </c>
      <c r="I20" s="159">
        <f>SUM(I18:I19)</f>
        <v>0</v>
      </c>
      <c r="J20" s="159">
        <f>SUM(J18:J19)</f>
        <v>0</v>
      </c>
      <c r="K20" s="159">
        <f>SUM(K18:K19)</f>
        <v>0</v>
      </c>
    </row>
    <row r="21" spans="1:24" s="279" customFormat="1">
      <c r="A21" s="301" t="s">
        <v>78</v>
      </c>
      <c r="B21" s="302"/>
      <c r="C21" s="303"/>
      <c r="D21" s="304"/>
      <c r="E21" s="305">
        <f>SUM(E12+E16+E20)</f>
        <v>0</v>
      </c>
      <c r="F21" s="302"/>
      <c r="G21" s="306"/>
      <c r="H21" s="305">
        <f>SUM(H12+H16+H20)</f>
        <v>0</v>
      </c>
      <c r="I21" s="305">
        <f>SUM(I12+I16+I20)</f>
        <v>0</v>
      </c>
      <c r="J21" s="305">
        <f>SUM(J12+J16+J20)</f>
        <v>0</v>
      </c>
      <c r="K21" s="305">
        <f>SUM(K12+K16+K20)</f>
        <v>0</v>
      </c>
    </row>
    <row r="22" spans="1:24" s="279" customFormat="1">
      <c r="A22" s="100"/>
      <c r="B22" s="100"/>
      <c r="C22" s="107"/>
      <c r="D22" s="107"/>
      <c r="E22" s="107"/>
      <c r="F22" s="107"/>
      <c r="G22" s="107"/>
      <c r="H22" s="107"/>
      <c r="I22" s="107"/>
      <c r="J22" s="107"/>
      <c r="K22" s="107"/>
      <c r="L22" s="142"/>
      <c r="M22" s="142"/>
      <c r="N22" s="142"/>
      <c r="O22" s="142"/>
      <c r="P22" s="142"/>
      <c r="Q22" s="142"/>
      <c r="R22" s="142"/>
      <c r="S22" s="142"/>
      <c r="T22" s="142"/>
      <c r="U22" s="142"/>
      <c r="V22" s="142"/>
      <c r="W22" s="142"/>
      <c r="X22" s="142"/>
    </row>
    <row r="23" spans="1:24" s="309" customFormat="1">
      <c r="A23" s="277" t="s">
        <v>72</v>
      </c>
      <c r="B23" s="307"/>
      <c r="C23" s="307"/>
      <c r="D23" s="307"/>
      <c r="E23" s="110"/>
      <c r="F23" s="307"/>
      <c r="G23" s="307"/>
      <c r="H23" s="307"/>
      <c r="I23" s="307"/>
      <c r="J23" s="307"/>
      <c r="K23" s="308"/>
    </row>
    <row r="24" spans="1:24" s="309" customFormat="1">
      <c r="A24" s="107"/>
      <c r="B24" s="177"/>
      <c r="C24" s="177"/>
      <c r="D24" s="177"/>
      <c r="E24" s="177"/>
      <c r="F24" s="177"/>
      <c r="G24" s="177"/>
      <c r="H24" s="177"/>
      <c r="I24" s="210"/>
      <c r="J24" s="210"/>
      <c r="K24" s="308"/>
    </row>
    <row r="25" spans="1:24" s="309" customFormat="1">
      <c r="A25" s="183"/>
      <c r="B25" s="183"/>
      <c r="C25" s="205" t="s">
        <v>58</v>
      </c>
      <c r="D25" s="183"/>
      <c r="E25" s="205" t="s">
        <v>8</v>
      </c>
      <c r="F25" s="183"/>
      <c r="G25" s="183"/>
      <c r="H25" s="183"/>
      <c r="I25" s="310"/>
      <c r="J25" s="311"/>
      <c r="K25" s="308"/>
    </row>
    <row r="26" spans="1:24" s="309" customFormat="1">
      <c r="A26" s="152"/>
      <c r="B26" s="150"/>
      <c r="C26" s="150" t="s">
        <v>52</v>
      </c>
      <c r="D26" s="150" t="s">
        <v>59</v>
      </c>
      <c r="E26" s="150" t="s">
        <v>25</v>
      </c>
      <c r="F26" s="150" t="s">
        <v>60</v>
      </c>
      <c r="G26" s="150" t="s">
        <v>61</v>
      </c>
      <c r="H26" s="150" t="s">
        <v>61</v>
      </c>
      <c r="I26" s="308"/>
      <c r="J26" s="308"/>
      <c r="K26" s="308"/>
    </row>
    <row r="27" spans="1:24" s="309" customFormat="1">
      <c r="A27" s="152"/>
      <c r="B27" s="150" t="s">
        <v>62</v>
      </c>
      <c r="C27" s="150" t="s">
        <v>63</v>
      </c>
      <c r="D27" s="150" t="s">
        <v>53</v>
      </c>
      <c r="E27" s="150" t="s">
        <v>64</v>
      </c>
      <c r="F27" s="150" t="s">
        <v>104</v>
      </c>
      <c r="G27" s="150" t="s">
        <v>65</v>
      </c>
      <c r="H27" s="150" t="s">
        <v>65</v>
      </c>
      <c r="I27" s="308"/>
      <c r="J27" s="308"/>
      <c r="K27" s="308"/>
    </row>
    <row r="28" spans="1:24" s="309" customFormat="1">
      <c r="A28" s="312" t="s">
        <v>66</v>
      </c>
      <c r="B28" s="153" t="s">
        <v>50</v>
      </c>
      <c r="C28" s="313" t="s">
        <v>67</v>
      </c>
      <c r="D28" s="153" t="s">
        <v>36</v>
      </c>
      <c r="E28" s="313" t="s">
        <v>125</v>
      </c>
      <c r="F28" s="286" t="str">
        <f>E8</f>
        <v>Jan 1,2012</v>
      </c>
      <c r="G28" s="153">
        <f>K1-1</f>
        <v>2012</v>
      </c>
      <c r="H28" s="153">
        <f>K1</f>
        <v>2013</v>
      </c>
      <c r="I28" s="308"/>
      <c r="J28" s="308"/>
      <c r="K28" s="308"/>
    </row>
    <row r="29" spans="1:24" s="309" customFormat="1">
      <c r="A29" s="125"/>
      <c r="B29" s="446"/>
      <c r="C29" s="314"/>
      <c r="D29" s="291"/>
      <c r="E29" s="122"/>
      <c r="F29" s="122"/>
      <c r="G29" s="122"/>
      <c r="H29" s="122"/>
      <c r="I29" s="308"/>
      <c r="J29" s="308"/>
      <c r="K29" s="308"/>
    </row>
    <row r="30" spans="1:24" s="309" customFormat="1">
      <c r="A30" s="125"/>
      <c r="B30" s="446"/>
      <c r="C30" s="314"/>
      <c r="D30" s="291"/>
      <c r="E30" s="122"/>
      <c r="F30" s="122"/>
      <c r="G30" s="122"/>
      <c r="H30" s="122"/>
      <c r="I30" s="308"/>
      <c r="J30" s="308"/>
      <c r="K30" s="308"/>
    </row>
    <row r="31" spans="1:24" s="309" customFormat="1">
      <c r="A31" s="125"/>
      <c r="B31" s="446"/>
      <c r="C31" s="314"/>
      <c r="D31" s="291"/>
      <c r="E31" s="122"/>
      <c r="F31" s="122"/>
      <c r="G31" s="122"/>
      <c r="H31" s="122"/>
      <c r="I31" s="308"/>
      <c r="J31" s="308"/>
      <c r="K31" s="308"/>
    </row>
    <row r="32" spans="1:24" s="309" customFormat="1">
      <c r="A32" s="125"/>
      <c r="B32" s="446"/>
      <c r="C32" s="314"/>
      <c r="D32" s="291"/>
      <c r="E32" s="122"/>
      <c r="F32" s="122"/>
      <c r="G32" s="122"/>
      <c r="H32" s="122"/>
      <c r="I32" s="308"/>
      <c r="J32" s="308"/>
      <c r="K32" s="308"/>
    </row>
    <row r="33" spans="1:11" s="309" customFormat="1">
      <c r="A33" s="125"/>
      <c r="B33" s="446"/>
      <c r="C33" s="314"/>
      <c r="D33" s="291"/>
      <c r="E33" s="122"/>
      <c r="F33" s="122"/>
      <c r="G33" s="122"/>
      <c r="H33" s="122"/>
      <c r="I33" s="308"/>
      <c r="J33" s="308"/>
      <c r="K33" s="308"/>
    </row>
    <row r="34" spans="1:11" s="309" customFormat="1">
      <c r="A34" s="125"/>
      <c r="B34" s="446"/>
      <c r="C34" s="314"/>
      <c r="D34" s="291"/>
      <c r="E34" s="122"/>
      <c r="F34" s="122"/>
      <c r="G34" s="122"/>
      <c r="H34" s="122"/>
      <c r="I34" s="308"/>
      <c r="J34" s="308"/>
      <c r="K34" s="308"/>
    </row>
    <row r="35" spans="1:11" s="309" customFormat="1">
      <c r="A35" s="125"/>
      <c r="B35" s="446"/>
      <c r="C35" s="314"/>
      <c r="D35" s="291"/>
      <c r="E35" s="122"/>
      <c r="F35" s="122"/>
      <c r="G35" s="122"/>
      <c r="H35" s="122"/>
      <c r="I35" s="308"/>
      <c r="J35" s="308"/>
      <c r="K35" s="308"/>
    </row>
    <row r="36" spans="1:11" s="309" customFormat="1">
      <c r="A36" s="125"/>
      <c r="B36" s="446"/>
      <c r="C36" s="314"/>
      <c r="D36" s="291"/>
      <c r="E36" s="122"/>
      <c r="F36" s="122"/>
      <c r="G36" s="122"/>
      <c r="H36" s="122"/>
      <c r="I36" s="308"/>
      <c r="J36" s="308"/>
      <c r="K36" s="308"/>
    </row>
    <row r="37" spans="1:11" s="309" customFormat="1">
      <c r="A37" s="125"/>
      <c r="B37" s="446"/>
      <c r="C37" s="314"/>
      <c r="D37" s="291"/>
      <c r="E37" s="122"/>
      <c r="F37" s="122"/>
      <c r="G37" s="122"/>
      <c r="H37" s="122"/>
      <c r="I37" s="308"/>
      <c r="J37" s="308"/>
      <c r="K37" s="308"/>
    </row>
    <row r="38" spans="1:11" s="309" customFormat="1">
      <c r="A38" s="125"/>
      <c r="B38" s="446"/>
      <c r="C38" s="314"/>
      <c r="D38" s="291"/>
      <c r="E38" s="122"/>
      <c r="F38" s="122"/>
      <c r="G38" s="122"/>
      <c r="H38" s="122"/>
      <c r="I38" s="308"/>
      <c r="J38" s="308"/>
      <c r="K38" s="308"/>
    </row>
    <row r="39" spans="1:11" s="309" customFormat="1">
      <c r="A39" s="125"/>
      <c r="B39" s="446"/>
      <c r="C39" s="314"/>
      <c r="D39" s="291"/>
      <c r="E39" s="122"/>
      <c r="F39" s="122"/>
      <c r="G39" s="122"/>
      <c r="H39" s="122"/>
      <c r="I39" s="308"/>
      <c r="J39" s="308"/>
      <c r="K39" s="308"/>
    </row>
    <row r="40" spans="1:11" s="309" customFormat="1">
      <c r="A40" s="125"/>
      <c r="B40" s="446"/>
      <c r="C40" s="314"/>
      <c r="D40" s="291"/>
      <c r="E40" s="122"/>
      <c r="F40" s="122"/>
      <c r="G40" s="122"/>
      <c r="H40" s="122"/>
      <c r="I40" s="308"/>
      <c r="J40" s="308"/>
      <c r="K40" s="308"/>
    </row>
    <row r="41" spans="1:11" s="279" customFormat="1">
      <c r="A41" s="301" t="s">
        <v>78</v>
      </c>
      <c r="B41" s="302"/>
      <c r="C41" s="303"/>
      <c r="D41" s="315"/>
      <c r="E41" s="306"/>
      <c r="F41" s="305">
        <f>SUM(F29:F40)</f>
        <v>0</v>
      </c>
      <c r="G41" s="305">
        <f>SUM(G29:G40)</f>
        <v>0</v>
      </c>
      <c r="H41" s="305">
        <f>SUM(H29:H40)</f>
        <v>0</v>
      </c>
      <c r="I41" s="280"/>
      <c r="J41" s="280"/>
      <c r="K41" s="316"/>
    </row>
    <row r="42" spans="1:11">
      <c r="A42" s="100"/>
      <c r="B42" s="100"/>
      <c r="C42" s="100"/>
      <c r="D42" s="100"/>
      <c r="E42" s="100"/>
      <c r="F42" s="100"/>
      <c r="G42" s="100"/>
      <c r="H42" s="100"/>
      <c r="I42" s="100"/>
      <c r="J42" s="100"/>
      <c r="K42" s="100"/>
    </row>
    <row r="43" spans="1:11">
      <c r="A43" s="280" t="s">
        <v>103</v>
      </c>
      <c r="B43" s="100"/>
      <c r="C43" s="100"/>
      <c r="D43" s="100"/>
      <c r="E43" s="100"/>
      <c r="F43" s="100"/>
      <c r="G43" s="100"/>
      <c r="H43" s="100"/>
      <c r="I43" s="100"/>
      <c r="J43" s="100"/>
      <c r="K43" s="100"/>
    </row>
  </sheetData>
  <sheetProtection sheet="1"/>
  <phoneticPr fontId="0" type="noConversion"/>
  <pageMargins left="0.5" right="0.5" top="1" bottom="0.5" header="0.5" footer="0.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80"/>
  <sheetViews>
    <sheetView topLeftCell="A40" workbookViewId="0">
      <selection activeCell="E42" sqref="E42"/>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Tauy Watershed</v>
      </c>
      <c r="C1" s="174"/>
      <c r="D1" s="100"/>
      <c r="E1" s="317"/>
      <c r="F1" s="175"/>
    </row>
    <row r="2" spans="2:6">
      <c r="B2" s="100" t="str">
        <f>inputPrYr!D4</f>
        <v>Franklin County</v>
      </c>
      <c r="C2" s="174"/>
      <c r="D2" s="100"/>
      <c r="E2" s="178"/>
      <c r="F2" s="175"/>
    </row>
    <row r="3" spans="2:6">
      <c r="B3" s="111"/>
      <c r="C3" s="174"/>
      <c r="D3" s="100"/>
      <c r="E3" s="318"/>
      <c r="F3" s="276">
        <f>inputPrYr!D11</f>
        <v>2013</v>
      </c>
    </row>
    <row r="4" spans="2:6">
      <c r="B4" s="597" t="s">
        <v>73</v>
      </c>
      <c r="C4" s="596"/>
      <c r="D4" s="210"/>
      <c r="E4" s="210"/>
      <c r="F4" s="175"/>
    </row>
    <row r="5" spans="2:6">
      <c r="B5" s="99" t="s">
        <v>26</v>
      </c>
      <c r="C5" s="437" t="s">
        <v>261</v>
      </c>
      <c r="D5" s="439" t="s">
        <v>263</v>
      </c>
      <c r="E5" s="319" t="s">
        <v>264</v>
      </c>
      <c r="F5" s="175"/>
    </row>
    <row r="6" spans="2:6">
      <c r="B6" s="449" t="str">
        <f>inputPrYr!B24</f>
        <v>General</v>
      </c>
      <c r="C6" s="438" t="str">
        <f>CONCATENATE("Actual ",F3-2,"")</f>
        <v>Actual 2011</v>
      </c>
      <c r="D6" s="438" t="str">
        <f>CONCATENATE("Estimate ",F3-1,"")</f>
        <v>Estimate 2012</v>
      </c>
      <c r="E6" s="264" t="str">
        <f>CONCATENATE("Year ",F3,"")</f>
        <v>Year 2013</v>
      </c>
      <c r="F6" s="175"/>
    </row>
    <row r="7" spans="2:6">
      <c r="B7" s="216" t="s">
        <v>117</v>
      </c>
      <c r="C7" s="432">
        <v>213267</v>
      </c>
      <c r="D7" s="436">
        <f>C62</f>
        <v>261974</v>
      </c>
      <c r="E7" s="157">
        <f>D62</f>
        <v>156361</v>
      </c>
      <c r="F7" s="175"/>
    </row>
    <row r="8" spans="2:6">
      <c r="B8" s="235" t="s">
        <v>119</v>
      </c>
      <c r="C8" s="320"/>
      <c r="D8" s="320"/>
      <c r="E8" s="155"/>
      <c r="F8" s="175"/>
    </row>
    <row r="9" spans="2:6">
      <c r="B9" s="216" t="s">
        <v>27</v>
      </c>
      <c r="C9" s="432">
        <v>80732</v>
      </c>
      <c r="D9" s="436">
        <f>inputPrYr!E24</f>
        <v>73608</v>
      </c>
      <c r="E9" s="228" t="s">
        <v>21</v>
      </c>
      <c r="F9" s="175"/>
    </row>
    <row r="10" spans="2:6">
      <c r="B10" s="216" t="s">
        <v>28</v>
      </c>
      <c r="C10" s="432"/>
      <c r="D10" s="432"/>
      <c r="E10" s="293"/>
      <c r="F10" s="175"/>
    </row>
    <row r="11" spans="2:6">
      <c r="B11" s="216" t="s">
        <v>29</v>
      </c>
      <c r="C11" s="432"/>
      <c r="D11" s="432">
        <v>7490</v>
      </c>
      <c r="E11" s="157">
        <f>mvalloc!D11</f>
        <v>8001</v>
      </c>
      <c r="F11" s="175"/>
    </row>
    <row r="12" spans="2:6">
      <c r="B12" s="216" t="s">
        <v>30</v>
      </c>
      <c r="C12" s="432"/>
      <c r="D12" s="432">
        <v>268</v>
      </c>
      <c r="E12" s="157">
        <f>mvalloc!E11</f>
        <v>261</v>
      </c>
      <c r="F12" s="175"/>
    </row>
    <row r="13" spans="2:6">
      <c r="B13" s="320" t="s">
        <v>101</v>
      </c>
      <c r="C13" s="432"/>
      <c r="D13" s="432">
        <v>491</v>
      </c>
      <c r="E13" s="157">
        <f>mvalloc!F11</f>
        <v>515</v>
      </c>
      <c r="F13" s="175"/>
    </row>
    <row r="14" spans="2:6">
      <c r="B14" s="320" t="s">
        <v>169</v>
      </c>
      <c r="C14" s="432"/>
      <c r="D14" s="432"/>
      <c r="E14" s="157">
        <f>inputOth!D91</f>
        <v>0</v>
      </c>
      <c r="F14" s="175"/>
    </row>
    <row r="15" spans="2:6">
      <c r="B15" s="320" t="s">
        <v>170</v>
      </c>
      <c r="C15" s="432"/>
      <c r="D15" s="432"/>
      <c r="E15" s="157">
        <f>mvalloc!G11</f>
        <v>0</v>
      </c>
      <c r="F15" s="175"/>
    </row>
    <row r="16" spans="2:6">
      <c r="B16" s="451"/>
      <c r="C16" s="432"/>
      <c r="D16" s="432"/>
      <c r="E16" s="293"/>
      <c r="F16" s="175"/>
    </row>
    <row r="17" spans="2:6">
      <c r="B17" s="321"/>
      <c r="C17" s="432"/>
      <c r="D17" s="432"/>
      <c r="E17" s="293"/>
      <c r="F17" s="175"/>
    </row>
    <row r="18" spans="2:6">
      <c r="B18" s="321"/>
      <c r="C18" s="432"/>
      <c r="D18" s="432"/>
      <c r="E18" s="293"/>
      <c r="F18" s="175"/>
    </row>
    <row r="19" spans="2:6">
      <c r="B19" s="321"/>
      <c r="C19" s="432"/>
      <c r="D19" s="432"/>
      <c r="E19" s="293"/>
      <c r="F19" s="175"/>
    </row>
    <row r="20" spans="2:6">
      <c r="B20" s="321"/>
      <c r="C20" s="432"/>
      <c r="D20" s="432"/>
      <c r="E20" s="293"/>
      <c r="F20" s="175"/>
    </row>
    <row r="21" spans="2:6">
      <c r="B21" s="321"/>
      <c r="C21" s="432"/>
      <c r="D21" s="432"/>
      <c r="E21" s="293"/>
      <c r="F21" s="175"/>
    </row>
    <row r="22" spans="2:6">
      <c r="B22" s="321"/>
      <c r="C22" s="432"/>
      <c r="D22" s="432"/>
      <c r="E22" s="293"/>
      <c r="F22" s="175"/>
    </row>
    <row r="23" spans="2:6">
      <c r="B23" s="321"/>
      <c r="C23" s="432"/>
      <c r="D23" s="432"/>
      <c r="E23" s="293"/>
      <c r="F23" s="175"/>
    </row>
    <row r="24" spans="2:6">
      <c r="B24" s="321"/>
      <c r="C24" s="432"/>
      <c r="D24" s="432"/>
      <c r="E24" s="293"/>
      <c r="F24" s="175"/>
    </row>
    <row r="25" spans="2:6">
      <c r="B25" s="321"/>
      <c r="C25" s="432"/>
      <c r="D25" s="432"/>
      <c r="E25" s="293"/>
      <c r="F25" s="175"/>
    </row>
    <row r="26" spans="2:6">
      <c r="B26" s="321"/>
      <c r="C26" s="432"/>
      <c r="D26" s="432"/>
      <c r="E26" s="293"/>
      <c r="F26" s="175"/>
    </row>
    <row r="27" spans="2:6">
      <c r="B27" s="321"/>
      <c r="C27" s="432"/>
      <c r="D27" s="432"/>
      <c r="E27" s="293"/>
      <c r="F27" s="175"/>
    </row>
    <row r="28" spans="2:6">
      <c r="B28" s="321"/>
      <c r="C28" s="432"/>
      <c r="D28" s="432"/>
      <c r="E28" s="293"/>
      <c r="F28" s="175"/>
    </row>
    <row r="29" spans="2:6">
      <c r="B29" s="321" t="s">
        <v>682</v>
      </c>
      <c r="C29" s="432"/>
      <c r="D29" s="432"/>
      <c r="E29" s="293"/>
      <c r="F29" s="175"/>
    </row>
    <row r="30" spans="2:6">
      <c r="B30" s="322" t="s">
        <v>31</v>
      </c>
      <c r="C30" s="432">
        <v>672</v>
      </c>
      <c r="D30" s="432">
        <v>400</v>
      </c>
      <c r="E30" s="293">
        <v>400</v>
      </c>
      <c r="F30" s="175"/>
    </row>
    <row r="31" spans="2:6">
      <c r="B31" s="323" t="s">
        <v>223</v>
      </c>
      <c r="C31" s="432"/>
      <c r="D31" s="432"/>
      <c r="E31" s="122"/>
      <c r="F31" s="175"/>
    </row>
    <row r="32" spans="2:6">
      <c r="B32" s="323" t="s">
        <v>581</v>
      </c>
      <c r="C32" s="434" t="str">
        <f>IF(C33*0.1&lt;C31,"Exceed 10% Rule","")</f>
        <v/>
      </c>
      <c r="D32" s="434" t="str">
        <f>IF(D33*0.1&lt;D31,"Exceed 10% Rule","")</f>
        <v/>
      </c>
      <c r="E32" s="450" t="str">
        <f>IF(E33*0.1+E68&lt;E31,"Exceed 10% Rule","")</f>
        <v/>
      </c>
      <c r="F32" s="175"/>
    </row>
    <row r="33" spans="2:6">
      <c r="B33" s="326" t="s">
        <v>32</v>
      </c>
      <c r="C33" s="435">
        <f>SUM(C9:C31)</f>
        <v>81404</v>
      </c>
      <c r="D33" s="435">
        <f>SUM(D9:D31)</f>
        <v>82257</v>
      </c>
      <c r="E33" s="327">
        <f>SUM(E9:E31)</f>
        <v>9177</v>
      </c>
      <c r="F33" s="175"/>
    </row>
    <row r="34" spans="2:6">
      <c r="B34" s="326" t="s">
        <v>33</v>
      </c>
      <c r="C34" s="435">
        <f>C7+C33</f>
        <v>294671</v>
      </c>
      <c r="D34" s="435">
        <f>D7+D33</f>
        <v>344231</v>
      </c>
      <c r="E34" s="327">
        <f>E7+E33</f>
        <v>165538</v>
      </c>
      <c r="F34" s="175"/>
    </row>
    <row r="35" spans="2:6">
      <c r="B35" s="216" t="s">
        <v>34</v>
      </c>
      <c r="C35" s="220"/>
      <c r="D35" s="220"/>
      <c r="E35" s="134"/>
      <c r="F35" s="175"/>
    </row>
    <row r="36" spans="2:6">
      <c r="B36" s="321" t="s">
        <v>753</v>
      </c>
      <c r="C36" s="432">
        <v>162</v>
      </c>
      <c r="D36" s="432">
        <v>180</v>
      </c>
      <c r="E36" s="122">
        <v>180</v>
      </c>
      <c r="F36" s="175"/>
    </row>
    <row r="37" spans="2:6">
      <c r="B37" s="321" t="s">
        <v>754</v>
      </c>
      <c r="C37" s="432">
        <v>286</v>
      </c>
      <c r="D37" s="432">
        <v>286</v>
      </c>
      <c r="E37" s="122">
        <v>300</v>
      </c>
      <c r="F37" s="175"/>
    </row>
    <row r="38" spans="2:6">
      <c r="B38" s="321" t="s">
        <v>755</v>
      </c>
      <c r="C38" s="432">
        <v>9601</v>
      </c>
      <c r="D38" s="432">
        <v>100000</v>
      </c>
      <c r="E38" s="122">
        <v>100000</v>
      </c>
      <c r="F38" s="175"/>
    </row>
    <row r="39" spans="2:6">
      <c r="B39" s="321" t="s">
        <v>756</v>
      </c>
      <c r="C39" s="432">
        <v>2980</v>
      </c>
      <c r="D39" s="432">
        <v>12000</v>
      </c>
      <c r="E39" s="122">
        <v>12000</v>
      </c>
      <c r="F39" s="175"/>
    </row>
    <row r="40" spans="2:6">
      <c r="B40" s="321" t="s">
        <v>757</v>
      </c>
      <c r="C40" s="432">
        <v>5400</v>
      </c>
      <c r="D40" s="432"/>
      <c r="E40" s="122">
        <v>8000</v>
      </c>
      <c r="F40" s="175"/>
    </row>
    <row r="41" spans="2:6">
      <c r="B41" s="321" t="s">
        <v>761</v>
      </c>
      <c r="C41" s="432">
        <v>5753</v>
      </c>
      <c r="D41" s="432">
        <v>14000</v>
      </c>
      <c r="E41" s="122">
        <v>12724</v>
      </c>
      <c r="F41" s="175"/>
    </row>
    <row r="42" spans="2:6">
      <c r="B42" s="321" t="s">
        <v>758</v>
      </c>
      <c r="C42" s="432">
        <v>4078</v>
      </c>
      <c r="D42" s="432">
        <v>6000</v>
      </c>
      <c r="E42" s="122">
        <v>6000</v>
      </c>
      <c r="F42" s="175"/>
    </row>
    <row r="43" spans="2:6">
      <c r="B43" s="321" t="s">
        <v>759</v>
      </c>
      <c r="C43" s="432">
        <v>3405</v>
      </c>
      <c r="D43" s="432">
        <v>54734</v>
      </c>
      <c r="E43" s="122">
        <v>100000</v>
      </c>
      <c r="F43" s="175"/>
    </row>
    <row r="44" spans="2:6">
      <c r="B44" s="321" t="s">
        <v>760</v>
      </c>
      <c r="C44" s="432">
        <v>1032</v>
      </c>
      <c r="D44" s="432">
        <v>670</v>
      </c>
      <c r="E44" s="122">
        <v>1200</v>
      </c>
      <c r="F44" s="175"/>
    </row>
    <row r="45" spans="2:6">
      <c r="B45" s="321"/>
      <c r="C45" s="432"/>
      <c r="D45" s="432"/>
      <c r="E45" s="122"/>
      <c r="F45" s="175"/>
    </row>
    <row r="46" spans="2:6">
      <c r="B46" s="321"/>
      <c r="C46" s="432"/>
      <c r="D46" s="432"/>
      <c r="E46" s="122"/>
      <c r="F46" s="175"/>
    </row>
    <row r="47" spans="2:6">
      <c r="B47" s="321"/>
      <c r="C47" s="432"/>
      <c r="D47" s="432"/>
      <c r="E47" s="122"/>
      <c r="F47" s="175"/>
    </row>
    <row r="48" spans="2:6">
      <c r="B48" s="321"/>
      <c r="C48" s="432"/>
      <c r="D48" s="432"/>
      <c r="E48" s="122"/>
      <c r="F48" s="175"/>
    </row>
    <row r="49" spans="2:10">
      <c r="B49" s="321"/>
      <c r="C49" s="432"/>
      <c r="D49" s="432"/>
      <c r="E49" s="122"/>
      <c r="F49" s="175"/>
    </row>
    <row r="50" spans="2:10">
      <c r="B50" s="321"/>
      <c r="C50" s="432"/>
      <c r="D50" s="432"/>
      <c r="E50" s="122"/>
      <c r="F50" s="175"/>
    </row>
    <row r="51" spans="2:10">
      <c r="B51" s="321"/>
      <c r="C51" s="432"/>
      <c r="D51" s="432"/>
      <c r="E51" s="122"/>
      <c r="F51" s="175"/>
    </row>
    <row r="52" spans="2:10">
      <c r="B52" s="321"/>
      <c r="C52" s="432"/>
      <c r="D52" s="432"/>
      <c r="E52" s="122"/>
      <c r="F52" s="175"/>
    </row>
    <row r="53" spans="2:10">
      <c r="B53" s="321"/>
      <c r="C53" s="432"/>
      <c r="D53" s="432"/>
      <c r="E53" s="122"/>
      <c r="F53" s="175"/>
      <c r="G53" s="656" t="str">
        <f>CONCATENATE("Projected Carryover Into ",F3+1,"")</f>
        <v>Projected Carryover Into 2014</v>
      </c>
      <c r="H53" s="657"/>
      <c r="I53" s="657"/>
      <c r="J53" s="658"/>
    </row>
    <row r="54" spans="2:10">
      <c r="B54" s="321"/>
      <c r="C54" s="432"/>
      <c r="D54" s="432"/>
      <c r="E54" s="122"/>
      <c r="F54" s="175"/>
      <c r="G54" s="549"/>
      <c r="H54" s="550"/>
      <c r="I54" s="550"/>
      <c r="J54" s="551"/>
    </row>
    <row r="55" spans="2:10">
      <c r="B55" s="321"/>
      <c r="C55" s="432"/>
      <c r="D55" s="432"/>
      <c r="E55" s="122"/>
      <c r="F55" s="175"/>
      <c r="G55" s="552">
        <f>D61</f>
        <v>187870</v>
      </c>
      <c r="H55" s="553" t="str">
        <f>CONCATENATE("",F3-1," Ending Cash Balance (est.)")</f>
        <v>2012 Ending Cash Balance (est.)</v>
      </c>
      <c r="I55" s="554"/>
      <c r="J55" s="551"/>
    </row>
    <row r="56" spans="2:10">
      <c r="B56" s="321"/>
      <c r="C56" s="432"/>
      <c r="D56" s="432"/>
      <c r="E56" s="122"/>
      <c r="F56" s="175"/>
      <c r="G56" s="552">
        <f>E33</f>
        <v>9177</v>
      </c>
      <c r="H56" s="554" t="str">
        <f>CONCATENATE("",F3," Non-AV Receipts (est.)")</f>
        <v>2013 Non-AV Receipts (est.)</v>
      </c>
      <c r="I56" s="554"/>
      <c r="J56" s="551"/>
    </row>
    <row r="57" spans="2:10">
      <c r="B57" s="321"/>
      <c r="C57" s="432"/>
      <c r="D57" s="432"/>
      <c r="E57" s="122"/>
      <c r="F57" s="175"/>
      <c r="G57" s="555">
        <f>E68</f>
        <v>74866</v>
      </c>
      <c r="H57" s="554" t="str">
        <f>CONCATENATE("",F3," Ad Valorem Tax (est.)")</f>
        <v>2013 Ad Valorem Tax (est.)</v>
      </c>
      <c r="I57" s="554"/>
      <c r="J57" s="551"/>
    </row>
    <row r="58" spans="2:10">
      <c r="B58" s="220" t="s">
        <v>222</v>
      </c>
      <c r="C58" s="321"/>
      <c r="D58" s="321"/>
      <c r="E58" s="159" t="str">
        <f>Nhood!E7</f>
        <v/>
      </c>
      <c r="F58" s="175"/>
      <c r="G58" s="552">
        <f>SUM(G55:G57)</f>
        <v>271913</v>
      </c>
      <c r="H58" s="554" t="str">
        <f>CONCATENATE("Total ",F3," Resources Available")</f>
        <v>Total 2013 Resources Available</v>
      </c>
      <c r="I58" s="554"/>
      <c r="J58" s="551"/>
    </row>
    <row r="59" spans="2:10">
      <c r="B59" s="220" t="s">
        <v>223</v>
      </c>
      <c r="C59" s="432"/>
      <c r="D59" s="432"/>
      <c r="E59" s="122"/>
      <c r="F59" s="175"/>
      <c r="G59" s="556"/>
      <c r="H59" s="554"/>
      <c r="I59" s="554"/>
      <c r="J59" s="551"/>
    </row>
    <row r="60" spans="2:10">
      <c r="B60" s="220" t="s">
        <v>582</v>
      </c>
      <c r="C60" s="434" t="str">
        <f>IF(C61*0.1&lt;C59,"Exceed 10% Rule","")</f>
        <v/>
      </c>
      <c r="D60" s="434" t="str">
        <f>IF(D61*0.1&lt;D59,"Exceed 10% Rule","")</f>
        <v/>
      </c>
      <c r="E60" s="450" t="str">
        <f>IF(E61*0.1&lt;E59,"Exceed 10% Rule","")</f>
        <v/>
      </c>
      <c r="F60" s="175"/>
      <c r="G60" s="555">
        <f>C61*0.05+C61</f>
        <v>34331.85</v>
      </c>
      <c r="H60" s="554" t="str">
        <f>CONCATENATE("Less ",F3-2," Expenditures + 5%")</f>
        <v>Less 2011 Expenditures + 5%</v>
      </c>
      <c r="I60" s="554"/>
      <c r="J60" s="551"/>
    </row>
    <row r="61" spans="2:10">
      <c r="B61" s="326" t="s">
        <v>35</v>
      </c>
      <c r="C61" s="435">
        <f>SUM(C36:C59)</f>
        <v>32697</v>
      </c>
      <c r="D61" s="435">
        <f>SUM(D36:D59)</f>
        <v>187870</v>
      </c>
      <c r="E61" s="327">
        <f>SUM(E36:E59)</f>
        <v>240404</v>
      </c>
      <c r="F61" s="175"/>
      <c r="G61" s="557">
        <f>G58-G60</f>
        <v>237581.15</v>
      </c>
      <c r="H61" s="558" t="str">
        <f>CONCATENATE("Projected ",F3+1," Carryover (est.)")</f>
        <v>Projected 2014 Carryover (est.)</v>
      </c>
      <c r="I61" s="559"/>
      <c r="J61" s="560"/>
    </row>
    <row r="62" spans="2:10">
      <c r="B62" s="216" t="s">
        <v>118</v>
      </c>
      <c r="C62" s="433">
        <f>C34-C61</f>
        <v>261974</v>
      </c>
      <c r="D62" s="433">
        <f>D34-D61</f>
        <v>156361</v>
      </c>
      <c r="E62" s="228" t="s">
        <v>21</v>
      </c>
      <c r="F62" s="175"/>
      <c r="G62" s="98"/>
      <c r="H62" s="98"/>
      <c r="I62" s="98"/>
      <c r="J62" s="98"/>
    </row>
    <row r="63" spans="2:10">
      <c r="B63" s="178" t="str">
        <f>CONCATENATE("",F3-2,"/",F3-1," Budget Authority Amount:")</f>
        <v>2011/2012 Budget Authority Amount:</v>
      </c>
      <c r="C63" s="190">
        <f>inputOth!B109</f>
        <v>194031</v>
      </c>
      <c r="D63" s="171">
        <f>inputPrYr!D24</f>
        <v>187870</v>
      </c>
      <c r="E63" s="228" t="s">
        <v>21</v>
      </c>
      <c r="F63" s="328"/>
      <c r="G63" s="561">
        <f>IF(inputOth!E12=0,"",ROUND(gen!E68/inputOth!E12*1000,3))</f>
        <v>3.3849999999999998</v>
      </c>
      <c r="H63" s="562" t="str">
        <f>CONCATENATE("Projected ",F3-1," Mill Rate (est.)")</f>
        <v>Projected 2012 Mill Rate (est.)</v>
      </c>
      <c r="I63" s="563"/>
      <c r="J63" s="564"/>
    </row>
    <row r="64" spans="2:10">
      <c r="B64" s="178"/>
      <c r="C64" s="652" t="s">
        <v>683</v>
      </c>
      <c r="D64" s="653"/>
      <c r="E64" s="122"/>
      <c r="F64" s="328" t="str">
        <f>IF(E61/0.95-E61&lt;E64,"Exceeds 5%","")</f>
        <v/>
      </c>
      <c r="G64" s="565"/>
      <c r="H64" s="565"/>
      <c r="I64" s="565"/>
      <c r="J64" s="565"/>
    </row>
    <row r="65" spans="2:10">
      <c r="B65" s="544" t="str">
        <f>CONCATENATE(C79,"     ",D79)</f>
        <v xml:space="preserve">     </v>
      </c>
      <c r="C65" s="654" t="s">
        <v>684</v>
      </c>
      <c r="D65" s="655"/>
      <c r="E65" s="157">
        <f>E61+E64</f>
        <v>240404</v>
      </c>
      <c r="F65" s="175"/>
      <c r="G65" s="656" t="str">
        <f>CONCATENATE("Desired Carryover Into ",F3+1,"")</f>
        <v>Desired Carryover Into 2014</v>
      </c>
      <c r="H65" s="659"/>
      <c r="I65" s="659"/>
      <c r="J65" s="658"/>
    </row>
    <row r="66" spans="2:10">
      <c r="B66" s="544" t="str">
        <f>CONCATENATE(C80,"     ",D80)</f>
        <v xml:space="preserve">     </v>
      </c>
      <c r="C66" s="546"/>
      <c r="D66" s="547" t="s">
        <v>685</v>
      </c>
      <c r="E66" s="160">
        <f>IF(E65-E34&gt;0,E65-E34,0)</f>
        <v>74866</v>
      </c>
      <c r="F66" s="175"/>
      <c r="G66" s="566"/>
      <c r="H66" s="550"/>
      <c r="I66" s="554"/>
      <c r="J66" s="567"/>
    </row>
    <row r="67" spans="2:10">
      <c r="B67" s="250"/>
      <c r="C67" s="545" t="s">
        <v>686</v>
      </c>
      <c r="D67" s="548">
        <f>inputOth!$E$103</f>
        <v>0</v>
      </c>
      <c r="E67" s="157">
        <f>ROUND(IF(D67&gt;0,(E66*D67),0),0)</f>
        <v>0</v>
      </c>
      <c r="F67" s="175"/>
      <c r="G67" s="568" t="s">
        <v>688</v>
      </c>
      <c r="H67" s="554"/>
      <c r="I67" s="554"/>
      <c r="J67" s="569">
        <v>0</v>
      </c>
    </row>
    <row r="68" spans="2:10">
      <c r="B68" s="100"/>
      <c r="C68" s="650" t="str">
        <f>CONCATENATE("Amount of  ",$F$3-1," Ad Valorem Tax")</f>
        <v>Amount of  2012 Ad Valorem Tax</v>
      </c>
      <c r="D68" s="651"/>
      <c r="E68" s="160">
        <f>E66+E67</f>
        <v>74866</v>
      </c>
      <c r="F68" s="175"/>
      <c r="G68" s="566" t="s">
        <v>689</v>
      </c>
      <c r="H68" s="550"/>
      <c r="I68" s="550"/>
      <c r="J68" s="570" t="str">
        <f>IF(gen!J67=0,"",ROUND((J67+E68-G61)/inputOth!E12*1000,3)-G63)</f>
        <v/>
      </c>
    </row>
    <row r="69" spans="2:10">
      <c r="B69" s="100"/>
      <c r="C69" s="100"/>
      <c r="D69" s="100"/>
      <c r="E69" s="100"/>
      <c r="F69" s="175"/>
      <c r="G69" s="571" t="str">
        <f>CONCATENATE("",F3," Total Expenditures Must Be:")</f>
        <v>2013 Total Expenditures Must Be:</v>
      </c>
      <c r="H69" s="572"/>
      <c r="I69" s="559"/>
      <c r="J69" s="573">
        <f>IF((J67&gt;0),(E61+J67-G61),0)</f>
        <v>0</v>
      </c>
    </row>
    <row r="70" spans="2:10">
      <c r="B70" s="100"/>
      <c r="C70" s="100"/>
      <c r="D70" s="100"/>
      <c r="E70" s="100"/>
      <c r="F70" s="175"/>
    </row>
    <row r="71" spans="2:10">
      <c r="B71" s="100"/>
      <c r="C71" s="100"/>
      <c r="D71" s="100"/>
      <c r="E71" s="100"/>
      <c r="F71" s="175"/>
    </row>
    <row r="72" spans="2:10">
      <c r="B72" s="100"/>
      <c r="C72" s="100"/>
      <c r="D72" s="100"/>
      <c r="E72" s="100"/>
      <c r="F72" s="175"/>
    </row>
    <row r="73" spans="2:10">
      <c r="B73" s="100"/>
      <c r="C73" s="174"/>
      <c r="D73" s="174"/>
      <c r="E73" s="174"/>
      <c r="F73" s="175"/>
    </row>
    <row r="74" spans="2:10">
      <c r="B74" s="178"/>
      <c r="C74" s="117" t="s">
        <v>235</v>
      </c>
      <c r="D74" s="100"/>
      <c r="E74" s="100"/>
      <c r="F74" s="175"/>
    </row>
    <row r="76" spans="2:10">
      <c r="B76" s="181"/>
    </row>
    <row r="79" spans="2:10" hidden="1">
      <c r="C79" s="142" t="str">
        <f>IF(C61&gt;C63,"See Tab A","")</f>
        <v/>
      </c>
      <c r="D79" s="142" t="str">
        <f>IF(D61&gt;D63,"See Tab C","")</f>
        <v/>
      </c>
    </row>
    <row r="80" spans="2:10" hidden="1">
      <c r="C80" s="142" t="str">
        <f>IF(C62&lt;0,"See Tab B","")</f>
        <v/>
      </c>
      <c r="D80" s="142" t="str">
        <f>IF(D62&lt;0,"See Tab D","")</f>
        <v/>
      </c>
    </row>
  </sheetData>
  <sheetProtection sheet="1" objects="1" scenarios="1"/>
  <mergeCells count="5">
    <mergeCell ref="C68:D68"/>
    <mergeCell ref="C64:D64"/>
    <mergeCell ref="C65:D65"/>
    <mergeCell ref="G53:J53"/>
    <mergeCell ref="G65:J65"/>
  </mergeCells>
  <phoneticPr fontId="0" type="noConversion"/>
  <conditionalFormatting sqref="C31">
    <cfRule type="cellIs" dxfId="59" priority="2" stopIfTrue="1" operator="greaterThan">
      <formula>$C$33*0.1</formula>
    </cfRule>
  </conditionalFormatting>
  <conditionalFormatting sqref="D31">
    <cfRule type="cellIs" dxfId="58" priority="3" stopIfTrue="1" operator="greaterThan">
      <formula>$D$33*0.1</formula>
    </cfRule>
  </conditionalFormatting>
  <conditionalFormatting sqref="C59">
    <cfRule type="cellIs" dxfId="57" priority="4" stopIfTrue="1" operator="greaterThan">
      <formula>$C$61*0.1</formula>
    </cfRule>
  </conditionalFormatting>
  <conditionalFormatting sqref="D59">
    <cfRule type="cellIs" dxfId="56" priority="5" stopIfTrue="1" operator="greaterThan">
      <formula>$D$61*0.1</formula>
    </cfRule>
  </conditionalFormatting>
  <conditionalFormatting sqref="E59">
    <cfRule type="cellIs" dxfId="55" priority="6" stopIfTrue="1" operator="greaterThan">
      <formula>$E$61*0.1</formula>
    </cfRule>
  </conditionalFormatting>
  <conditionalFormatting sqref="E64">
    <cfRule type="cellIs" dxfId="54" priority="7" stopIfTrue="1" operator="greaterThan">
      <formula>$E$61/0.95-$E$61</formula>
    </cfRule>
  </conditionalFormatting>
  <conditionalFormatting sqref="C62">
    <cfRule type="cellIs" dxfId="53" priority="8" stopIfTrue="1" operator="lessThan">
      <formula>0</formula>
    </cfRule>
  </conditionalFormatting>
  <conditionalFormatting sqref="E31">
    <cfRule type="cellIs" dxfId="52" priority="11" stopIfTrue="1" operator="greaterThan">
      <formula>$E$33*0.1+$E$68</formula>
    </cfRule>
  </conditionalFormatting>
  <conditionalFormatting sqref="D62">
    <cfRule type="cellIs" dxfId="51" priority="1" stopIfTrue="1" operator="lessThan">
      <formula>0</formula>
    </cfRule>
  </conditionalFormatting>
  <conditionalFormatting sqref="D61">
    <cfRule type="cellIs" dxfId="50" priority="20" stopIfTrue="1" operator="greaterThan">
      <formula>$D$63</formula>
    </cfRule>
  </conditionalFormatting>
  <conditionalFormatting sqref="C61">
    <cfRule type="cellIs" dxfId="49" priority="28" stopIfTrue="1" operator="greaterThan">
      <formula>$C$63</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1" sqref="G51:I51"/>
    </sheetView>
  </sheetViews>
  <sheetFormatPr defaultRowHeight="15.75"/>
  <cols>
    <col min="1" max="1" width="2.44140625" style="98" customWidth="1"/>
    <col min="2" max="2" width="31.109375" style="98" customWidth="1"/>
    <col min="3" max="5" width="15.77734375" style="98" customWidth="1"/>
    <col min="6" max="16384" width="8.88671875" style="98"/>
  </cols>
  <sheetData>
    <row r="1" spans="2:5">
      <c r="B1" s="172" t="str">
        <f>inputPrYr!D3</f>
        <v>Tauy Watershed</v>
      </c>
      <c r="C1" s="100"/>
      <c r="D1" s="100"/>
      <c r="E1" s="317">
        <f>inputPrYr!$D$11</f>
        <v>2013</v>
      </c>
    </row>
    <row r="2" spans="2:5">
      <c r="B2" s="100"/>
      <c r="C2" s="100"/>
      <c r="D2" s="100"/>
      <c r="E2" s="250"/>
    </row>
    <row r="3" spans="2:5">
      <c r="B3" s="111"/>
      <c r="C3" s="174"/>
      <c r="D3" s="174"/>
      <c r="E3" s="330"/>
    </row>
    <row r="4" spans="2:5">
      <c r="B4" s="598" t="s">
        <v>73</v>
      </c>
      <c r="C4" s="596"/>
      <c r="D4" s="331"/>
      <c r="E4" s="331"/>
    </row>
    <row r="5" spans="2:5">
      <c r="B5" s="130" t="s">
        <v>26</v>
      </c>
      <c r="C5" s="437" t="s">
        <v>261</v>
      </c>
      <c r="D5" s="439" t="s">
        <v>263</v>
      </c>
      <c r="E5" s="319" t="s">
        <v>264</v>
      </c>
    </row>
    <row r="6" spans="2:5">
      <c r="B6" s="452" t="s">
        <v>284</v>
      </c>
      <c r="C6" s="438" t="str">
        <f>CONCATENATE("Actual ",E1-2,"")</f>
        <v>Actual 2011</v>
      </c>
      <c r="D6" s="438" t="str">
        <f>CONCATENATE("Estimate ",E1-1,"")</f>
        <v>Estimate 2012</v>
      </c>
      <c r="E6" s="264" t="str">
        <f>CONCATENATE("Year ",E1,"")</f>
        <v>Year 2013</v>
      </c>
    </row>
    <row r="7" spans="2:5">
      <c r="B7" s="212" t="s">
        <v>117</v>
      </c>
      <c r="C7" s="440"/>
      <c r="D7" s="444">
        <f>C55</f>
        <v>0</v>
      </c>
      <c r="E7" s="332">
        <f>D55</f>
        <v>0</v>
      </c>
    </row>
    <row r="8" spans="2:5">
      <c r="B8" s="333" t="s">
        <v>119</v>
      </c>
      <c r="C8" s="443"/>
      <c r="D8" s="444"/>
      <c r="E8" s="332"/>
    </row>
    <row r="9" spans="2:5">
      <c r="B9" s="212" t="s">
        <v>27</v>
      </c>
      <c r="C9" s="440"/>
      <c r="D9" s="443">
        <f>inputPrYr!E25</f>
        <v>0</v>
      </c>
      <c r="E9" s="334" t="s">
        <v>21</v>
      </c>
    </row>
    <row r="10" spans="2:5">
      <c r="B10" s="212" t="s">
        <v>28</v>
      </c>
      <c r="C10" s="440"/>
      <c r="D10" s="440"/>
      <c r="E10" s="335"/>
    </row>
    <row r="11" spans="2:5">
      <c r="B11" s="212" t="s">
        <v>29</v>
      </c>
      <c r="C11" s="440"/>
      <c r="D11" s="440"/>
      <c r="E11" s="336">
        <f>mvalloc!D12</f>
        <v>0</v>
      </c>
    </row>
    <row r="12" spans="2:5">
      <c r="B12" s="212" t="s">
        <v>30</v>
      </c>
      <c r="C12" s="440"/>
      <c r="D12" s="440"/>
      <c r="E12" s="336">
        <f>mvalloc!E12</f>
        <v>0</v>
      </c>
    </row>
    <row r="13" spans="2:5">
      <c r="B13" s="337" t="s">
        <v>101</v>
      </c>
      <c r="C13" s="440"/>
      <c r="D13" s="440"/>
      <c r="E13" s="336">
        <f>mvalloc!F12</f>
        <v>0</v>
      </c>
    </row>
    <row r="14" spans="2:5">
      <c r="B14" s="337" t="s">
        <v>170</v>
      </c>
      <c r="C14" s="440"/>
      <c r="D14" s="440"/>
      <c r="E14" s="336">
        <f>mvalloc!G12</f>
        <v>0</v>
      </c>
    </row>
    <row r="15" spans="2:5">
      <c r="B15" s="453"/>
      <c r="C15" s="440"/>
      <c r="D15" s="440"/>
      <c r="E15" s="454"/>
    </row>
    <row r="16" spans="2:5">
      <c r="B16" s="453"/>
      <c r="C16" s="440"/>
      <c r="D16" s="440"/>
      <c r="E16" s="454"/>
    </row>
    <row r="17" spans="2:5">
      <c r="B17" s="338"/>
      <c r="C17" s="440"/>
      <c r="D17" s="440"/>
      <c r="E17" s="335"/>
    </row>
    <row r="18" spans="2:5">
      <c r="B18" s="338"/>
      <c r="C18" s="440"/>
      <c r="D18" s="440"/>
      <c r="E18" s="339"/>
    </row>
    <row r="19" spans="2:5">
      <c r="B19" s="338"/>
      <c r="C19" s="440"/>
      <c r="D19" s="440"/>
      <c r="E19" s="335"/>
    </row>
    <row r="20" spans="2:5">
      <c r="B20" s="338"/>
      <c r="C20" s="440"/>
      <c r="D20" s="440"/>
      <c r="E20" s="335"/>
    </row>
    <row r="21" spans="2:5">
      <c r="B21" s="338"/>
      <c r="C21" s="440"/>
      <c r="D21" s="440"/>
      <c r="E21" s="335"/>
    </row>
    <row r="22" spans="2:5">
      <c r="B22" s="338"/>
      <c r="C22" s="440"/>
      <c r="D22" s="440"/>
      <c r="E22" s="335"/>
    </row>
    <row r="23" spans="2:5">
      <c r="B23" s="338"/>
      <c r="C23" s="440"/>
      <c r="D23" s="440"/>
      <c r="E23" s="335"/>
    </row>
    <row r="24" spans="2:5">
      <c r="B24" s="338"/>
      <c r="C24" s="440"/>
      <c r="D24" s="440"/>
      <c r="E24" s="335"/>
    </row>
    <row r="25" spans="2:5">
      <c r="B25" s="338"/>
      <c r="C25" s="440"/>
      <c r="D25" s="440"/>
      <c r="E25" s="335"/>
    </row>
    <row r="26" spans="2:5">
      <c r="B26" s="338" t="s">
        <v>161</v>
      </c>
      <c r="C26" s="440"/>
      <c r="D26" s="440"/>
      <c r="E26" s="335"/>
    </row>
    <row r="27" spans="2:5">
      <c r="B27" s="340" t="s">
        <v>31</v>
      </c>
      <c r="C27" s="440"/>
      <c r="D27" s="440"/>
      <c r="E27" s="335"/>
    </row>
    <row r="28" spans="2:5">
      <c r="B28" s="323" t="s">
        <v>223</v>
      </c>
      <c r="C28" s="440"/>
      <c r="D28" s="440"/>
      <c r="E28" s="335"/>
    </row>
    <row r="29" spans="2:5">
      <c r="B29" s="323" t="s">
        <v>581</v>
      </c>
      <c r="C29" s="434" t="str">
        <f>IF(C30*0.1&lt;C28,"Exceed 10% Rule","")</f>
        <v/>
      </c>
      <c r="D29" s="434" t="str">
        <f>IF(D30*0.1&lt;D28,"Exceed 10% Rule","")</f>
        <v/>
      </c>
      <c r="E29" s="450" t="str">
        <f>IF(E30*0.1&lt;E28,"Exceed 10% Rule","")</f>
        <v/>
      </c>
    </row>
    <row r="30" spans="2:5">
      <c r="B30" s="326" t="s">
        <v>32</v>
      </c>
      <c r="C30" s="441">
        <f>SUM(C9:C28)</f>
        <v>0</v>
      </c>
      <c r="D30" s="441">
        <f>SUM(D9:D28)</f>
        <v>0</v>
      </c>
      <c r="E30" s="341">
        <f>SUM(E9:E28)</f>
        <v>0</v>
      </c>
    </row>
    <row r="31" spans="2:5">
      <c r="B31" s="326" t="s">
        <v>33</v>
      </c>
      <c r="C31" s="441">
        <f>C7+C30</f>
        <v>0</v>
      </c>
      <c r="D31" s="441">
        <f>D7+D30</f>
        <v>0</v>
      </c>
      <c r="E31" s="342">
        <f>E7+E30</f>
        <v>0</v>
      </c>
    </row>
    <row r="32" spans="2:5">
      <c r="B32" s="333" t="s">
        <v>34</v>
      </c>
      <c r="C32" s="443"/>
      <c r="D32" s="443"/>
      <c r="E32" s="336"/>
    </row>
    <row r="33" spans="2:5">
      <c r="B33" s="343"/>
      <c r="C33" s="440"/>
      <c r="D33" s="440"/>
      <c r="E33" s="335"/>
    </row>
    <row r="34" spans="2:5">
      <c r="B34" s="343"/>
      <c r="C34" s="440"/>
      <c r="D34" s="440"/>
      <c r="E34" s="335"/>
    </row>
    <row r="35" spans="2:5">
      <c r="B35" s="343"/>
      <c r="C35" s="440"/>
      <c r="D35" s="440"/>
      <c r="E35" s="335"/>
    </row>
    <row r="36" spans="2:5">
      <c r="B36" s="343"/>
      <c r="C36" s="440"/>
      <c r="D36" s="440"/>
      <c r="E36" s="335"/>
    </row>
    <row r="37" spans="2:5">
      <c r="B37" s="343"/>
      <c r="C37" s="440"/>
      <c r="D37" s="440"/>
      <c r="E37" s="335"/>
    </row>
    <row r="38" spans="2:5">
      <c r="B38" s="343"/>
      <c r="C38" s="440"/>
      <c r="D38" s="440"/>
      <c r="E38" s="335"/>
    </row>
    <row r="39" spans="2:5">
      <c r="B39" s="343"/>
      <c r="C39" s="440"/>
      <c r="D39" s="440"/>
      <c r="E39" s="335"/>
    </row>
    <row r="40" spans="2:5">
      <c r="B40" s="343"/>
      <c r="C40" s="440"/>
      <c r="D40" s="440"/>
      <c r="E40" s="335"/>
    </row>
    <row r="41" spans="2:5">
      <c r="B41" s="343"/>
      <c r="C41" s="440"/>
      <c r="D41" s="440"/>
      <c r="E41" s="335"/>
    </row>
    <row r="42" spans="2:5">
      <c r="B42" s="343"/>
      <c r="C42" s="440"/>
      <c r="D42" s="440"/>
      <c r="E42" s="335"/>
    </row>
    <row r="43" spans="2:5">
      <c r="B43" s="343"/>
      <c r="C43" s="440"/>
      <c r="D43" s="440"/>
      <c r="E43" s="335"/>
    </row>
    <row r="44" spans="2:5">
      <c r="B44" s="343"/>
      <c r="C44" s="440"/>
      <c r="D44" s="440"/>
      <c r="E44" s="335"/>
    </row>
    <row r="45" spans="2:5">
      <c r="B45" s="343"/>
      <c r="C45" s="440"/>
      <c r="D45" s="440"/>
      <c r="E45" s="335"/>
    </row>
    <row r="46" spans="2:5">
      <c r="B46" s="343"/>
      <c r="C46" s="440"/>
      <c r="D46" s="440"/>
      <c r="E46" s="335"/>
    </row>
    <row r="47" spans="2:5">
      <c r="B47" s="343"/>
      <c r="C47" s="440"/>
      <c r="D47" s="440"/>
      <c r="E47" s="335"/>
    </row>
    <row r="48" spans="2:5">
      <c r="B48" s="343"/>
      <c r="C48" s="440"/>
      <c r="D48" s="440"/>
      <c r="E48" s="335"/>
    </row>
    <row r="49" spans="2:9">
      <c r="B49" s="343"/>
      <c r="C49" s="440"/>
      <c r="D49" s="440"/>
      <c r="E49" s="335"/>
    </row>
    <row r="50" spans="2:9">
      <c r="B50" s="343"/>
      <c r="C50" s="440"/>
      <c r="D50" s="440"/>
      <c r="E50" s="335"/>
    </row>
    <row r="51" spans="2:9">
      <c r="B51" s="220" t="s">
        <v>222</v>
      </c>
      <c r="C51" s="440"/>
      <c r="D51" s="440"/>
      <c r="E51" s="271" t="str">
        <f>Nhood!E8</f>
        <v/>
      </c>
      <c r="G51" s="660" t="str">
        <f>CONCATENATE("Projected Carryover Into ",E1+1,"")</f>
        <v>Projected Carryover Into 2014</v>
      </c>
      <c r="H51" s="661"/>
      <c r="I51" s="662"/>
    </row>
    <row r="52" spans="2:9">
      <c r="B52" s="220" t="s">
        <v>223</v>
      </c>
      <c r="C52" s="440"/>
      <c r="D52" s="440"/>
      <c r="E52" s="335"/>
      <c r="G52" s="549"/>
      <c r="H52" s="550"/>
      <c r="I52" s="551"/>
    </row>
    <row r="53" spans="2:9">
      <c r="B53" s="220" t="s">
        <v>582</v>
      </c>
      <c r="C53" s="434" t="str">
        <f>IF(C54*0.1&lt;C52,"Exceed 10% Rule","")</f>
        <v/>
      </c>
      <c r="D53" s="434" t="str">
        <f>IF(D54*0.1&lt;D52,"Exceed 10% Rule","")</f>
        <v/>
      </c>
      <c r="E53" s="450" t="str">
        <f>IF(E54*0.1&lt;E52,"Exceed 10% Rule","")</f>
        <v/>
      </c>
      <c r="G53" s="552">
        <f>D54</f>
        <v>0</v>
      </c>
      <c r="H53" s="574" t="str">
        <f>CONCATENATE("",E1-1," Ending Cash Balance (est.)")</f>
        <v>2012 Ending Cash Balance (est.)</v>
      </c>
      <c r="I53" s="551"/>
    </row>
    <row r="54" spans="2:9">
      <c r="B54" s="326" t="s">
        <v>35</v>
      </c>
      <c r="C54" s="441">
        <f>SUM(C33:C52)</f>
        <v>0</v>
      </c>
      <c r="D54" s="441">
        <f>SUM(D33:D52)</f>
        <v>0</v>
      </c>
      <c r="E54" s="341">
        <f>SUM(E33:E52)</f>
        <v>0</v>
      </c>
      <c r="G54" s="552">
        <f>E30</f>
        <v>0</v>
      </c>
      <c r="H54" s="575" t="str">
        <f>CONCATENATE("",E1," Non-AV Receipts (est.)")</f>
        <v>2013 Non-AV Receipts (est.)</v>
      </c>
      <c r="I54" s="551"/>
    </row>
    <row r="55" spans="2:9">
      <c r="B55" s="212" t="s">
        <v>118</v>
      </c>
      <c r="C55" s="442">
        <f>C31-C54</f>
        <v>0</v>
      </c>
      <c r="D55" s="442">
        <f>D31-D54</f>
        <v>0</v>
      </c>
      <c r="E55" s="334" t="s">
        <v>21</v>
      </c>
      <c r="G55" s="555">
        <f>E61</f>
        <v>0</v>
      </c>
      <c r="H55" s="575" t="str">
        <f>CONCATENATE("",E1," Ad Valorem Tax (est.)")</f>
        <v>2013 Ad Valorem Tax (est.)</v>
      </c>
      <c r="I55" s="551"/>
    </row>
    <row r="56" spans="2:9">
      <c r="B56" s="178" t="str">
        <f>CONCATENATE("",E1-2,"/",E1-1," Budget Authority Amount:")</f>
        <v>2011/2012 Budget Authority Amount:</v>
      </c>
      <c r="C56" s="190">
        <f>inputOth!B110</f>
        <v>0</v>
      </c>
      <c r="D56" s="171">
        <f>inputPrYr!D25</f>
        <v>0</v>
      </c>
      <c r="E56" s="334" t="s">
        <v>21</v>
      </c>
      <c r="F56" s="344"/>
      <c r="G56" s="552">
        <f>SUM(G53:G55)</f>
        <v>0</v>
      </c>
      <c r="H56" s="575" t="str">
        <f>CONCATENATE("Total ",E1," Resources Available")</f>
        <v>Total 2013 Resources Available</v>
      </c>
      <c r="I56" s="551"/>
    </row>
    <row r="57" spans="2:9">
      <c r="B57" s="178"/>
      <c r="C57" s="652" t="s">
        <v>683</v>
      </c>
      <c r="D57" s="653"/>
      <c r="E57" s="122"/>
      <c r="F57" s="344" t="str">
        <f>IF(E54/0.95-E54&lt;E57,"Exceeds 5%","")</f>
        <v/>
      </c>
      <c r="G57" s="556"/>
      <c r="H57" s="575"/>
      <c r="I57" s="551"/>
    </row>
    <row r="58" spans="2:9">
      <c r="B58" s="544" t="str">
        <f>CONCATENATE(C69,"     ",D69)</f>
        <v xml:space="preserve">     </v>
      </c>
      <c r="C58" s="654" t="s">
        <v>684</v>
      </c>
      <c r="D58" s="655"/>
      <c r="E58" s="157">
        <f>E54+E57</f>
        <v>0</v>
      </c>
      <c r="G58" s="555">
        <f>C54</f>
        <v>0</v>
      </c>
      <c r="H58" s="575" t="str">
        <f>CONCATENATE("Less ",E1-2," Expenditures")</f>
        <v>Less 2011 Expenditures</v>
      </c>
      <c r="I58" s="551"/>
    </row>
    <row r="59" spans="2:9">
      <c r="B59" s="544" t="str">
        <f>CONCATENATE(C70,"     ",D70)</f>
        <v xml:space="preserve">     </v>
      </c>
      <c r="C59" s="546"/>
      <c r="D59" s="547" t="s">
        <v>685</v>
      </c>
      <c r="E59" s="160">
        <f>IF(E58-E31&gt;0,E58-E31,0)</f>
        <v>0</v>
      </c>
      <c r="G59" s="576">
        <f>G56-G58</f>
        <v>0</v>
      </c>
      <c r="H59" s="577" t="str">
        <f>CONCATENATE("Projected ",E1+1," carryover (est.)")</f>
        <v>Projected 2014 carryover (est.)</v>
      </c>
      <c r="I59" s="560"/>
    </row>
    <row r="60" spans="2:9">
      <c r="B60" s="250"/>
      <c r="C60" s="545" t="s">
        <v>686</v>
      </c>
      <c r="D60" s="548">
        <f>inputOth!$E$103</f>
        <v>0</v>
      </c>
      <c r="E60" s="157">
        <f>ROUND(IF(D60&gt;0,(E59*D60),0),0)</f>
        <v>0</v>
      </c>
    </row>
    <row r="61" spans="2:9">
      <c r="B61" s="100"/>
      <c r="C61" s="650" t="str">
        <f>CONCATENATE("Amount of  ",$E$1-1," Ad Valorem Tax")</f>
        <v>Amount of  2012 Ad Valorem Tax</v>
      </c>
      <c r="D61" s="651"/>
      <c r="E61" s="160">
        <f>E59+E60</f>
        <v>0</v>
      </c>
      <c r="G61" s="578">
        <f>IF(inputOth!E12&gt;0,ROUND(E61/inputOth!E12*1000,3),0)</f>
        <v>0</v>
      </c>
      <c r="H61" s="579" t="str">
        <f>CONCATENATE("",E1," Mill Rate")</f>
        <v>2013 Mill Rate</v>
      </c>
      <c r="I61" s="580"/>
    </row>
    <row r="62" spans="2:9">
      <c r="B62" s="250"/>
      <c r="C62" s="100"/>
      <c r="D62" s="100"/>
      <c r="E62" s="100"/>
    </row>
    <row r="63" spans="2:9">
      <c r="B63" s="178" t="s">
        <v>37</v>
      </c>
      <c r="C63" s="201"/>
      <c r="D63" s="100"/>
      <c r="E63" s="100"/>
    </row>
    <row r="69" spans="3:4" hidden="1">
      <c r="C69" s="98" t="str">
        <f>IF(C54&gt;C56,"See Tab A","")</f>
        <v/>
      </c>
      <c r="D69" s="98" t="str">
        <f>IF(D54&gt;D56,"See Tab C","")</f>
        <v/>
      </c>
    </row>
    <row r="70" spans="3:4" hidden="1">
      <c r="C70" s="98" t="str">
        <f>IF(C55&lt;0,"See Tab B","")</f>
        <v/>
      </c>
      <c r="D70" s="98" t="str">
        <f>IF(D55&lt;0,"See Tab D","")</f>
        <v/>
      </c>
    </row>
  </sheetData>
  <sheetProtection sheet="1"/>
  <mergeCells count="4">
    <mergeCell ref="C61:D61"/>
    <mergeCell ref="C57:D57"/>
    <mergeCell ref="C58:D58"/>
    <mergeCell ref="G51:I51"/>
  </mergeCells>
  <phoneticPr fontId="15" type="noConversion"/>
  <conditionalFormatting sqref="C28">
    <cfRule type="cellIs" dxfId="48" priority="2" stopIfTrue="1" operator="greaterThan">
      <formula>$C$30*0.1</formula>
    </cfRule>
  </conditionalFormatting>
  <conditionalFormatting sqref="D28">
    <cfRule type="cellIs" dxfId="47" priority="3" stopIfTrue="1" operator="greaterThan">
      <formula>$D$30*0.1</formula>
    </cfRule>
  </conditionalFormatting>
  <conditionalFormatting sqref="E28">
    <cfRule type="cellIs" dxfId="46" priority="4" stopIfTrue="1" operator="greaterThan">
      <formula>$E$30*0.1</formula>
    </cfRule>
  </conditionalFormatting>
  <conditionalFormatting sqref="C52">
    <cfRule type="cellIs" dxfId="45" priority="5" stopIfTrue="1" operator="greaterThan">
      <formula>$C$54*0.1</formula>
    </cfRule>
  </conditionalFormatting>
  <conditionalFormatting sqref="D52">
    <cfRule type="cellIs" dxfId="44" priority="6" stopIfTrue="1" operator="greaterThan">
      <formula>$D$54*0.1</formula>
    </cfRule>
  </conditionalFormatting>
  <conditionalFormatting sqref="E52">
    <cfRule type="cellIs" dxfId="43" priority="7" stopIfTrue="1" operator="greaterThan">
      <formula>$E$54*0.1</formula>
    </cfRule>
  </conditionalFormatting>
  <conditionalFormatting sqref="E57">
    <cfRule type="cellIs" dxfId="42" priority="8" stopIfTrue="1" operator="greaterThan">
      <formula>$E$54/0.95-$E$54</formula>
    </cfRule>
  </conditionalFormatting>
  <conditionalFormatting sqref="C55">
    <cfRule type="cellIs" dxfId="41" priority="9" stopIfTrue="1" operator="lessThan">
      <formula>0</formula>
    </cfRule>
  </conditionalFormatting>
  <conditionalFormatting sqref="D55">
    <cfRule type="cellIs" dxfId="40" priority="1" stopIfTrue="1" operator="lessThan">
      <formula>0</formula>
    </cfRule>
  </conditionalFormatting>
  <conditionalFormatting sqref="D54">
    <cfRule type="cellIs" dxfId="39" priority="21" stopIfTrue="1" operator="greaterThan">
      <formula>$D$56</formula>
    </cfRule>
  </conditionalFormatting>
  <conditionalFormatting sqref="C54">
    <cfRule type="cellIs" dxfId="38" priority="30" stopIfTrue="1" operator="greaterThan">
      <formula>$C$56</formula>
    </cfRule>
  </conditionalFormatting>
  <pageMargins left="0.75" right="0.75" top="1" bottom="1" header="0.5" footer="0.5"/>
  <pageSetup scale="71"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85"/>
  <sheetViews>
    <sheetView workbookViewId="0">
      <selection activeCell="F3" sqref="F3"/>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Tauy Watershed</v>
      </c>
      <c r="C1" s="100"/>
      <c r="D1" s="100"/>
      <c r="E1" s="276"/>
    </row>
    <row r="2" spans="2:6">
      <c r="B2" s="100" t="str">
        <f>inputPrYr!D4</f>
        <v>Franklin County</v>
      </c>
      <c r="C2" s="100"/>
      <c r="D2" s="100"/>
      <c r="E2" s="178"/>
    </row>
    <row r="3" spans="2:6">
      <c r="B3" s="111"/>
      <c r="C3" s="174"/>
      <c r="D3" s="174"/>
      <c r="E3" s="318"/>
      <c r="F3" s="142">
        <f>inputPrYr!D11</f>
        <v>2013</v>
      </c>
    </row>
    <row r="4" spans="2:6">
      <c r="B4" s="598" t="s">
        <v>73</v>
      </c>
      <c r="C4" s="596"/>
      <c r="D4" s="177"/>
      <c r="E4" s="177"/>
    </row>
    <row r="5" spans="2:6">
      <c r="B5" s="99" t="s">
        <v>26</v>
      </c>
      <c r="C5" s="437" t="s">
        <v>261</v>
      </c>
      <c r="D5" s="439" t="s">
        <v>263</v>
      </c>
      <c r="E5" s="319" t="s">
        <v>264</v>
      </c>
    </row>
    <row r="6" spans="2:6">
      <c r="B6" s="449">
        <f>inputPrYr!B27</f>
        <v>0</v>
      </c>
      <c r="C6" s="438" t="str">
        <f>CONCATENATE("Actual ",F3-2,"")</f>
        <v>Actual 2011</v>
      </c>
      <c r="D6" s="438" t="str">
        <f>CONCATENATE("Estimate ",F3-1,"")</f>
        <v>Estimate 2012</v>
      </c>
      <c r="E6" s="264" t="str">
        <f>CONCATENATE("Year ",F3,"")</f>
        <v>Year 2013</v>
      </c>
    </row>
    <row r="7" spans="2:6">
      <c r="B7" s="216" t="s">
        <v>117</v>
      </c>
      <c r="C7" s="432"/>
      <c r="D7" s="436">
        <f>C32</f>
        <v>0</v>
      </c>
      <c r="E7" s="157">
        <f>D32</f>
        <v>0</v>
      </c>
    </row>
    <row r="8" spans="2:6">
      <c r="B8" s="235" t="s">
        <v>119</v>
      </c>
      <c r="C8" s="320"/>
      <c r="D8" s="320"/>
      <c r="E8" s="155"/>
    </row>
    <row r="9" spans="2:6">
      <c r="B9" s="216" t="s">
        <v>27</v>
      </c>
      <c r="C9" s="432"/>
      <c r="D9" s="320">
        <f>inputPrYr!E27</f>
        <v>0</v>
      </c>
      <c r="E9" s="228" t="s">
        <v>21</v>
      </c>
    </row>
    <row r="10" spans="2:6">
      <c r="B10" s="216" t="s">
        <v>28</v>
      </c>
      <c r="C10" s="432"/>
      <c r="D10" s="432"/>
      <c r="E10" s="293"/>
    </row>
    <row r="11" spans="2:6">
      <c r="B11" s="216" t="s">
        <v>29</v>
      </c>
      <c r="C11" s="432"/>
      <c r="D11" s="432"/>
      <c r="E11" s="157">
        <f>mvalloc!D13</f>
        <v>0</v>
      </c>
    </row>
    <row r="12" spans="2:6">
      <c r="B12" s="216" t="s">
        <v>30</v>
      </c>
      <c r="C12" s="432"/>
      <c r="D12" s="432"/>
      <c r="E12" s="157">
        <f>mvalloc!E13</f>
        <v>0</v>
      </c>
    </row>
    <row r="13" spans="2:6">
      <c r="B13" s="320" t="s">
        <v>101</v>
      </c>
      <c r="C13" s="432"/>
      <c r="D13" s="432"/>
      <c r="E13" s="157">
        <f>mvalloc!F13</f>
        <v>0</v>
      </c>
    </row>
    <row r="14" spans="2:6">
      <c r="B14" s="320" t="s">
        <v>170</v>
      </c>
      <c r="C14" s="432"/>
      <c r="D14" s="432"/>
      <c r="E14" s="157">
        <f>mvalloc!G13</f>
        <v>0</v>
      </c>
    </row>
    <row r="15" spans="2:6">
      <c r="B15" s="321"/>
      <c r="C15" s="432"/>
      <c r="D15" s="432"/>
      <c r="E15" s="293"/>
    </row>
    <row r="16" spans="2:6">
      <c r="B16" s="321"/>
      <c r="C16" s="432"/>
      <c r="D16" s="432"/>
      <c r="E16" s="293"/>
    </row>
    <row r="17" spans="2:5">
      <c r="B17" s="322" t="s">
        <v>31</v>
      </c>
      <c r="C17" s="432"/>
      <c r="D17" s="432"/>
      <c r="E17" s="293"/>
    </row>
    <row r="18" spans="2:5">
      <c r="B18" s="323" t="s">
        <v>223</v>
      </c>
      <c r="C18" s="321"/>
      <c r="D18" s="321"/>
      <c r="E18" s="293"/>
    </row>
    <row r="19" spans="2:5">
      <c r="B19" s="323" t="s">
        <v>581</v>
      </c>
      <c r="C19" s="434" t="str">
        <f>IF(C20*0.1&lt;C18,"Exceed 10% Rule","")</f>
        <v/>
      </c>
      <c r="D19" s="434" t="str">
        <f>IF(D20*0.1&lt;D18,"Exceed 10% Rule","")</f>
        <v/>
      </c>
      <c r="E19" s="450" t="str">
        <f>IF(E20*0.1&lt;E18,"Exceed 10% Rule","")</f>
        <v/>
      </c>
    </row>
    <row r="20" spans="2:5">
      <c r="B20" s="326" t="s">
        <v>32</v>
      </c>
      <c r="C20" s="435">
        <f>SUM(C9:C18)</f>
        <v>0</v>
      </c>
      <c r="D20" s="435">
        <f>SUM(D9:D18)</f>
        <v>0</v>
      </c>
      <c r="E20" s="327">
        <f>SUM(E9:E18)</f>
        <v>0</v>
      </c>
    </row>
    <row r="21" spans="2:5">
      <c r="B21" s="326" t="s">
        <v>33</v>
      </c>
      <c r="C21" s="435">
        <f>C7+C20</f>
        <v>0</v>
      </c>
      <c r="D21" s="435">
        <f>D7+D20</f>
        <v>0</v>
      </c>
      <c r="E21" s="327">
        <f>E7+E20</f>
        <v>0</v>
      </c>
    </row>
    <row r="22" spans="2:5">
      <c r="B22" s="216" t="s">
        <v>34</v>
      </c>
      <c r="C22" s="220"/>
      <c r="D22" s="220"/>
      <c r="E22" s="134"/>
    </row>
    <row r="23" spans="2:5">
      <c r="B23" s="321"/>
      <c r="C23" s="432"/>
      <c r="D23" s="432"/>
      <c r="E23" s="293"/>
    </row>
    <row r="24" spans="2:5">
      <c r="B24" s="321"/>
      <c r="C24" s="432"/>
      <c r="D24" s="432"/>
      <c r="E24" s="293"/>
    </row>
    <row r="25" spans="2:5">
      <c r="B25" s="321"/>
      <c r="C25" s="432"/>
      <c r="D25" s="432"/>
      <c r="E25" s="293"/>
    </row>
    <row r="26" spans="2:5">
      <c r="B26" s="321"/>
      <c r="C26" s="432"/>
      <c r="D26" s="432"/>
      <c r="E26" s="293"/>
    </row>
    <row r="27" spans="2:5">
      <c r="B27" s="321"/>
      <c r="C27" s="432"/>
      <c r="D27" s="432"/>
      <c r="E27" s="293"/>
    </row>
    <row r="28" spans="2:5">
      <c r="B28" s="220" t="s">
        <v>222</v>
      </c>
      <c r="C28" s="432"/>
      <c r="D28" s="432"/>
      <c r="E28" s="159" t="str">
        <f>Nhood!E9</f>
        <v/>
      </c>
    </row>
    <row r="29" spans="2:5">
      <c r="B29" s="220" t="s">
        <v>223</v>
      </c>
      <c r="C29" s="321"/>
      <c r="D29" s="321"/>
      <c r="E29" s="293"/>
    </row>
    <row r="30" spans="2:5">
      <c r="B30" s="220" t="s">
        <v>582</v>
      </c>
      <c r="C30" s="434" t="str">
        <f>IF(C31*0.1&lt;C29,"Exceed 10% Rule","")</f>
        <v/>
      </c>
      <c r="D30" s="434" t="str">
        <f>IF(D31*0.1&lt;D29,"Exceed 10% Rule","")</f>
        <v/>
      </c>
      <c r="E30" s="450" t="str">
        <f>IF(E31*0.1&lt;E29,"Exceed 10% Rule","")</f>
        <v/>
      </c>
    </row>
    <row r="31" spans="2:5">
      <c r="B31" s="326" t="s">
        <v>35</v>
      </c>
      <c r="C31" s="435">
        <f>SUM(C23:C29)</f>
        <v>0</v>
      </c>
      <c r="D31" s="435">
        <f>SUM(D23:D29)</f>
        <v>0</v>
      </c>
      <c r="E31" s="327">
        <f>SUM(E23:E29)</f>
        <v>0</v>
      </c>
    </row>
    <row r="32" spans="2:5">
      <c r="B32" s="216" t="s">
        <v>118</v>
      </c>
      <c r="C32" s="433">
        <f>C21-C31</f>
        <v>0</v>
      </c>
      <c r="D32" s="433">
        <f>D21-D31</f>
        <v>0</v>
      </c>
      <c r="E32" s="228" t="s">
        <v>21</v>
      </c>
    </row>
    <row r="33" spans="2:6">
      <c r="B33" s="178" t="str">
        <f>CONCATENATE("",F3-2,"/",F3-1," Budget Authority Amount:")</f>
        <v>2011/2012 Budget Authority Amount:</v>
      </c>
      <c r="C33" s="190">
        <f>inputOth!B111</f>
        <v>0</v>
      </c>
      <c r="D33" s="171">
        <f>inputPrYr!D27</f>
        <v>0</v>
      </c>
      <c r="E33" s="228" t="s">
        <v>21</v>
      </c>
      <c r="F33" s="345"/>
    </row>
    <row r="34" spans="2:6">
      <c r="B34" s="178"/>
      <c r="C34" s="652" t="s">
        <v>683</v>
      </c>
      <c r="D34" s="653"/>
      <c r="E34" s="293"/>
      <c r="F34" s="345" t="str">
        <f>IF(E31/0.95-E31&lt;E34,"Exceeds 5%","")</f>
        <v/>
      </c>
    </row>
    <row r="35" spans="2:6">
      <c r="B35" s="544" t="str">
        <f>CONCATENATE(C82,"     ",D82)</f>
        <v xml:space="preserve">     </v>
      </c>
      <c r="C35" s="654" t="s">
        <v>684</v>
      </c>
      <c r="D35" s="655"/>
      <c r="E35" s="155">
        <f>E31+E34</f>
        <v>0</v>
      </c>
    </row>
    <row r="36" spans="2:6">
      <c r="B36" s="544" t="str">
        <f>CONCATENATE(C83,"     ",D83)</f>
        <v xml:space="preserve">     </v>
      </c>
      <c r="C36" s="546"/>
      <c r="D36" s="547" t="s">
        <v>685</v>
      </c>
      <c r="E36" s="159">
        <f>IF(E35-E21&gt;0,E35-E21,0)</f>
        <v>0</v>
      </c>
    </row>
    <row r="37" spans="2:6">
      <c r="B37" s="250"/>
      <c r="C37" s="545" t="s">
        <v>686</v>
      </c>
      <c r="D37" s="548">
        <f>inputOth!$E$103</f>
        <v>0</v>
      </c>
      <c r="E37" s="155">
        <f>ROUND(IF(D37&gt;0,(E36*D37),0),0)</f>
        <v>0</v>
      </c>
    </row>
    <row r="38" spans="2:6">
      <c r="B38" s="100"/>
      <c r="C38" s="650" t="str">
        <f>CONCATENATE("Amount of  ",$F$3-1," Ad Valorem Tax")</f>
        <v>Amount of  2012 Ad Valorem Tax</v>
      </c>
      <c r="D38" s="651"/>
      <c r="E38" s="159">
        <f>E36+E37</f>
        <v>0</v>
      </c>
    </row>
    <row r="39" spans="2:6">
      <c r="B39" s="100"/>
      <c r="C39" s="100"/>
      <c r="D39" s="100"/>
      <c r="E39" s="100"/>
    </row>
    <row r="40" spans="2:6">
      <c r="B40" s="99" t="s">
        <v>26</v>
      </c>
      <c r="C40" s="177"/>
      <c r="D40" s="177"/>
      <c r="E40" s="177"/>
    </row>
    <row r="41" spans="2:6">
      <c r="B41" s="100"/>
      <c r="C41" s="437" t="s">
        <v>262</v>
      </c>
      <c r="D41" s="439" t="s">
        <v>263</v>
      </c>
      <c r="E41" s="319" t="s">
        <v>264</v>
      </c>
    </row>
    <row r="42" spans="2:6">
      <c r="B42" s="449">
        <f>inputPrYr!B28</f>
        <v>0</v>
      </c>
      <c r="C42" s="438" t="str">
        <f>C6</f>
        <v>Actual 2011</v>
      </c>
      <c r="D42" s="438" t="str">
        <f>D6</f>
        <v>Estimate 2012</v>
      </c>
      <c r="E42" s="264" t="str">
        <f>E6</f>
        <v>Year 2013</v>
      </c>
    </row>
    <row r="43" spans="2:6">
      <c r="B43" s="216" t="s">
        <v>117</v>
      </c>
      <c r="C43" s="432"/>
      <c r="D43" s="436">
        <f>C68</f>
        <v>0</v>
      </c>
      <c r="E43" s="157">
        <f>D68</f>
        <v>0</v>
      </c>
    </row>
    <row r="44" spans="2:6">
      <c r="B44" s="235" t="s">
        <v>119</v>
      </c>
      <c r="C44" s="320"/>
      <c r="D44" s="320"/>
      <c r="E44" s="155"/>
    </row>
    <row r="45" spans="2:6">
      <c r="B45" s="216" t="s">
        <v>27</v>
      </c>
      <c r="C45" s="432"/>
      <c r="D45" s="320">
        <f>inputPrYr!E28</f>
        <v>0</v>
      </c>
      <c r="E45" s="228" t="s">
        <v>21</v>
      </c>
    </row>
    <row r="46" spans="2:6">
      <c r="B46" s="216" t="s">
        <v>28</v>
      </c>
      <c r="C46" s="432"/>
      <c r="D46" s="432"/>
      <c r="E46" s="293"/>
    </row>
    <row r="47" spans="2:6">
      <c r="B47" s="216" t="s">
        <v>29</v>
      </c>
      <c r="C47" s="432"/>
      <c r="D47" s="432"/>
      <c r="E47" s="157">
        <f>mvalloc!D14</f>
        <v>0</v>
      </c>
    </row>
    <row r="48" spans="2:6">
      <c r="B48" s="216" t="s">
        <v>30</v>
      </c>
      <c r="C48" s="432"/>
      <c r="D48" s="432"/>
      <c r="E48" s="157">
        <f>mvalloc!E14</f>
        <v>0</v>
      </c>
    </row>
    <row r="49" spans="2:5">
      <c r="B49" s="320" t="s">
        <v>101</v>
      </c>
      <c r="C49" s="432"/>
      <c r="D49" s="432"/>
      <c r="E49" s="157">
        <f>mvalloc!F14</f>
        <v>0</v>
      </c>
    </row>
    <row r="50" spans="2:5">
      <c r="B50" s="320" t="s">
        <v>170</v>
      </c>
      <c r="C50" s="432"/>
      <c r="D50" s="432"/>
      <c r="E50" s="157">
        <f>mvalloc!G14</f>
        <v>0</v>
      </c>
    </row>
    <row r="51" spans="2:5">
      <c r="B51" s="321"/>
      <c r="C51" s="432"/>
      <c r="D51" s="432"/>
      <c r="E51" s="293"/>
    </row>
    <row r="52" spans="2:5">
      <c r="B52" s="321"/>
      <c r="C52" s="432"/>
      <c r="D52" s="432"/>
      <c r="E52" s="293"/>
    </row>
    <row r="53" spans="2:5">
      <c r="B53" s="322" t="s">
        <v>31</v>
      </c>
      <c r="C53" s="432"/>
      <c r="D53" s="432"/>
      <c r="E53" s="293"/>
    </row>
    <row r="54" spans="2:5">
      <c r="B54" s="323" t="s">
        <v>223</v>
      </c>
      <c r="C54" s="321"/>
      <c r="D54" s="321"/>
      <c r="E54" s="293"/>
    </row>
    <row r="55" spans="2:5">
      <c r="B55" s="323" t="s">
        <v>581</v>
      </c>
      <c r="C55" s="434" t="str">
        <f>IF(C56*0.1&lt;C54,"Exceed 10% Rule","")</f>
        <v/>
      </c>
      <c r="D55" s="434" t="str">
        <f>IF(D56*0.1&lt;D54,"Exceed 10% Rule","")</f>
        <v/>
      </c>
      <c r="E55" s="450" t="str">
        <f>IF(E56*0.1+E74&lt;E54,"Exceed 10% Rule","")</f>
        <v/>
      </c>
    </row>
    <row r="56" spans="2:5">
      <c r="B56" s="326" t="s">
        <v>32</v>
      </c>
      <c r="C56" s="435">
        <f>SUM(C45:C54)</f>
        <v>0</v>
      </c>
      <c r="D56" s="435">
        <f>SUM(D45:D54)</f>
        <v>0</v>
      </c>
      <c r="E56" s="327">
        <f>SUM(E45:E54)</f>
        <v>0</v>
      </c>
    </row>
    <row r="57" spans="2:5">
      <c r="B57" s="326" t="s">
        <v>33</v>
      </c>
      <c r="C57" s="435">
        <f>C43+C56</f>
        <v>0</v>
      </c>
      <c r="D57" s="435">
        <f>D43+D56</f>
        <v>0</v>
      </c>
      <c r="E57" s="327">
        <f>E43+E56</f>
        <v>0</v>
      </c>
    </row>
    <row r="58" spans="2:5">
      <c r="B58" s="216" t="s">
        <v>34</v>
      </c>
      <c r="C58" s="220"/>
      <c r="D58" s="220"/>
      <c r="E58" s="134"/>
    </row>
    <row r="59" spans="2:5">
      <c r="B59" s="321"/>
      <c r="C59" s="432"/>
      <c r="D59" s="432"/>
      <c r="E59" s="293"/>
    </row>
    <row r="60" spans="2:5">
      <c r="B60" s="321"/>
      <c r="C60" s="432"/>
      <c r="D60" s="432"/>
      <c r="E60" s="293"/>
    </row>
    <row r="61" spans="2:5">
      <c r="B61" s="321"/>
      <c r="C61" s="432"/>
      <c r="D61" s="432"/>
      <c r="E61" s="293"/>
    </row>
    <row r="62" spans="2:5">
      <c r="B62" s="321"/>
      <c r="C62" s="432"/>
      <c r="D62" s="432"/>
      <c r="E62" s="293"/>
    </row>
    <row r="63" spans="2:5">
      <c r="B63" s="321"/>
      <c r="C63" s="432"/>
      <c r="D63" s="432"/>
      <c r="E63" s="293"/>
    </row>
    <row r="64" spans="2:5">
      <c r="B64" s="220" t="s">
        <v>222</v>
      </c>
      <c r="C64" s="321"/>
      <c r="D64" s="321"/>
      <c r="E64" s="159" t="str">
        <f>Nhood!E10</f>
        <v/>
      </c>
    </row>
    <row r="65" spans="2:6">
      <c r="B65" s="220" t="s">
        <v>223</v>
      </c>
      <c r="C65" s="321"/>
      <c r="D65" s="321"/>
      <c r="E65" s="293"/>
    </row>
    <row r="66" spans="2:6">
      <c r="B66" s="220" t="s">
        <v>582</v>
      </c>
      <c r="C66" s="434" t="str">
        <f>IF(C67*0.1&lt;C65,"Exceed 10% Rule","")</f>
        <v/>
      </c>
      <c r="D66" s="434" t="str">
        <f>IF(D67*0.1&lt;D65,"Exceed 10% Rule","")</f>
        <v/>
      </c>
      <c r="E66" s="450" t="str">
        <f>IF(E67*0.1&lt;E65,"Exceed 10% Rule","")</f>
        <v/>
      </c>
    </row>
    <row r="67" spans="2:6">
      <c r="B67" s="326" t="s">
        <v>35</v>
      </c>
      <c r="C67" s="435">
        <f>SUM(C59:C65)</f>
        <v>0</v>
      </c>
      <c r="D67" s="435">
        <f>SUM(D59:D65)</f>
        <v>0</v>
      </c>
      <c r="E67" s="327">
        <f>SUM(E59:E65)</f>
        <v>0</v>
      </c>
    </row>
    <row r="68" spans="2:6">
      <c r="B68" s="216" t="s">
        <v>118</v>
      </c>
      <c r="C68" s="433">
        <f>C57-C67</f>
        <v>0</v>
      </c>
      <c r="D68" s="433">
        <f>D57-D67</f>
        <v>0</v>
      </c>
      <c r="E68" s="228" t="s">
        <v>21</v>
      </c>
    </row>
    <row r="69" spans="2:6">
      <c r="B69" s="178" t="str">
        <f>CONCATENATE("",F3-2,"/",F3-1," Budget Authority Amount:")</f>
        <v>2011/2012 Budget Authority Amount:</v>
      </c>
      <c r="C69" s="190">
        <f>inputOth!B112</f>
        <v>0</v>
      </c>
      <c r="D69" s="171">
        <f>inputPrYr!D28</f>
        <v>0</v>
      </c>
      <c r="E69" s="228" t="s">
        <v>21</v>
      </c>
      <c r="F69" s="345"/>
    </row>
    <row r="70" spans="2:6">
      <c r="B70" s="178"/>
      <c r="C70" s="652" t="s">
        <v>683</v>
      </c>
      <c r="D70" s="653"/>
      <c r="E70" s="293"/>
      <c r="F70" s="345" t="str">
        <f>IF(E67/0.95-E67&lt;E70,"Exceeds 5%","")</f>
        <v/>
      </c>
    </row>
    <row r="71" spans="2:6">
      <c r="B71" s="544" t="str">
        <f>CONCATENATE(C84,"     ",D84)</f>
        <v xml:space="preserve">     </v>
      </c>
      <c r="C71" s="654" t="s">
        <v>684</v>
      </c>
      <c r="D71" s="655"/>
      <c r="E71" s="155">
        <f>E67+E70</f>
        <v>0</v>
      </c>
    </row>
    <row r="72" spans="2:6">
      <c r="B72" s="544" t="str">
        <f>CONCATENATE(C85,"     ",D85)</f>
        <v xml:space="preserve">     </v>
      </c>
      <c r="C72" s="546"/>
      <c r="D72" s="547" t="s">
        <v>685</v>
      </c>
      <c r="E72" s="159">
        <f>IF(E71-E57&gt;0,E71-E57,0)</f>
        <v>0</v>
      </c>
    </row>
    <row r="73" spans="2:6">
      <c r="B73" s="250"/>
      <c r="C73" s="545" t="s">
        <v>686</v>
      </c>
      <c r="D73" s="548">
        <f>inputOth!$E$103</f>
        <v>0</v>
      </c>
      <c r="E73" s="155">
        <f>ROUND(IF(D73&gt;0,(E72*D73),0),0)</f>
        <v>0</v>
      </c>
    </row>
    <row r="74" spans="2:6">
      <c r="B74" s="100"/>
      <c r="C74" s="650" t="str">
        <f>CONCATENATE("Amount of  ",$F$3-1," Ad Valorem Tax")</f>
        <v>Amount of  2012 Ad Valorem Tax</v>
      </c>
      <c r="D74" s="651"/>
      <c r="E74" s="160">
        <f>E72+E73</f>
        <v>0</v>
      </c>
    </row>
    <row r="75" spans="2:6">
      <c r="B75" s="100"/>
      <c r="C75" s="172"/>
      <c r="D75" s="172"/>
      <c r="E75" s="172"/>
    </row>
    <row r="76" spans="2:6">
      <c r="B76" s="178" t="s">
        <v>37</v>
      </c>
      <c r="C76" s="201"/>
      <c r="D76" s="100"/>
      <c r="E76" s="100"/>
    </row>
    <row r="82" spans="3:4" hidden="1">
      <c r="C82" s="142" t="str">
        <f>IF(C31&gt;C33,"See Tab A","")</f>
        <v/>
      </c>
      <c r="D82" s="142" t="str">
        <f>IF(D31&gt;D33,"See Tab C","")</f>
        <v/>
      </c>
    </row>
    <row r="83" spans="3:4" hidden="1">
      <c r="C83" s="142" t="str">
        <f>IF(C32&lt;0,"See Tab B","")</f>
        <v/>
      </c>
      <c r="D83" s="142" t="str">
        <f>IF(D32&lt;0,"See Tab D","")</f>
        <v/>
      </c>
    </row>
    <row r="84" spans="3:4" hidden="1">
      <c r="C84" s="142" t="str">
        <f>IF(C67&gt;C69,"See Tab A","")</f>
        <v/>
      </c>
      <c r="D84" s="142" t="str">
        <f>IF(D67&gt;D69,"See Tab C","")</f>
        <v/>
      </c>
    </row>
    <row r="85" spans="3:4" hidden="1">
      <c r="C85" s="142" t="str">
        <f>IF(C68&lt;0,"See Tab B","")</f>
        <v/>
      </c>
      <c r="D85" s="142" t="str">
        <f>IF(D68&lt;0,"See Tab D","")</f>
        <v/>
      </c>
    </row>
  </sheetData>
  <sheetProtection sheet="1"/>
  <mergeCells count="6">
    <mergeCell ref="C74:D74"/>
    <mergeCell ref="C38:D38"/>
    <mergeCell ref="C70:D70"/>
    <mergeCell ref="C71:D71"/>
    <mergeCell ref="C34:D34"/>
    <mergeCell ref="C35:D35"/>
  </mergeCells>
  <phoneticPr fontId="0" type="noConversion"/>
  <conditionalFormatting sqref="C29">
    <cfRule type="cellIs" dxfId="37" priority="3" stopIfTrue="1" operator="greaterThan">
      <formula>$C$31*0.1</formula>
    </cfRule>
  </conditionalFormatting>
  <conditionalFormatting sqref="D29">
    <cfRule type="cellIs" dxfId="36" priority="4" stopIfTrue="1" operator="greaterThan">
      <formula>$D$31*0.1</formula>
    </cfRule>
  </conditionalFormatting>
  <conditionalFormatting sqref="E29">
    <cfRule type="cellIs" dxfId="35" priority="5" stopIfTrue="1" operator="greaterThan">
      <formula>$E$31*0.1</formula>
    </cfRule>
  </conditionalFormatting>
  <conditionalFormatting sqref="E34">
    <cfRule type="cellIs" dxfId="34" priority="6" stopIfTrue="1" operator="greaterThan">
      <formula>$E$31/0.95-$E$31</formula>
    </cfRule>
  </conditionalFormatting>
  <conditionalFormatting sqref="C18">
    <cfRule type="cellIs" dxfId="33" priority="7" stopIfTrue="1" operator="greaterThan">
      <formula>$C$20*0.1</formula>
    </cfRule>
  </conditionalFormatting>
  <conditionalFormatting sqref="D18">
    <cfRule type="cellIs" dxfId="32" priority="8" stopIfTrue="1" operator="greaterThan">
      <formula>$D$20*0.1</formula>
    </cfRule>
  </conditionalFormatting>
  <conditionalFormatting sqref="E18">
    <cfRule type="cellIs" dxfId="31" priority="9" stopIfTrue="1" operator="greaterThan">
      <formula>$E$20*0.1</formula>
    </cfRule>
  </conditionalFormatting>
  <conditionalFormatting sqref="C54">
    <cfRule type="cellIs" dxfId="30" priority="10" stopIfTrue="1" operator="greaterThan">
      <formula>$C$56*0.1</formula>
    </cfRule>
  </conditionalFormatting>
  <conditionalFormatting sqref="D54">
    <cfRule type="cellIs" dxfId="29" priority="11" stopIfTrue="1" operator="greaterThan">
      <formula>$D$56*0.1</formula>
    </cfRule>
  </conditionalFormatting>
  <conditionalFormatting sqref="C65">
    <cfRule type="cellIs" dxfId="28" priority="12" stopIfTrue="1" operator="greaterThan">
      <formula>$C$67*0.1</formula>
    </cfRule>
  </conditionalFormatting>
  <conditionalFormatting sqref="D65">
    <cfRule type="cellIs" dxfId="27" priority="13" stopIfTrue="1" operator="greaterThan">
      <formula>$D$67*0.1</formula>
    </cfRule>
  </conditionalFormatting>
  <conditionalFormatting sqref="E65">
    <cfRule type="cellIs" dxfId="26" priority="14" stopIfTrue="1" operator="greaterThan">
      <formula>$E$67*0.1</formula>
    </cfRule>
  </conditionalFormatting>
  <conditionalFormatting sqref="E70">
    <cfRule type="cellIs" dxfId="25" priority="15" stopIfTrue="1" operator="greaterThan">
      <formula>$E$67/0.95-$E$67</formula>
    </cfRule>
  </conditionalFormatting>
  <conditionalFormatting sqref="E54">
    <cfRule type="cellIs" dxfId="24" priority="16" stopIfTrue="1" operator="greaterThan">
      <formula>$E$56*0.1+$E$74</formula>
    </cfRule>
  </conditionalFormatting>
  <conditionalFormatting sqref="C68 C32">
    <cfRule type="cellIs" dxfId="23" priority="17" stopIfTrue="1" operator="lessThan">
      <formula>0</formula>
    </cfRule>
  </conditionalFormatting>
  <conditionalFormatting sqref="D68 D32">
    <cfRule type="cellIs" dxfId="22" priority="2" stopIfTrue="1" operator="lessThan">
      <formula>0</formula>
    </cfRule>
  </conditionalFormatting>
  <conditionalFormatting sqref="D31">
    <cfRule type="cellIs" dxfId="21" priority="41" stopIfTrue="1" operator="greaterThan">
      <formula>$D$33</formula>
    </cfRule>
  </conditionalFormatting>
  <conditionalFormatting sqref="C31">
    <cfRule type="cellIs" dxfId="20" priority="60" stopIfTrue="1" operator="greaterThan">
      <formula>$C$33</formula>
    </cfRule>
  </conditionalFormatting>
  <conditionalFormatting sqref="D67">
    <cfRule type="cellIs" dxfId="19" priority="78" stopIfTrue="1" operator="greaterThan">
      <formula>$D$69</formula>
    </cfRule>
  </conditionalFormatting>
  <conditionalFormatting sqref="C67">
    <cfRule type="cellIs" dxfId="18" priority="95" stopIfTrue="1" operator="greaterThan">
      <formula>$C$69</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1"/>
  <sheetViews>
    <sheetView workbookViewId="0">
      <selection activeCell="C71" sqref="C71"/>
    </sheetView>
  </sheetViews>
  <sheetFormatPr defaultColWidth="27.77734375" defaultRowHeight="15.75"/>
  <cols>
    <col min="1" max="1" width="2.44140625" style="142" customWidth="1"/>
    <col min="2" max="2" width="31.109375" style="142" customWidth="1"/>
    <col min="3" max="5" width="15.77734375" style="142" customWidth="1"/>
    <col min="6" max="16384" width="27.77734375" style="142"/>
  </cols>
  <sheetData>
    <row r="1" spans="2:6">
      <c r="B1" s="100" t="str">
        <f>inputPrYr!D3</f>
        <v>Tauy Watershed</v>
      </c>
      <c r="C1" s="174"/>
      <c r="D1" s="100"/>
      <c r="E1" s="276"/>
    </row>
    <row r="2" spans="2:6">
      <c r="B2" s="100" t="str">
        <f>inputPrYr!D4</f>
        <v>Franklin County</v>
      </c>
      <c r="C2" s="174"/>
      <c r="D2" s="100"/>
      <c r="E2" s="178"/>
    </row>
    <row r="3" spans="2:6">
      <c r="B3" s="111"/>
      <c r="C3" s="174"/>
      <c r="D3" s="174"/>
      <c r="E3" s="318"/>
      <c r="F3" s="142">
        <f>inputPrYr!D11</f>
        <v>2013</v>
      </c>
    </row>
    <row r="4" spans="2:6">
      <c r="B4" s="111" t="s">
        <v>74</v>
      </c>
      <c r="C4" s="177"/>
      <c r="D4" s="177"/>
      <c r="E4" s="177"/>
    </row>
    <row r="5" spans="2:6">
      <c r="B5" s="99" t="s">
        <v>26</v>
      </c>
      <c r="C5" s="346" t="s">
        <v>262</v>
      </c>
      <c r="D5" s="319" t="s">
        <v>263</v>
      </c>
      <c r="E5" s="319" t="s">
        <v>265</v>
      </c>
    </row>
    <row r="6" spans="2:6">
      <c r="B6" s="449">
        <f>inputPrYr!B31</f>
        <v>0</v>
      </c>
      <c r="C6" s="264" t="str">
        <f>CONCATENATE("Actual ",F3-2,"")</f>
        <v>Actual 2011</v>
      </c>
      <c r="D6" s="264" t="str">
        <f>CONCATENATE("Estimate ",F3-1,"")</f>
        <v>Estimate 2012</v>
      </c>
      <c r="E6" s="264" t="str">
        <f>CONCATENATE("Year ",F3,"")</f>
        <v>Year 2013</v>
      </c>
    </row>
    <row r="7" spans="2:6">
      <c r="B7" s="216" t="s">
        <v>117</v>
      </c>
      <c r="C7" s="122"/>
      <c r="D7" s="157">
        <f>C32</f>
        <v>0</v>
      </c>
      <c r="E7" s="157">
        <f>D32</f>
        <v>0</v>
      </c>
    </row>
    <row r="8" spans="2:6">
      <c r="B8" s="235" t="s">
        <v>119</v>
      </c>
      <c r="C8" s="134"/>
      <c r="D8" s="134"/>
      <c r="E8" s="134"/>
    </row>
    <row r="9" spans="2:6">
      <c r="B9" s="321"/>
      <c r="C9" s="293"/>
      <c r="D9" s="293"/>
      <c r="E9" s="293"/>
    </row>
    <row r="10" spans="2:6">
      <c r="B10" s="321"/>
      <c r="C10" s="293"/>
      <c r="D10" s="293"/>
      <c r="E10" s="293"/>
    </row>
    <row r="11" spans="2:6">
      <c r="B11" s="321"/>
      <c r="C11" s="293"/>
      <c r="D11" s="293"/>
      <c r="E11" s="293"/>
    </row>
    <row r="12" spans="2:6">
      <c r="B12" s="321"/>
      <c r="C12" s="293"/>
      <c r="D12" s="293"/>
      <c r="E12" s="293"/>
    </row>
    <row r="13" spans="2:6">
      <c r="B13" s="321"/>
      <c r="C13" s="293"/>
      <c r="D13" s="293"/>
      <c r="E13" s="293"/>
    </row>
    <row r="14" spans="2:6">
      <c r="B14" s="321"/>
      <c r="C14" s="293"/>
      <c r="D14" s="293"/>
      <c r="E14" s="293"/>
    </row>
    <row r="15" spans="2:6">
      <c r="B15" s="321"/>
      <c r="C15" s="293"/>
      <c r="D15" s="293"/>
      <c r="E15" s="293"/>
    </row>
    <row r="16" spans="2:6">
      <c r="B16" s="322" t="s">
        <v>31</v>
      </c>
      <c r="C16" s="293"/>
      <c r="D16" s="293"/>
      <c r="E16" s="293"/>
    </row>
    <row r="17" spans="2:5">
      <c r="B17" s="323" t="s">
        <v>223</v>
      </c>
      <c r="C17" s="293"/>
      <c r="D17" s="324"/>
      <c r="E17" s="324"/>
    </row>
    <row r="18" spans="2:5">
      <c r="B18" s="323" t="s">
        <v>581</v>
      </c>
      <c r="C18" s="450" t="str">
        <f>IF(C19*0.1&lt;C17,"Exceed 10% Rule","")</f>
        <v/>
      </c>
      <c r="D18" s="325" t="str">
        <f>IF(D19*0.1&lt;D17,"Exceed 10% Rule","")</f>
        <v/>
      </c>
      <c r="E18" s="325" t="str">
        <f>IF(E19*0.1&lt;E17,"Exceed 10% Rule","")</f>
        <v/>
      </c>
    </row>
    <row r="19" spans="2:5">
      <c r="B19" s="326" t="s">
        <v>32</v>
      </c>
      <c r="C19" s="327">
        <f>SUM(C9:C17)</f>
        <v>0</v>
      </c>
      <c r="D19" s="327">
        <f>SUM(D9:D17)</f>
        <v>0</v>
      </c>
      <c r="E19" s="327">
        <f>SUM(E9:E17)</f>
        <v>0</v>
      </c>
    </row>
    <row r="20" spans="2:5">
      <c r="B20" s="326" t="s">
        <v>33</v>
      </c>
      <c r="C20" s="327">
        <f>C19+C7</f>
        <v>0</v>
      </c>
      <c r="D20" s="327">
        <f>D19+D7</f>
        <v>0</v>
      </c>
      <c r="E20" s="327">
        <f>E19+E7</f>
        <v>0</v>
      </c>
    </row>
    <row r="21" spans="2:5">
      <c r="B21" s="216" t="s">
        <v>34</v>
      </c>
      <c r="C21" s="134"/>
      <c r="D21" s="134"/>
      <c r="E21" s="134"/>
    </row>
    <row r="22" spans="2:5">
      <c r="B22" s="321"/>
      <c r="C22" s="293"/>
      <c r="D22" s="293"/>
      <c r="E22" s="293"/>
    </row>
    <row r="23" spans="2:5">
      <c r="B23" s="321"/>
      <c r="C23" s="293"/>
      <c r="D23" s="293"/>
      <c r="E23" s="293"/>
    </row>
    <row r="24" spans="2:5">
      <c r="B24" s="321"/>
      <c r="C24" s="293"/>
      <c r="D24" s="293"/>
      <c r="E24" s="293"/>
    </row>
    <row r="25" spans="2:5">
      <c r="B25" s="321"/>
      <c r="C25" s="293"/>
      <c r="D25" s="293"/>
      <c r="E25" s="293"/>
    </row>
    <row r="26" spans="2:5">
      <c r="B26" s="321"/>
      <c r="C26" s="293"/>
      <c r="D26" s="293"/>
      <c r="E26" s="293"/>
    </row>
    <row r="27" spans="2:5">
      <c r="B27" s="321"/>
      <c r="C27" s="293"/>
      <c r="D27" s="293"/>
      <c r="E27" s="293"/>
    </row>
    <row r="28" spans="2:5">
      <c r="B28" s="321"/>
      <c r="C28" s="293"/>
      <c r="D28" s="293"/>
      <c r="E28" s="293"/>
    </row>
    <row r="29" spans="2:5">
      <c r="B29" s="220" t="s">
        <v>223</v>
      </c>
      <c r="C29" s="293"/>
      <c r="D29" s="324"/>
      <c r="E29" s="324"/>
    </row>
    <row r="30" spans="2:5">
      <c r="B30" s="220" t="s">
        <v>582</v>
      </c>
      <c r="C30" s="450" t="str">
        <f>IF(C31*0.1&lt;C29,"Exceed 10% Rule","")</f>
        <v/>
      </c>
      <c r="D30" s="325" t="str">
        <f>IF(D31*0.1&lt;D29,"Exceed 10% Rule","")</f>
        <v/>
      </c>
      <c r="E30" s="325" t="str">
        <f>IF(E31*0.1&lt;E29,"Exceed 10% Rule","")</f>
        <v/>
      </c>
    </row>
    <row r="31" spans="2:5">
      <c r="B31" s="326" t="s">
        <v>35</v>
      </c>
      <c r="C31" s="327">
        <f>SUM(C22:C29)</f>
        <v>0</v>
      </c>
      <c r="D31" s="327">
        <f>SUM(D22:D29)</f>
        <v>0</v>
      </c>
      <c r="E31" s="327">
        <f>SUM(E22:E29)</f>
        <v>0</v>
      </c>
    </row>
    <row r="32" spans="2:5">
      <c r="B32" s="216" t="s">
        <v>118</v>
      </c>
      <c r="C32" s="160">
        <f>C20-C31</f>
        <v>0</v>
      </c>
      <c r="D32" s="160">
        <f>D20-D31</f>
        <v>0</v>
      </c>
      <c r="E32" s="160">
        <f>E20-E31</f>
        <v>0</v>
      </c>
    </row>
    <row r="33" spans="2:5">
      <c r="B33" s="178" t="str">
        <f>CONCATENATE("",F3-2,"/",F3-1," Budget Authority Amount:")</f>
        <v>2011/2012 Budget Authority Amount:</v>
      </c>
      <c r="C33" s="190">
        <f>inputOth!B113</f>
        <v>0</v>
      </c>
      <c r="D33" s="190">
        <f>inputPrYr!D31</f>
        <v>0</v>
      </c>
      <c r="E33" s="455" t="str">
        <f>IF(E32&lt;0,"See Tab E","")</f>
        <v/>
      </c>
    </row>
    <row r="34" spans="2:5">
      <c r="B34" s="178"/>
      <c r="C34" s="329" t="str">
        <f>IF(C31&gt;C33,"See Tab A","")</f>
        <v/>
      </c>
      <c r="D34" s="329" t="str">
        <f>IF(D31&gt;D33,"See Tab C","")</f>
        <v/>
      </c>
      <c r="E34" s="124"/>
    </row>
    <row r="35" spans="2:5">
      <c r="B35" s="178"/>
      <c r="C35" s="329" t="str">
        <f>IF(C32&lt;0,"See Tab B","")</f>
        <v/>
      </c>
      <c r="D35" s="329" t="str">
        <f>IF(D32&lt;0,"See Tab D","")</f>
        <v/>
      </c>
      <c r="E35" s="124"/>
    </row>
    <row r="36" spans="2:5">
      <c r="B36" s="140"/>
      <c r="C36" s="180"/>
      <c r="D36" s="180"/>
      <c r="E36" s="180"/>
    </row>
    <row r="37" spans="2:5">
      <c r="B37" s="140"/>
      <c r="C37" s="180"/>
      <c r="D37" s="180"/>
      <c r="E37" s="180"/>
    </row>
    <row r="38" spans="2:5">
      <c r="B38" s="140"/>
      <c r="C38" s="176"/>
      <c r="D38" s="176"/>
      <c r="E38" s="176"/>
    </row>
    <row r="39" spans="2:5">
      <c r="B39" s="173" t="s">
        <v>26</v>
      </c>
      <c r="C39" s="346" t="s">
        <v>261</v>
      </c>
      <c r="D39" s="319" t="s">
        <v>263</v>
      </c>
      <c r="E39" s="319" t="s">
        <v>264</v>
      </c>
    </row>
    <row r="40" spans="2:5">
      <c r="B40" s="449">
        <f>inputPrYr!B32</f>
        <v>0</v>
      </c>
      <c r="C40" s="264" t="str">
        <f>C6</f>
        <v>Actual 2011</v>
      </c>
      <c r="D40" s="264" t="str">
        <f>D6</f>
        <v>Estimate 2012</v>
      </c>
      <c r="E40" s="264" t="str">
        <f>E6</f>
        <v>Year 2013</v>
      </c>
    </row>
    <row r="41" spans="2:5">
      <c r="B41" s="216" t="s">
        <v>117</v>
      </c>
      <c r="C41" s="122"/>
      <c r="D41" s="157">
        <f>C66</f>
        <v>0</v>
      </c>
      <c r="E41" s="157">
        <f>D66</f>
        <v>0</v>
      </c>
    </row>
    <row r="42" spans="2:5">
      <c r="B42" s="235" t="s">
        <v>119</v>
      </c>
      <c r="C42" s="134"/>
      <c r="D42" s="134"/>
      <c r="E42" s="134"/>
    </row>
    <row r="43" spans="2:5">
      <c r="B43" s="321"/>
      <c r="C43" s="293"/>
      <c r="D43" s="293"/>
      <c r="E43" s="293"/>
    </row>
    <row r="44" spans="2:5">
      <c r="B44" s="321"/>
      <c r="C44" s="293"/>
      <c r="D44" s="293"/>
      <c r="E44" s="293"/>
    </row>
    <row r="45" spans="2:5">
      <c r="B45" s="321"/>
      <c r="C45" s="293"/>
      <c r="D45" s="293"/>
      <c r="E45" s="293"/>
    </row>
    <row r="46" spans="2:5">
      <c r="B46" s="321"/>
      <c r="C46" s="293"/>
      <c r="D46" s="293"/>
      <c r="E46" s="293"/>
    </row>
    <row r="47" spans="2:5">
      <c r="B47" s="321"/>
      <c r="C47" s="293"/>
      <c r="D47" s="293"/>
      <c r="E47" s="293"/>
    </row>
    <row r="48" spans="2:5">
      <c r="B48" s="321"/>
      <c r="C48" s="293"/>
      <c r="D48" s="293"/>
      <c r="E48" s="293"/>
    </row>
    <row r="49" spans="2:5">
      <c r="B49" s="321"/>
      <c r="C49" s="293"/>
      <c r="D49" s="293"/>
      <c r="E49" s="293"/>
    </row>
    <row r="50" spans="2:5">
      <c r="B50" s="322" t="s">
        <v>31</v>
      </c>
      <c r="C50" s="293"/>
      <c r="D50" s="293"/>
      <c r="E50" s="293"/>
    </row>
    <row r="51" spans="2:5">
      <c r="B51" s="323" t="s">
        <v>223</v>
      </c>
      <c r="C51" s="293"/>
      <c r="D51" s="324"/>
      <c r="E51" s="324"/>
    </row>
    <row r="52" spans="2:5">
      <c r="B52" s="323" t="s">
        <v>581</v>
      </c>
      <c r="C52" s="450" t="str">
        <f>IF(C53*0.1&lt;C51,"Exceed 10% Rule","")</f>
        <v/>
      </c>
      <c r="D52" s="325" t="str">
        <f>IF(D53*0.1&lt;D51,"Exceed 10% Rule","")</f>
        <v/>
      </c>
      <c r="E52" s="325" t="str">
        <f>IF(E53*0.1&lt;E51,"Exceed 10% Rule","")</f>
        <v/>
      </c>
    </row>
    <row r="53" spans="2:5">
      <c r="B53" s="326" t="s">
        <v>32</v>
      </c>
      <c r="C53" s="327">
        <f>SUM(C43:C51)</f>
        <v>0</v>
      </c>
      <c r="D53" s="327">
        <f>SUM(D43:D51)</f>
        <v>0</v>
      </c>
      <c r="E53" s="327">
        <f>SUM(E43:E51)</f>
        <v>0</v>
      </c>
    </row>
    <row r="54" spans="2:5">
      <c r="B54" s="326" t="s">
        <v>33</v>
      </c>
      <c r="C54" s="327">
        <f>C53+C41</f>
        <v>0</v>
      </c>
      <c r="D54" s="327">
        <f>D53+D41</f>
        <v>0</v>
      </c>
      <c r="E54" s="327">
        <f>E53+E41</f>
        <v>0</v>
      </c>
    </row>
    <row r="55" spans="2:5">
      <c r="B55" s="216" t="s">
        <v>34</v>
      </c>
      <c r="C55" s="134"/>
      <c r="D55" s="134"/>
      <c r="E55" s="134"/>
    </row>
    <row r="56" spans="2:5">
      <c r="B56" s="321"/>
      <c r="C56" s="293"/>
      <c r="D56" s="293"/>
      <c r="E56" s="293"/>
    </row>
    <row r="57" spans="2:5">
      <c r="B57" s="321"/>
      <c r="C57" s="293"/>
      <c r="D57" s="293"/>
      <c r="E57" s="293"/>
    </row>
    <row r="58" spans="2:5">
      <c r="B58" s="321"/>
      <c r="C58" s="293"/>
      <c r="D58" s="293"/>
      <c r="E58" s="293"/>
    </row>
    <row r="59" spans="2:5">
      <c r="B59" s="321"/>
      <c r="C59" s="293"/>
      <c r="D59" s="293"/>
      <c r="E59" s="293"/>
    </row>
    <row r="60" spans="2:5">
      <c r="B60" s="321"/>
      <c r="C60" s="293"/>
      <c r="D60" s="293"/>
      <c r="E60" s="293"/>
    </row>
    <row r="61" spans="2:5">
      <c r="B61" s="321"/>
      <c r="C61" s="293"/>
      <c r="D61" s="293"/>
      <c r="E61" s="293"/>
    </row>
    <row r="62" spans="2:5">
      <c r="B62" s="321"/>
      <c r="C62" s="293"/>
      <c r="D62" s="293"/>
      <c r="E62" s="293"/>
    </row>
    <row r="63" spans="2:5">
      <c r="B63" s="220" t="s">
        <v>223</v>
      </c>
      <c r="C63" s="293"/>
      <c r="D63" s="324"/>
      <c r="E63" s="324"/>
    </row>
    <row r="64" spans="2:5">
      <c r="B64" s="220" t="s">
        <v>582</v>
      </c>
      <c r="C64" s="450" t="str">
        <f>IF(C65*0.1&lt;C63,"Exceed 10% Rule","")</f>
        <v/>
      </c>
      <c r="D64" s="325" t="str">
        <f>IF(D65*0.1&lt;D63,"Exceed 10% Rule","")</f>
        <v/>
      </c>
      <c r="E64" s="325" t="str">
        <f>IF(E65*0.1&lt;E63,"Exceed 10% Rule","")</f>
        <v/>
      </c>
    </row>
    <row r="65" spans="2:5">
      <c r="B65" s="326" t="s">
        <v>35</v>
      </c>
      <c r="C65" s="327">
        <f>SUM(C56:C63)</f>
        <v>0</v>
      </c>
      <c r="D65" s="327">
        <f>SUM(D56:D63)</f>
        <v>0</v>
      </c>
      <c r="E65" s="327">
        <f>SUM(E56:E63)</f>
        <v>0</v>
      </c>
    </row>
    <row r="66" spans="2:5">
      <c r="B66" s="216" t="s">
        <v>118</v>
      </c>
      <c r="C66" s="160">
        <f>C54-C65</f>
        <v>0</v>
      </c>
      <c r="D66" s="160">
        <f>D54-D65</f>
        <v>0</v>
      </c>
      <c r="E66" s="160">
        <f>E54-E65</f>
        <v>0</v>
      </c>
    </row>
    <row r="67" spans="2:5">
      <c r="B67" s="178" t="str">
        <f>CONCATENATE("",F3-2,"/",F3-1," Budget Authority Amount:")</f>
        <v>2011/2012 Budget Authority Amount:</v>
      </c>
      <c r="C67" s="190">
        <f>inputOth!B114</f>
        <v>0</v>
      </c>
      <c r="D67" s="190">
        <f>inputPrYr!D32</f>
        <v>0</v>
      </c>
      <c r="E67" s="455" t="str">
        <f>IF(E66&lt;0,"See Tab E","")</f>
        <v/>
      </c>
    </row>
    <row r="68" spans="2:5">
      <c r="B68" s="178"/>
      <c r="C68" s="329" t="str">
        <f>IF(C65&gt;C67,"See Tab A","")</f>
        <v/>
      </c>
      <c r="D68" s="329" t="str">
        <f>IF(D65&gt;D67,"See Tab C","")</f>
        <v/>
      </c>
      <c r="E68" s="100"/>
    </row>
    <row r="69" spans="2:5">
      <c r="B69" s="178"/>
      <c r="C69" s="329" t="str">
        <f>IF(C66&lt;0,"See Tab B","")</f>
        <v/>
      </c>
      <c r="D69" s="329" t="str">
        <f>IF(D66&lt;0,"See Tab D","")</f>
        <v/>
      </c>
      <c r="E69" s="100"/>
    </row>
    <row r="70" spans="2:5">
      <c r="B70" s="100"/>
      <c r="C70" s="100"/>
      <c r="D70" s="174"/>
      <c r="E70" s="174"/>
    </row>
    <row r="71" spans="2:5">
      <c r="B71" s="178" t="s">
        <v>37</v>
      </c>
      <c r="C71" s="201"/>
      <c r="D71" s="100"/>
      <c r="E71" s="100"/>
    </row>
  </sheetData>
  <sheetProtection sheet="1"/>
  <phoneticPr fontId="0" type="noConversion"/>
  <conditionalFormatting sqref="C29">
    <cfRule type="cellIs" dxfId="17" priority="3" stopIfTrue="1" operator="greaterThan">
      <formula>$C$31*0.1</formula>
    </cfRule>
  </conditionalFormatting>
  <conditionalFormatting sqref="D29">
    <cfRule type="cellIs" dxfId="16" priority="4" stopIfTrue="1" operator="greaterThan">
      <formula>$D$31*0.1</formula>
    </cfRule>
  </conditionalFormatting>
  <conditionalFormatting sqref="E29">
    <cfRule type="cellIs" dxfId="15" priority="5" stopIfTrue="1" operator="greaterThan">
      <formula>$E$31*0.1</formula>
    </cfRule>
  </conditionalFormatting>
  <conditionalFormatting sqref="C63">
    <cfRule type="cellIs" dxfId="14" priority="6" stopIfTrue="1" operator="greaterThan">
      <formula>$C$65*0.1</formula>
    </cfRule>
  </conditionalFormatting>
  <conditionalFormatting sqref="D63">
    <cfRule type="cellIs" dxfId="13" priority="7" stopIfTrue="1" operator="greaterThan">
      <formula>$D$65*0.1</formula>
    </cfRule>
  </conditionalFormatting>
  <conditionalFormatting sqref="E63">
    <cfRule type="cellIs" dxfId="12" priority="8" stopIfTrue="1" operator="greaterThan">
      <formula>$E$65*0.1</formula>
    </cfRule>
  </conditionalFormatting>
  <conditionalFormatting sqref="C51">
    <cfRule type="cellIs" dxfId="11" priority="9" stopIfTrue="1" operator="greaterThan">
      <formula>$C$53*0.1</formula>
    </cfRule>
  </conditionalFormatting>
  <conditionalFormatting sqref="D51">
    <cfRule type="cellIs" dxfId="10" priority="10" stopIfTrue="1" operator="greaterThan">
      <formula>$D$53*0.1</formula>
    </cfRule>
  </conditionalFormatting>
  <conditionalFormatting sqref="E51">
    <cfRule type="cellIs" dxfId="9" priority="11" stopIfTrue="1" operator="greaterThan">
      <formula>$E$53*0.1</formula>
    </cfRule>
  </conditionalFormatting>
  <conditionalFormatting sqref="C17">
    <cfRule type="cellIs" dxfId="8" priority="12" stopIfTrue="1" operator="greaterThan">
      <formula>$C$19*0.1</formula>
    </cfRule>
  </conditionalFormatting>
  <conditionalFormatting sqref="D17">
    <cfRule type="cellIs" dxfId="7" priority="13" stopIfTrue="1" operator="greaterThan">
      <formula>$D$19*0.1</formula>
    </cfRule>
  </conditionalFormatting>
  <conditionalFormatting sqref="E17">
    <cfRule type="cellIs" dxfId="6" priority="14" stopIfTrue="1" operator="greaterThan">
      <formula>$E$19*0.1</formula>
    </cfRule>
  </conditionalFormatting>
  <conditionalFormatting sqref="E66 C66 E32 C32">
    <cfRule type="cellIs" dxfId="5" priority="15" stopIfTrue="1" operator="lessThan">
      <formula>0</formula>
    </cfRule>
  </conditionalFormatting>
  <conditionalFormatting sqref="C65">
    <cfRule type="cellIs" dxfId="4" priority="16" stopIfTrue="1" operator="greaterThan">
      <formula>$C$67</formula>
    </cfRule>
  </conditionalFormatting>
  <conditionalFormatting sqref="D65">
    <cfRule type="cellIs" dxfId="3" priority="17" stopIfTrue="1" operator="greaterThan">
      <formula>$D$67</formula>
    </cfRule>
  </conditionalFormatting>
  <conditionalFormatting sqref="C31">
    <cfRule type="cellIs" dxfId="2" priority="18" stopIfTrue="1" operator="greaterThan">
      <formula>$C$33</formula>
    </cfRule>
  </conditionalFormatting>
  <conditionalFormatting sqref="D31">
    <cfRule type="cellIs" dxfId="1" priority="19" stopIfTrue="1" operator="greaterThan">
      <formula>$D$33</formula>
    </cfRule>
  </conditionalFormatting>
  <conditionalFormatting sqref="D32 D66">
    <cfRule type="cellIs" dxfId="0" priority="2" stopIfTrue="1" operator="lessThan">
      <formula>0</formula>
    </cfRule>
  </conditionalFormatting>
  <pageMargins left="1" right="1" top="0.5" bottom="0.5" header="0.5" footer="0.5"/>
  <pageSetup scale="63"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1.5546875" style="142" customWidth="1"/>
    <col min="2" max="2" width="7.44140625" style="142" customWidth="1"/>
    <col min="3" max="3" width="11.5546875" style="142" customWidth="1"/>
    <col min="4" max="4" width="7.44140625" style="142" customWidth="1"/>
    <col min="5" max="5" width="11.5546875" style="142" customWidth="1"/>
    <col min="6" max="6" width="7.44140625" style="142" customWidth="1"/>
    <col min="7" max="7" width="11.5546875" style="142" customWidth="1"/>
    <col min="8" max="8" width="7.44140625" style="142" customWidth="1"/>
    <col min="9" max="9" width="11.5546875" style="142" customWidth="1"/>
    <col min="10" max="16384" width="8.88671875" style="142"/>
  </cols>
  <sheetData>
    <row r="1" spans="1:11">
      <c r="A1" s="259" t="str">
        <f>inputPrYr!$D$3</f>
        <v>Tauy Watershed</v>
      </c>
      <c r="B1" s="347"/>
      <c r="C1" s="175"/>
      <c r="D1" s="175"/>
      <c r="E1" s="175"/>
      <c r="F1" s="348" t="s">
        <v>266</v>
      </c>
      <c r="G1" s="175"/>
      <c r="H1" s="175"/>
      <c r="I1" s="175"/>
      <c r="J1" s="175"/>
      <c r="K1" s="175">
        <f>inputPrYr!$D$11</f>
        <v>2013</v>
      </c>
    </row>
    <row r="2" spans="1:11">
      <c r="A2" s="175"/>
      <c r="B2" s="175"/>
      <c r="C2" s="175"/>
      <c r="D2" s="175"/>
      <c r="E2" s="175"/>
      <c r="F2" s="349" t="str">
        <f>CONCATENATE("(Only the actual budget year for ",K1-2," is to be shown)")</f>
        <v>(Only the actual budget year for 2011 is to be shown)</v>
      </c>
      <c r="G2" s="175"/>
      <c r="H2" s="175"/>
      <c r="I2" s="175"/>
      <c r="J2" s="175"/>
      <c r="K2" s="175"/>
    </row>
    <row r="3" spans="1:11">
      <c r="A3" s="175" t="s">
        <v>267</v>
      </c>
      <c r="B3" s="175"/>
      <c r="C3" s="175"/>
      <c r="D3" s="175"/>
      <c r="E3" s="175"/>
      <c r="F3" s="347"/>
      <c r="G3" s="175"/>
      <c r="H3" s="175"/>
      <c r="I3" s="175"/>
      <c r="J3" s="175"/>
      <c r="K3" s="175"/>
    </row>
    <row r="4" spans="1:11">
      <c r="A4" s="175" t="s">
        <v>268</v>
      </c>
      <c r="B4" s="175"/>
      <c r="C4" s="175" t="s">
        <v>269</v>
      </c>
      <c r="D4" s="175"/>
      <c r="E4" s="175" t="s">
        <v>270</v>
      </c>
      <c r="F4" s="347"/>
      <c r="G4" s="175" t="s">
        <v>271</v>
      </c>
      <c r="H4" s="175"/>
      <c r="I4" s="175" t="s">
        <v>272</v>
      </c>
      <c r="J4" s="175"/>
      <c r="K4" s="175"/>
    </row>
    <row r="5" spans="1:11">
      <c r="A5" s="663">
        <f>inputPrYr!B35</f>
        <v>0</v>
      </c>
      <c r="B5" s="664"/>
      <c r="C5" s="663">
        <f>inputPrYr!B36</f>
        <v>0</v>
      </c>
      <c r="D5" s="664"/>
      <c r="E5" s="663">
        <f>inputPrYr!B37</f>
        <v>0</v>
      </c>
      <c r="F5" s="664"/>
      <c r="G5" s="663">
        <f>inputPrYr!B38</f>
        <v>0</v>
      </c>
      <c r="H5" s="664"/>
      <c r="I5" s="663">
        <f>inputPrYr!B39</f>
        <v>0</v>
      </c>
      <c r="J5" s="664"/>
      <c r="K5" s="351"/>
    </row>
    <row r="6" spans="1:11">
      <c r="A6" s="352" t="s">
        <v>273</v>
      </c>
      <c r="B6" s="353"/>
      <c r="C6" s="354" t="s">
        <v>273</v>
      </c>
      <c r="D6" s="355"/>
      <c r="E6" s="354" t="s">
        <v>273</v>
      </c>
      <c r="F6" s="356"/>
      <c r="G6" s="354" t="s">
        <v>273</v>
      </c>
      <c r="H6" s="350"/>
      <c r="I6" s="354" t="s">
        <v>273</v>
      </c>
      <c r="J6" s="175"/>
      <c r="K6" s="357" t="s">
        <v>8</v>
      </c>
    </row>
    <row r="7" spans="1:11">
      <c r="A7" s="358" t="s">
        <v>274</v>
      </c>
      <c r="B7" s="359"/>
      <c r="C7" s="360" t="s">
        <v>274</v>
      </c>
      <c r="D7" s="359"/>
      <c r="E7" s="360" t="s">
        <v>274</v>
      </c>
      <c r="F7" s="359"/>
      <c r="G7" s="360" t="s">
        <v>274</v>
      </c>
      <c r="H7" s="359"/>
      <c r="I7" s="360" t="s">
        <v>274</v>
      </c>
      <c r="J7" s="359"/>
      <c r="K7" s="361">
        <f>SUM(B7+D7+F7+H7+J7)</f>
        <v>0</v>
      </c>
    </row>
    <row r="8" spans="1:11">
      <c r="A8" s="362" t="s">
        <v>119</v>
      </c>
      <c r="B8" s="363"/>
      <c r="C8" s="362" t="s">
        <v>119</v>
      </c>
      <c r="D8" s="364"/>
      <c r="E8" s="362" t="s">
        <v>119</v>
      </c>
      <c r="F8" s="347"/>
      <c r="G8" s="362" t="s">
        <v>119</v>
      </c>
      <c r="H8" s="175"/>
      <c r="I8" s="362" t="s">
        <v>119</v>
      </c>
      <c r="J8" s="175"/>
      <c r="K8" s="347"/>
    </row>
    <row r="9" spans="1:11">
      <c r="A9" s="365"/>
      <c r="B9" s="359"/>
      <c r="C9" s="365"/>
      <c r="D9" s="359"/>
      <c r="E9" s="365"/>
      <c r="F9" s="359"/>
      <c r="G9" s="365"/>
      <c r="H9" s="359"/>
      <c r="I9" s="365"/>
      <c r="J9" s="359"/>
      <c r="K9" s="347"/>
    </row>
    <row r="10" spans="1:11">
      <c r="A10" s="365"/>
      <c r="B10" s="359"/>
      <c r="C10" s="365"/>
      <c r="D10" s="359"/>
      <c r="E10" s="365"/>
      <c r="F10" s="359"/>
      <c r="G10" s="365"/>
      <c r="H10" s="359"/>
      <c r="I10" s="365"/>
      <c r="J10" s="359"/>
      <c r="K10" s="347"/>
    </row>
    <row r="11" spans="1:11">
      <c r="A11" s="365"/>
      <c r="B11" s="359"/>
      <c r="C11" s="366"/>
      <c r="D11" s="367"/>
      <c r="E11" s="366"/>
      <c r="F11" s="359"/>
      <c r="G11" s="366"/>
      <c r="H11" s="359"/>
      <c r="I11" s="368"/>
      <c r="J11" s="359"/>
      <c r="K11" s="347"/>
    </row>
    <row r="12" spans="1:11">
      <c r="A12" s="365"/>
      <c r="B12" s="369"/>
      <c r="C12" s="365"/>
      <c r="D12" s="370"/>
      <c r="E12" s="371"/>
      <c r="F12" s="359"/>
      <c r="G12" s="371"/>
      <c r="H12" s="359"/>
      <c r="I12" s="371"/>
      <c r="J12" s="359"/>
      <c r="K12" s="347"/>
    </row>
    <row r="13" spans="1:11">
      <c r="A13" s="372"/>
      <c r="B13" s="373"/>
      <c r="C13" s="374"/>
      <c r="D13" s="370"/>
      <c r="E13" s="374"/>
      <c r="F13" s="359"/>
      <c r="G13" s="374"/>
      <c r="H13" s="359"/>
      <c r="I13" s="368"/>
      <c r="J13" s="359"/>
      <c r="K13" s="347"/>
    </row>
    <row r="14" spans="1:11">
      <c r="A14" s="365"/>
      <c r="B14" s="359"/>
      <c r="C14" s="371"/>
      <c r="D14" s="370"/>
      <c r="E14" s="371"/>
      <c r="F14" s="359"/>
      <c r="G14" s="371"/>
      <c r="H14" s="359"/>
      <c r="I14" s="371"/>
      <c r="J14" s="359"/>
      <c r="K14" s="347"/>
    </row>
    <row r="15" spans="1:11">
      <c r="A15" s="365"/>
      <c r="B15" s="359"/>
      <c r="C15" s="371"/>
      <c r="D15" s="370"/>
      <c r="E15" s="371"/>
      <c r="F15" s="359"/>
      <c r="G15" s="371"/>
      <c r="H15" s="359"/>
      <c r="I15" s="371"/>
      <c r="J15" s="359"/>
      <c r="K15" s="347"/>
    </row>
    <row r="16" spans="1:11">
      <c r="A16" s="365"/>
      <c r="B16" s="373"/>
      <c r="C16" s="365"/>
      <c r="D16" s="370"/>
      <c r="E16" s="365"/>
      <c r="F16" s="359"/>
      <c r="G16" s="371"/>
      <c r="H16" s="359"/>
      <c r="I16" s="365"/>
      <c r="J16" s="359"/>
      <c r="K16" s="347"/>
    </row>
    <row r="17" spans="1:12">
      <c r="A17" s="362" t="s">
        <v>32</v>
      </c>
      <c r="B17" s="361">
        <f>SUM(B9:B16)</f>
        <v>0</v>
      </c>
      <c r="C17" s="362" t="s">
        <v>32</v>
      </c>
      <c r="D17" s="361">
        <f>SUM(D9:D16)</f>
        <v>0</v>
      </c>
      <c r="E17" s="362" t="s">
        <v>32</v>
      </c>
      <c r="F17" s="375">
        <f>SUM(F9:F16)</f>
        <v>0</v>
      </c>
      <c r="G17" s="362" t="s">
        <v>32</v>
      </c>
      <c r="H17" s="361">
        <f>SUM(H9:H16)</f>
        <v>0</v>
      </c>
      <c r="I17" s="362" t="s">
        <v>32</v>
      </c>
      <c r="J17" s="361">
        <f>SUM(J9:J16)</f>
        <v>0</v>
      </c>
      <c r="K17" s="361">
        <f>SUM(B17+D17+F17+H17+J17)</f>
        <v>0</v>
      </c>
    </row>
    <row r="18" spans="1:12">
      <c r="A18" s="362" t="s">
        <v>33</v>
      </c>
      <c r="B18" s="361">
        <f>SUM(B7+B17)</f>
        <v>0</v>
      </c>
      <c r="C18" s="362" t="s">
        <v>33</v>
      </c>
      <c r="D18" s="361">
        <f>SUM(D7+D17)</f>
        <v>0</v>
      </c>
      <c r="E18" s="362" t="s">
        <v>33</v>
      </c>
      <c r="F18" s="361">
        <f>SUM(F7+F17)</f>
        <v>0</v>
      </c>
      <c r="G18" s="362" t="s">
        <v>33</v>
      </c>
      <c r="H18" s="361">
        <f>SUM(H7+H17)</f>
        <v>0</v>
      </c>
      <c r="I18" s="362" t="s">
        <v>33</v>
      </c>
      <c r="J18" s="361">
        <f>SUM(J7+J17)</f>
        <v>0</v>
      </c>
      <c r="K18" s="361">
        <f>SUM(B18+D18+F18+H18+J18)</f>
        <v>0</v>
      </c>
    </row>
    <row r="19" spans="1:12">
      <c r="A19" s="362" t="s">
        <v>34</v>
      </c>
      <c r="B19" s="363"/>
      <c r="C19" s="362" t="s">
        <v>34</v>
      </c>
      <c r="D19" s="364"/>
      <c r="E19" s="362" t="s">
        <v>34</v>
      </c>
      <c r="F19" s="347"/>
      <c r="G19" s="362" t="s">
        <v>34</v>
      </c>
      <c r="H19" s="175"/>
      <c r="I19" s="362" t="s">
        <v>34</v>
      </c>
      <c r="J19" s="175"/>
      <c r="K19" s="347"/>
    </row>
    <row r="20" spans="1:12">
      <c r="A20" s="365"/>
      <c r="B20" s="359"/>
      <c r="C20" s="371"/>
      <c r="D20" s="359"/>
      <c r="E20" s="371"/>
      <c r="F20" s="359"/>
      <c r="G20" s="371"/>
      <c r="H20" s="359"/>
      <c r="I20" s="371"/>
      <c r="J20" s="359"/>
      <c r="K20" s="347"/>
    </row>
    <row r="21" spans="1:12">
      <c r="A21" s="365"/>
      <c r="B21" s="359"/>
      <c r="C21" s="371"/>
      <c r="D21" s="359"/>
      <c r="E21" s="371"/>
      <c r="F21" s="359"/>
      <c r="G21" s="371"/>
      <c r="H21" s="359"/>
      <c r="I21" s="371"/>
      <c r="J21" s="359"/>
      <c r="K21" s="347"/>
    </row>
    <row r="22" spans="1:12">
      <c r="A22" s="365"/>
      <c r="B22" s="359"/>
      <c r="C22" s="374"/>
      <c r="D22" s="359"/>
      <c r="E22" s="374"/>
      <c r="F22" s="359"/>
      <c r="G22" s="374"/>
      <c r="H22" s="359"/>
      <c r="I22" s="368"/>
      <c r="J22" s="359"/>
      <c r="K22" s="347"/>
    </row>
    <row r="23" spans="1:12">
      <c r="A23" s="365"/>
      <c r="B23" s="359"/>
      <c r="C23" s="371"/>
      <c r="D23" s="359"/>
      <c r="E23" s="371"/>
      <c r="F23" s="359"/>
      <c r="G23" s="371"/>
      <c r="H23" s="359"/>
      <c r="I23" s="371"/>
      <c r="J23" s="359"/>
      <c r="K23" s="347"/>
    </row>
    <row r="24" spans="1:12">
      <c r="A24" s="365"/>
      <c r="B24" s="359"/>
      <c r="C24" s="374"/>
      <c r="D24" s="359"/>
      <c r="E24" s="374"/>
      <c r="F24" s="359"/>
      <c r="G24" s="374"/>
      <c r="H24" s="359"/>
      <c r="I24" s="368"/>
      <c r="J24" s="359"/>
      <c r="K24" s="347"/>
    </row>
    <row r="25" spans="1:12">
      <c r="A25" s="365"/>
      <c r="B25" s="359"/>
      <c r="C25" s="371"/>
      <c r="D25" s="359"/>
      <c r="E25" s="371"/>
      <c r="F25" s="359"/>
      <c r="G25" s="371"/>
      <c r="H25" s="359"/>
      <c r="I25" s="371"/>
      <c r="J25" s="359"/>
      <c r="K25" s="347"/>
    </row>
    <row r="26" spans="1:12">
      <c r="A26" s="365"/>
      <c r="B26" s="359"/>
      <c r="C26" s="371"/>
      <c r="D26" s="359"/>
      <c r="E26" s="371"/>
      <c r="F26" s="359"/>
      <c r="G26" s="371"/>
      <c r="H26" s="359"/>
      <c r="I26" s="371"/>
      <c r="J26" s="359"/>
      <c r="K26" s="347"/>
    </row>
    <row r="27" spans="1:12">
      <c r="A27" s="365"/>
      <c r="B27" s="359"/>
      <c r="C27" s="365"/>
      <c r="D27" s="359"/>
      <c r="E27" s="365"/>
      <c r="F27" s="359"/>
      <c r="G27" s="371"/>
      <c r="H27" s="359"/>
      <c r="I27" s="371"/>
      <c r="J27" s="359"/>
      <c r="K27" s="347"/>
    </row>
    <row r="28" spans="1:12">
      <c r="A28" s="362" t="s">
        <v>35</v>
      </c>
      <c r="B28" s="361">
        <f>SUM(B20:B27)</f>
        <v>0</v>
      </c>
      <c r="C28" s="362" t="s">
        <v>35</v>
      </c>
      <c r="D28" s="361">
        <f>SUM(D20:D27)</f>
        <v>0</v>
      </c>
      <c r="E28" s="362" t="s">
        <v>35</v>
      </c>
      <c r="F28" s="375">
        <f>SUM(F20:F27)</f>
        <v>0</v>
      </c>
      <c r="G28" s="362" t="s">
        <v>35</v>
      </c>
      <c r="H28" s="375">
        <f>SUM(H20:H27)</f>
        <v>0</v>
      </c>
      <c r="I28" s="362" t="s">
        <v>35</v>
      </c>
      <c r="J28" s="361">
        <f>SUM(J20:J27)</f>
        <v>0</v>
      </c>
      <c r="K28" s="361">
        <f>SUM(B28+D28+F28+H28+J28)</f>
        <v>0</v>
      </c>
    </row>
    <row r="29" spans="1:12">
      <c r="A29" s="362" t="s">
        <v>275</v>
      </c>
      <c r="B29" s="361">
        <f>SUM(B18-B28)</f>
        <v>0</v>
      </c>
      <c r="C29" s="362" t="s">
        <v>275</v>
      </c>
      <c r="D29" s="361">
        <f>SUM(D18-D28)</f>
        <v>0</v>
      </c>
      <c r="E29" s="362" t="s">
        <v>275</v>
      </c>
      <c r="F29" s="361">
        <f>SUM(F18-F28)</f>
        <v>0</v>
      </c>
      <c r="G29" s="362" t="s">
        <v>275</v>
      </c>
      <c r="H29" s="361">
        <f>SUM(H18-H28)</f>
        <v>0</v>
      </c>
      <c r="I29" s="362" t="s">
        <v>275</v>
      </c>
      <c r="J29" s="361">
        <f>SUM(J18-J28)</f>
        <v>0</v>
      </c>
      <c r="K29" s="376">
        <f>SUM(B29+D29+F29+H29+J29)</f>
        <v>0</v>
      </c>
      <c r="L29" s="142" t="s">
        <v>276</v>
      </c>
    </row>
    <row r="30" spans="1:12">
      <c r="A30" s="362"/>
      <c r="B30" s="384" t="str">
        <f>IF(B29&lt;0,"See Tab B","")</f>
        <v/>
      </c>
      <c r="C30" s="362"/>
      <c r="D30" s="384" t="str">
        <f>IF(D29&lt;0,"See Tab B","")</f>
        <v/>
      </c>
      <c r="E30" s="362"/>
      <c r="F30" s="384" t="str">
        <f>IF(F29&lt;0,"See Tab B","")</f>
        <v/>
      </c>
      <c r="G30" s="175"/>
      <c r="H30" s="384" t="str">
        <f>IF(H29&lt;0,"See Tab B","")</f>
        <v/>
      </c>
      <c r="I30" s="175"/>
      <c r="J30" s="384" t="str">
        <f>IF(J29&lt;0,"See Tab B","")</f>
        <v/>
      </c>
      <c r="K30" s="376">
        <f>SUM(K7+K17-K28)</f>
        <v>0</v>
      </c>
      <c r="L30" s="142" t="s">
        <v>276</v>
      </c>
    </row>
    <row r="31" spans="1:12">
      <c r="A31" s="175"/>
      <c r="B31" s="377"/>
      <c r="C31" s="175"/>
      <c r="D31" s="347"/>
      <c r="E31" s="175"/>
      <c r="F31" s="175"/>
      <c r="G31" s="378" t="s">
        <v>277</v>
      </c>
      <c r="H31" s="378"/>
      <c r="I31" s="378"/>
      <c r="J31" s="378"/>
      <c r="K31" s="175"/>
    </row>
    <row r="32" spans="1:12">
      <c r="A32" s="175"/>
      <c r="B32" s="377"/>
      <c r="C32" s="175"/>
      <c r="D32" s="175"/>
      <c r="E32" s="175"/>
      <c r="F32" s="175"/>
      <c r="G32" s="175"/>
      <c r="H32" s="175"/>
      <c r="I32" s="175"/>
      <c r="J32" s="175"/>
      <c r="K32" s="175"/>
    </row>
    <row r="33" spans="1:11">
      <c r="A33" s="175"/>
      <c r="B33" s="377"/>
      <c r="C33" s="175"/>
      <c r="D33" s="175"/>
      <c r="E33" s="196" t="s">
        <v>37</v>
      </c>
      <c r="F33" s="201"/>
      <c r="G33" s="175"/>
      <c r="H33" s="175"/>
      <c r="I33" s="175"/>
      <c r="J33" s="175"/>
      <c r="K33" s="175"/>
    </row>
    <row r="34" spans="1:11">
      <c r="B34" s="379"/>
    </row>
    <row r="35" spans="1:11">
      <c r="B35" s="379"/>
    </row>
    <row r="36" spans="1:11">
      <c r="B36" s="379"/>
    </row>
    <row r="37" spans="1:11">
      <c r="B37" s="379"/>
    </row>
    <row r="38" spans="1:11">
      <c r="B38" s="379"/>
    </row>
    <row r="39" spans="1:11">
      <c r="B39" s="379"/>
    </row>
    <row r="40" spans="1:11">
      <c r="B40" s="379"/>
    </row>
    <row r="41" spans="1:11">
      <c r="B41" s="379"/>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181" customWidth="1"/>
    <col min="2" max="16384" width="8.88671875" style="181"/>
  </cols>
  <sheetData>
    <row r="1" spans="1:1" ht="18.75">
      <c r="A1" s="380" t="s">
        <v>298</v>
      </c>
    </row>
    <row r="2" spans="1:1" ht="15.75">
      <c r="A2" s="142"/>
    </row>
    <row r="3" spans="1:1" ht="15.75">
      <c r="A3" s="142"/>
    </row>
    <row r="4" spans="1:1" ht="56.25" customHeight="1">
      <c r="A4" s="381" t="s">
        <v>299</v>
      </c>
    </row>
    <row r="5" spans="1:1" ht="15.75">
      <c r="A5" s="382"/>
    </row>
    <row r="6" spans="1:1" ht="15.75">
      <c r="A6" s="142"/>
    </row>
    <row r="7" spans="1:1" ht="50.25" customHeight="1">
      <c r="A7" s="381" t="s">
        <v>300</v>
      </c>
    </row>
    <row r="8" spans="1:1" ht="15.75">
      <c r="A8" s="142"/>
    </row>
    <row r="9" spans="1:1" ht="15.75">
      <c r="A9" s="142"/>
    </row>
    <row r="10" spans="1:1" ht="52.5" customHeight="1">
      <c r="A10" s="381" t="s">
        <v>301</v>
      </c>
    </row>
    <row r="11" spans="1:1" ht="15.75">
      <c r="A11" s="142"/>
    </row>
    <row r="12" spans="1:1" ht="15.75">
      <c r="A12" s="142"/>
    </row>
    <row r="13" spans="1:1" ht="52.5" customHeight="1">
      <c r="A13" s="381" t="s">
        <v>302</v>
      </c>
    </row>
    <row r="14" spans="1:1" ht="15.75">
      <c r="A14" s="382"/>
    </row>
    <row r="15" spans="1:1" ht="15.75">
      <c r="A15" s="382"/>
    </row>
    <row r="16" spans="1:1" ht="51" customHeight="1">
      <c r="A16" s="456" t="s">
        <v>587</v>
      </c>
    </row>
    <row r="17" spans="1:1" ht="15.75">
      <c r="A17" s="382"/>
    </row>
    <row r="18" spans="1:1" ht="15.75">
      <c r="A18" s="382"/>
    </row>
    <row r="19" spans="1:1" ht="37.5" customHeight="1">
      <c r="A19" s="381" t="s">
        <v>303</v>
      </c>
    </row>
    <row r="20" spans="1:1" ht="15.75">
      <c r="A20" s="142"/>
    </row>
    <row r="21" spans="1:1" ht="15.75">
      <c r="A21" s="142"/>
    </row>
    <row r="22" spans="1:1" ht="47.25">
      <c r="A22" s="381" t="s">
        <v>304</v>
      </c>
    </row>
    <row r="23" spans="1:1" ht="15.75">
      <c r="A23" s="382"/>
    </row>
    <row r="24" spans="1:1" ht="15.75">
      <c r="A24" s="142"/>
    </row>
    <row r="25" spans="1:1" ht="67.5" customHeight="1">
      <c r="A25" s="381" t="s">
        <v>305</v>
      </c>
    </row>
    <row r="26" spans="1:1" ht="68.25" customHeight="1">
      <c r="A26" s="383" t="s">
        <v>306</v>
      </c>
    </row>
    <row r="27" spans="1:1" ht="15.75">
      <c r="A27" s="142"/>
    </row>
    <row r="28" spans="1:1" ht="15.75">
      <c r="A28" s="142"/>
    </row>
    <row r="29" spans="1:1" ht="51" customHeight="1">
      <c r="A29" s="458" t="s">
        <v>588</v>
      </c>
    </row>
    <row r="30" spans="1:1" ht="15.75">
      <c r="A30" s="142"/>
    </row>
    <row r="31" spans="1:1" ht="15.75">
      <c r="A31" s="382"/>
    </row>
    <row r="32" spans="1:1" ht="69" customHeight="1">
      <c r="A32" s="458" t="s">
        <v>589</v>
      </c>
    </row>
    <row r="33" spans="1:1" ht="15.75">
      <c r="A33" s="382"/>
    </row>
    <row r="34" spans="1:1" ht="15.75">
      <c r="A34" s="382"/>
    </row>
    <row r="35" spans="1:1" ht="52.5" customHeight="1">
      <c r="A35" s="458" t="s">
        <v>590</v>
      </c>
    </row>
    <row r="36" spans="1:1" ht="15.75">
      <c r="A36" s="382"/>
    </row>
    <row r="37" spans="1:1" ht="15.75">
      <c r="A37" s="382"/>
    </row>
    <row r="38" spans="1:1" ht="59.25" customHeight="1">
      <c r="A38" s="381" t="s">
        <v>307</v>
      </c>
    </row>
    <row r="39" spans="1:1" ht="15.75">
      <c r="A39" s="142"/>
    </row>
    <row r="40" spans="1:1" ht="15.75">
      <c r="A40" s="142"/>
    </row>
    <row r="41" spans="1:1" ht="53.25" customHeight="1">
      <c r="A41" s="381" t="s">
        <v>308</v>
      </c>
    </row>
    <row r="42" spans="1:1" ht="15.75">
      <c r="A42" s="382"/>
    </row>
    <row r="43" spans="1:1" ht="15.75">
      <c r="A43" s="382"/>
    </row>
    <row r="44" spans="1:1" ht="38.25" customHeight="1">
      <c r="A44" s="381" t="s">
        <v>309</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7" workbookViewId="0">
      <selection activeCell="B23" sqref="B23"/>
    </sheetView>
  </sheetViews>
  <sheetFormatPr defaultRowHeight="15.75"/>
  <cols>
    <col min="1" max="1" width="15.77734375" style="142" customWidth="1"/>
    <col min="2" max="2" width="12.77734375" style="142" customWidth="1"/>
    <col min="3" max="3" width="8.77734375" style="142" customWidth="1"/>
    <col min="4" max="4" width="12.77734375" style="142" customWidth="1"/>
    <col min="5" max="5" width="8.77734375" style="142" customWidth="1"/>
    <col min="6" max="6" width="12.77734375" style="142" customWidth="1"/>
    <col min="7" max="7" width="10.77734375" style="142" customWidth="1"/>
    <col min="8" max="8" width="8.77734375" style="142" customWidth="1"/>
    <col min="9" max="9" width="8.88671875" style="142"/>
    <col min="10" max="10" width="12.44140625" style="142" customWidth="1"/>
    <col min="11" max="11" width="12.33203125" style="142" customWidth="1"/>
    <col min="12" max="12" width="8.88671875" style="142"/>
    <col min="13" max="13" width="12.109375" style="142" customWidth="1"/>
    <col min="14" max="16384" width="8.88671875" style="142"/>
  </cols>
  <sheetData>
    <row r="1" spans="1:13">
      <c r="A1" s="645" t="s">
        <v>75</v>
      </c>
      <c r="B1" s="645"/>
      <c r="C1" s="645"/>
      <c r="D1" s="645"/>
      <c r="E1" s="645"/>
      <c r="F1" s="645"/>
      <c r="G1" s="645"/>
      <c r="H1" s="110"/>
    </row>
    <row r="2" spans="1:13">
      <c r="A2" s="100"/>
      <c r="B2" s="100"/>
      <c r="C2" s="100"/>
      <c r="D2" s="100"/>
      <c r="E2" s="100"/>
      <c r="F2" s="100"/>
      <c r="G2" s="100"/>
      <c r="H2" s="100"/>
    </row>
    <row r="3" spans="1:13">
      <c r="A3" s="638" t="s">
        <v>102</v>
      </c>
      <c r="B3" s="638"/>
      <c r="C3" s="638"/>
      <c r="D3" s="638"/>
      <c r="E3" s="638"/>
      <c r="F3" s="638"/>
      <c r="G3" s="638"/>
      <c r="H3" s="638"/>
      <c r="I3" s="140">
        <f>inputPrYr!D11</f>
        <v>2013</v>
      </c>
    </row>
    <row r="4" spans="1:13">
      <c r="A4" s="614" t="str">
        <f>inputPrYr!D3</f>
        <v>Tauy Watershed</v>
      </c>
      <c r="B4" s="614"/>
      <c r="C4" s="614"/>
      <c r="D4" s="614"/>
      <c r="E4" s="614"/>
      <c r="F4" s="614"/>
      <c r="G4" s="614"/>
      <c r="H4" s="614"/>
    </row>
    <row r="5" spans="1:13">
      <c r="A5" s="672" t="str">
        <f>inputPrYr!D4</f>
        <v>Franklin County</v>
      </c>
      <c r="B5" s="672"/>
      <c r="C5" s="672"/>
      <c r="D5" s="672"/>
      <c r="E5" s="672"/>
      <c r="F5" s="672"/>
      <c r="G5" s="672"/>
      <c r="H5" s="672"/>
    </row>
    <row r="6" spans="1:13">
      <c r="A6" s="673" t="str">
        <f>CONCATENATE("will meet on ",inputBudSum!B5," at ",inputBudSum!B7," at ",inputBudSum!B9," for the purpose of hearing and")</f>
        <v>will meet on August 13, 2012 at 7:30 p.m. at Baldwin City Library for the purpose of hearing and</v>
      </c>
      <c r="B6" s="673"/>
      <c r="C6" s="673"/>
      <c r="D6" s="673"/>
      <c r="E6" s="673"/>
      <c r="F6" s="673"/>
      <c r="G6" s="673"/>
      <c r="H6" s="673"/>
    </row>
    <row r="7" spans="1:13">
      <c r="A7" s="144" t="s">
        <v>343</v>
      </c>
      <c r="B7" s="110"/>
      <c r="C7" s="110"/>
      <c r="D7" s="110"/>
      <c r="E7" s="110"/>
      <c r="F7" s="110"/>
      <c r="G7" s="110"/>
      <c r="H7" s="110"/>
    </row>
    <row r="8" spans="1:13">
      <c r="A8" s="406" t="str">
        <f>CONCATENATE("Detailed budget information is avaiable at ",inputBudSum!B12," and will be available at this hearing.")</f>
        <v>Detailed budget information is avaiable at Franklin County Clerk's Office and will be available at this hearing.</v>
      </c>
      <c r="B8" s="407"/>
      <c r="C8" s="407"/>
      <c r="D8" s="407"/>
      <c r="E8" s="407"/>
      <c r="F8" s="407"/>
      <c r="G8" s="110"/>
      <c r="H8" s="110"/>
    </row>
    <row r="9" spans="1:13">
      <c r="A9" s="109" t="s">
        <v>76</v>
      </c>
      <c r="B9" s="110"/>
      <c r="C9" s="110"/>
      <c r="D9" s="110"/>
      <c r="E9" s="110"/>
      <c r="F9" s="110"/>
      <c r="G9" s="110"/>
      <c r="H9" s="110"/>
    </row>
    <row r="10" spans="1:13">
      <c r="A10" s="144" t="str">
        <f>CONCATENATE("Proposed Budget ",I3," Expenditures and Amount of ",I3-1," Ad Valorem Tax establish the maximum limits")</f>
        <v>Proposed Budget 2013 Expenditures and Amount of 2012 Ad Valorem Tax establish the maximum limits</v>
      </c>
      <c r="B10" s="110"/>
      <c r="C10" s="110"/>
      <c r="D10" s="110"/>
      <c r="E10" s="110"/>
      <c r="F10" s="110"/>
      <c r="G10" s="110"/>
      <c r="H10" s="110"/>
    </row>
    <row r="11" spans="1:13">
      <c r="A11" s="144" t="str">
        <f>CONCATENATE("of the ",I3," budget.  Estimated Tax Rate is subject to change depending on the final assessed valuation.")</f>
        <v>of the 2013 budget.  Estimated Tax Rate is subject to change depending on the final assessed valuation.</v>
      </c>
      <c r="B11" s="110"/>
      <c r="C11" s="110"/>
      <c r="D11" s="110"/>
      <c r="E11" s="110"/>
      <c r="F11" s="110"/>
      <c r="G11" s="110"/>
      <c r="H11" s="110"/>
      <c r="J11" s="665" t="str">
        <f>CONCATENATE("Estimated Value Of One Mill For ",I3,"")</f>
        <v>Estimated Value Of One Mill For 2013</v>
      </c>
      <c r="K11" s="666"/>
      <c r="L11" s="666"/>
      <c r="M11" s="667"/>
    </row>
    <row r="12" spans="1:13">
      <c r="A12" s="100"/>
      <c r="B12" s="145"/>
      <c r="C12" s="145"/>
      <c r="D12" s="145"/>
      <c r="E12" s="145"/>
      <c r="F12" s="145"/>
      <c r="G12" s="145"/>
      <c r="H12" s="145"/>
      <c r="J12" s="581"/>
      <c r="K12" s="582"/>
      <c r="L12" s="582"/>
      <c r="M12" s="583"/>
    </row>
    <row r="13" spans="1:13">
      <c r="A13" s="183"/>
      <c r="B13" s="146" t="str">
        <f>CONCATENATE("Prior Year Actual ",I3-2,"")</f>
        <v>Prior Year Actual 2011</v>
      </c>
      <c r="C13" s="147"/>
      <c r="D13" s="148" t="str">
        <f>CONCATENATE("Current Year Estimate for ",I3-1,"")</f>
        <v>Current Year Estimate for 2012</v>
      </c>
      <c r="E13" s="147"/>
      <c r="F13" s="146" t="str">
        <f>CONCATENATE("Proposed Budget Year for ",I3,"")</f>
        <v>Proposed Budget Year for 2013</v>
      </c>
      <c r="G13" s="149"/>
      <c r="H13" s="147"/>
      <c r="J13" s="584" t="s">
        <v>690</v>
      </c>
      <c r="K13" s="585"/>
      <c r="L13" s="585"/>
      <c r="M13" s="586">
        <f>ROUND(F21/1000,0)</f>
        <v>22118</v>
      </c>
    </row>
    <row r="14" spans="1:13">
      <c r="A14" s="152"/>
      <c r="B14" s="150"/>
      <c r="C14" s="151" t="s">
        <v>44</v>
      </c>
      <c r="D14" s="150"/>
      <c r="E14" s="151" t="s">
        <v>44</v>
      </c>
      <c r="F14" s="152" t="s">
        <v>217</v>
      </c>
      <c r="G14" s="670" t="str">
        <f>CONCATENATE("Amount of ",I3-1," Ad Valorem Tax")</f>
        <v>Amount of 2012 Ad Valorem Tax</v>
      </c>
      <c r="H14" s="151" t="s">
        <v>692</v>
      </c>
      <c r="J14" s="98"/>
      <c r="K14" s="98"/>
      <c r="L14" s="98"/>
      <c r="M14" s="98"/>
    </row>
    <row r="15" spans="1:13">
      <c r="A15" s="263" t="s">
        <v>45</v>
      </c>
      <c r="B15" s="153" t="s">
        <v>46</v>
      </c>
      <c r="C15" s="154" t="s">
        <v>173</v>
      </c>
      <c r="D15" s="153" t="s">
        <v>46</v>
      </c>
      <c r="E15" s="154" t="s">
        <v>173</v>
      </c>
      <c r="F15" s="153" t="s">
        <v>687</v>
      </c>
      <c r="G15" s="671"/>
      <c r="H15" s="154" t="s">
        <v>173</v>
      </c>
      <c r="J15" s="665" t="str">
        <f>CONCATENATE("Want The Mill Rate The Same As For ",I3-1,"?")</f>
        <v>Want The Mill Rate The Same As For 2012?</v>
      </c>
      <c r="K15" s="668"/>
      <c r="L15" s="668"/>
      <c r="M15" s="669"/>
    </row>
    <row r="16" spans="1:13">
      <c r="A16" s="134" t="str">
        <f>inputPrYr!B24</f>
        <v>General</v>
      </c>
      <c r="B16" s="155">
        <f>IF(gen!$C$61&lt;&gt;0,gen!$C$61,"  ")</f>
        <v>32697</v>
      </c>
      <c r="C16" s="156">
        <f>IF(inputPrYr!D43&gt;0,inputPrYr!D43,"  ")</f>
        <v>3.5070000000000001</v>
      </c>
      <c r="D16" s="155">
        <f>IF(gen!$D$61&lt;&gt;0,gen!$D$61,"  ")</f>
        <v>187870</v>
      </c>
      <c r="E16" s="156">
        <f>IF(inputOth!D46&gt;0,inputOth!D46,"  ")</f>
        <v>3.4849999999999999</v>
      </c>
      <c r="F16" s="155">
        <f>IF(gen!$E$61&lt;&gt;0,gen!$E$61,"  ")</f>
        <v>240404</v>
      </c>
      <c r="G16" s="155">
        <f>IF(gen!$E$68&lt;&gt;0,gen!$E$68,"  ")</f>
        <v>74866</v>
      </c>
      <c r="H16" s="156">
        <f>IF(gen!E68&gt;0,ROUND(G16/$F$21*1000,3)," ")</f>
        <v>3.3849999999999998</v>
      </c>
      <c r="J16" s="587"/>
      <c r="K16" s="582"/>
      <c r="L16" s="582"/>
      <c r="M16" s="588"/>
    </row>
    <row r="17" spans="1:13">
      <c r="A17" s="120" t="s">
        <v>126</v>
      </c>
      <c r="B17" s="593">
        <f t="shared" ref="B17:H17" si="0">SUM(B16:B16)</f>
        <v>32697</v>
      </c>
      <c r="C17" s="594">
        <f t="shared" si="0"/>
        <v>3.5070000000000001</v>
      </c>
      <c r="D17" s="593">
        <f t="shared" si="0"/>
        <v>187870</v>
      </c>
      <c r="E17" s="594">
        <f t="shared" si="0"/>
        <v>3.4849999999999999</v>
      </c>
      <c r="F17" s="593">
        <f t="shared" si="0"/>
        <v>240404</v>
      </c>
      <c r="G17" s="595">
        <f t="shared" si="0"/>
        <v>74866</v>
      </c>
      <c r="H17" s="594">
        <f t="shared" si="0"/>
        <v>3.3849999999999998</v>
      </c>
      <c r="J17" s="587"/>
      <c r="K17" s="582"/>
      <c r="L17" s="582"/>
      <c r="M17" s="588"/>
    </row>
    <row r="18" spans="1:13">
      <c r="A18" s="120" t="s">
        <v>178</v>
      </c>
      <c r="B18" s="155">
        <f>transfers!C26</f>
        <v>0</v>
      </c>
      <c r="C18" s="161"/>
      <c r="D18" s="155">
        <f>transfers!D26</f>
        <v>0</v>
      </c>
      <c r="E18" s="161"/>
      <c r="F18" s="162">
        <f>transfers!E26</f>
        <v>0</v>
      </c>
      <c r="G18" s="163"/>
      <c r="H18" s="164"/>
      <c r="J18" s="587" t="str">
        <f>CONCATENATE("",I3," Ad Valorem Tax Revenue:")</f>
        <v>2013 Ad Valorem Tax Revenue:</v>
      </c>
      <c r="K18" s="582"/>
      <c r="L18" s="582"/>
      <c r="M18" s="583">
        <f>G17</f>
        <v>74866</v>
      </c>
    </row>
    <row r="19" spans="1:13" ht="16.5" thickBot="1">
      <c r="A19" s="120" t="s">
        <v>179</v>
      </c>
      <c r="B19" s="165">
        <f>SUM(B17-B18)</f>
        <v>32697</v>
      </c>
      <c r="C19" s="166"/>
      <c r="D19" s="165">
        <f>SUM(D17-D18)</f>
        <v>187870</v>
      </c>
      <c r="E19" s="166"/>
      <c r="F19" s="167">
        <f>SUM(F17-F18)</f>
        <v>240404</v>
      </c>
      <c r="G19" s="163"/>
      <c r="H19" s="164"/>
      <c r="J19" s="587" t="str">
        <f>CONCATENATE("",I3-1," Ad Valorem Tax Revenue:")</f>
        <v>2012 Ad Valorem Tax Revenue:</v>
      </c>
      <c r="K19" s="582"/>
      <c r="L19" s="582"/>
      <c r="M19" s="589" t="e">
        <f>ROUND(F21*#REF!/1000,0)</f>
        <v>#REF!</v>
      </c>
    </row>
    <row r="20" spans="1:13" ht="16.5" thickTop="1">
      <c r="A20" s="120" t="s">
        <v>47</v>
      </c>
      <c r="B20" s="168">
        <f>inputPrYr!E50</f>
        <v>72861</v>
      </c>
      <c r="C20" s="152"/>
      <c r="D20" s="168">
        <f>inputPrYr!E29</f>
        <v>73608</v>
      </c>
      <c r="E20" s="152"/>
      <c r="F20" s="169" t="s">
        <v>180</v>
      </c>
      <c r="G20" s="100"/>
      <c r="H20" s="100"/>
      <c r="J20" s="590" t="s">
        <v>691</v>
      </c>
      <c r="K20" s="591"/>
      <c r="L20" s="591"/>
      <c r="M20" s="586" t="e">
        <f>M18-M19</f>
        <v>#REF!</v>
      </c>
    </row>
    <row r="21" spans="1:13" ht="16.5" thickBot="1">
      <c r="A21" s="120" t="s">
        <v>207</v>
      </c>
      <c r="B21" s="170">
        <f>inputPrYr!E51</f>
        <v>20780782</v>
      </c>
      <c r="C21" s="152"/>
      <c r="D21" s="170">
        <f>inputOth!E60</f>
        <v>21124528</v>
      </c>
      <c r="E21" s="152"/>
      <c r="F21" s="170">
        <f>inputOth!E12</f>
        <v>22117610</v>
      </c>
      <c r="G21" s="100"/>
      <c r="H21" s="100"/>
      <c r="J21" s="592"/>
      <c r="K21" s="592"/>
      <c r="L21" s="592"/>
      <c r="M21" s="5"/>
    </row>
    <row r="22" spans="1:13" ht="16.5" thickTop="1">
      <c r="A22" s="173" t="s">
        <v>48</v>
      </c>
      <c r="B22" s="100"/>
      <c r="C22" s="100"/>
      <c r="D22" s="100"/>
      <c r="E22" s="174"/>
      <c r="F22" s="174"/>
      <c r="G22" s="100"/>
      <c r="H22" s="140"/>
    </row>
    <row r="23" spans="1:13">
      <c r="A23" s="175"/>
      <c r="B23" s="100"/>
      <c r="C23" s="100"/>
      <c r="D23" s="100"/>
      <c r="E23" s="100"/>
      <c r="F23" s="100"/>
      <c r="G23" s="100"/>
      <c r="H23" s="175"/>
    </row>
    <row r="24" spans="1:13">
      <c r="A24" s="628" t="s">
        <v>763</v>
      </c>
      <c r="B24" s="629"/>
      <c r="C24" s="145"/>
      <c r="D24" s="100"/>
      <c r="E24" s="100"/>
      <c r="F24" s="100"/>
      <c r="G24" s="100"/>
      <c r="H24" s="140"/>
    </row>
    <row r="25" spans="1:13">
      <c r="A25" s="143" t="s">
        <v>49</v>
      </c>
      <c r="B25" s="110"/>
      <c r="C25" s="100"/>
      <c r="D25" s="178" t="s">
        <v>37</v>
      </c>
      <c r="E25" s="179">
        <v>7</v>
      </c>
      <c r="F25" s="100"/>
      <c r="G25" s="100"/>
      <c r="H25" s="140"/>
    </row>
    <row r="27" spans="1:13">
      <c r="A27" s="98"/>
      <c r="B27" s="98"/>
      <c r="C27" s="98"/>
      <c r="D27" s="98"/>
      <c r="E27" s="98"/>
      <c r="F27" s="98"/>
      <c r="G27" s="98"/>
      <c r="H27" s="98"/>
    </row>
    <row r="29" spans="1:13">
      <c r="A29" s="98"/>
      <c r="B29" s="98"/>
      <c r="C29" s="98"/>
      <c r="D29" s="98"/>
      <c r="E29" s="98"/>
      <c r="F29" s="98"/>
      <c r="G29" s="98"/>
      <c r="H29" s="98"/>
    </row>
    <row r="30" spans="1:13">
      <c r="A30" s="98"/>
      <c r="B30" s="98"/>
      <c r="C30" s="98"/>
      <c r="D30" s="98"/>
      <c r="E30" s="98"/>
      <c r="F30" s="98"/>
      <c r="G30" s="98"/>
      <c r="H30" s="98"/>
    </row>
    <row r="31" spans="1:13">
      <c r="A31" s="98"/>
      <c r="B31" s="98"/>
      <c r="C31" s="98"/>
      <c r="D31" s="98"/>
      <c r="E31" s="98"/>
      <c r="F31" s="98"/>
      <c r="G31" s="98"/>
      <c r="H31" s="98"/>
    </row>
    <row r="32" spans="1:13">
      <c r="A32" s="98"/>
      <c r="B32" s="98"/>
      <c r="C32" s="98"/>
      <c r="D32" s="98"/>
      <c r="E32" s="98"/>
      <c r="F32" s="98"/>
      <c r="G32" s="98"/>
      <c r="H32" s="98"/>
    </row>
    <row r="33" spans="1:8">
      <c r="A33" s="98"/>
      <c r="B33" s="98"/>
      <c r="C33" s="98"/>
      <c r="D33" s="98"/>
      <c r="E33" s="98"/>
      <c r="F33" s="98"/>
      <c r="G33" s="98"/>
      <c r="H33" s="98"/>
    </row>
    <row r="34" spans="1:8">
      <c r="A34" s="98"/>
      <c r="B34" s="98"/>
      <c r="C34" s="98"/>
      <c r="D34" s="98"/>
      <c r="E34" s="98"/>
      <c r="F34" s="98"/>
      <c r="G34" s="98"/>
      <c r="H34" s="98"/>
    </row>
    <row r="35" spans="1:8">
      <c r="A35" s="98"/>
      <c r="B35" s="98"/>
      <c r="C35" s="98"/>
      <c r="D35" s="98"/>
      <c r="E35" s="98"/>
      <c r="F35" s="98"/>
      <c r="G35" s="98"/>
      <c r="H35" s="98"/>
    </row>
    <row r="36" spans="1:8">
      <c r="A36" s="98"/>
      <c r="B36" s="98"/>
      <c r="C36" s="98"/>
      <c r="D36" s="98"/>
      <c r="E36" s="98"/>
      <c r="F36" s="98"/>
      <c r="G36" s="98"/>
      <c r="H36" s="98"/>
    </row>
    <row r="37" spans="1:8">
      <c r="A37" s="98"/>
      <c r="B37" s="98"/>
      <c r="C37" s="98"/>
      <c r="D37" s="98"/>
      <c r="E37" s="98"/>
      <c r="F37" s="98"/>
      <c r="G37" s="98"/>
      <c r="H37" s="98"/>
    </row>
  </sheetData>
  <sheetProtection sheet="1" objects="1" scenarios="1"/>
  <mergeCells count="9">
    <mergeCell ref="A24:B24"/>
    <mergeCell ref="J11:M11"/>
    <mergeCell ref="J15:M15"/>
    <mergeCell ref="A1:G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1.44140625" style="181" customWidth="1"/>
    <col min="2" max="2" width="20" style="181" customWidth="1"/>
    <col min="3" max="5" width="11.77734375" style="181" customWidth="1"/>
    <col min="6" max="16384" width="8.88671875" style="181"/>
  </cols>
  <sheetData>
    <row r="1" spans="1:6" ht="15.75">
      <c r="A1" s="180" t="str">
        <f>inputPrYr!D3</f>
        <v>Tauy Watershed</v>
      </c>
      <c r="B1" s="140"/>
      <c r="C1" s="140"/>
      <c r="D1" s="140"/>
      <c r="E1" s="140"/>
      <c r="F1" s="140">
        <f>inputPrYr!D11</f>
        <v>2013</v>
      </c>
    </row>
    <row r="2" spans="1:6" ht="15.75">
      <c r="A2" s="180"/>
      <c r="B2" s="140"/>
      <c r="C2" s="140"/>
      <c r="D2" s="140"/>
      <c r="E2" s="140"/>
      <c r="F2" s="140"/>
    </row>
    <row r="3" spans="1:6" ht="15.75">
      <c r="A3" s="140"/>
      <c r="B3" s="140"/>
      <c r="C3" s="140"/>
      <c r="D3" s="140"/>
      <c r="E3" s="140"/>
      <c r="F3" s="140"/>
    </row>
    <row r="4" spans="1:6" ht="15.75">
      <c r="A4" s="100"/>
      <c r="B4" s="631" t="str">
        <f>CONCATENATE("",F1," Neighborhood Revitalization Rebate")</f>
        <v>2013 Neighborhood Revitalization Rebate</v>
      </c>
      <c r="C4" s="676"/>
      <c r="D4" s="676"/>
      <c r="E4" s="639"/>
      <c r="F4" s="140"/>
    </row>
    <row r="5" spans="1:6" ht="15.75">
      <c r="A5" s="100"/>
      <c r="B5" s="100"/>
      <c r="C5" s="100"/>
      <c r="D5" s="100"/>
      <c r="E5" s="100"/>
      <c r="F5" s="140"/>
    </row>
    <row r="6" spans="1:6" ht="51.75" customHeight="1">
      <c r="A6" s="100"/>
      <c r="B6" s="184" t="str">
        <f>CONCATENATE("Budgeted Funds                        for ",F1,"")</f>
        <v>Budgeted Funds                        for 2013</v>
      </c>
      <c r="C6" s="184" t="str">
        <f>CONCATENATE("",F1-1," Ad Valorem before Rebate**")</f>
        <v>2012 Ad Valorem before Rebate**</v>
      </c>
      <c r="D6" s="185" t="str">
        <f>CONCATENATE("",F1-1," Mil Rate before Rebate")</f>
        <v>2012 Mil Rate before Rebate</v>
      </c>
      <c r="E6" s="186" t="str">
        <f>CONCATENATE("Estimate ",F1," NR Rebate")</f>
        <v>Estimate 2013 NR Rebate</v>
      </c>
      <c r="F6" s="140"/>
    </row>
    <row r="7" spans="1:6" ht="15.75">
      <c r="A7" s="100"/>
      <c r="B7" s="187" t="str">
        <f>inputPrYr!B24</f>
        <v>General</v>
      </c>
      <c r="C7" s="188"/>
      <c r="D7" s="189" t="str">
        <f t="shared" ref="D7:D12" si="0">IF(C7&gt;0,C7/$D$18,"")</f>
        <v/>
      </c>
      <c r="E7" s="190" t="str">
        <f t="shared" ref="E7:E12" si="1">IF(C7&gt;0,ROUND(D7*$D$22,0),"")</f>
        <v/>
      </c>
      <c r="F7" s="140"/>
    </row>
    <row r="8" spans="1:6" ht="15.75">
      <c r="A8" s="100"/>
      <c r="B8" s="187" t="str">
        <f>inputPrYr!B25</f>
        <v>Debt Service</v>
      </c>
      <c r="C8" s="188"/>
      <c r="D8" s="189" t="str">
        <f t="shared" si="0"/>
        <v/>
      </c>
      <c r="E8" s="190" t="str">
        <f t="shared" si="1"/>
        <v/>
      </c>
      <c r="F8" s="140"/>
    </row>
    <row r="9" spans="1:6" ht="15.75">
      <c r="A9" s="100"/>
      <c r="B9" s="155" t="str">
        <f>IF(inputPrYr!$B27&gt;"  ",(inputPrYr!$B27),"  ")</f>
        <v xml:space="preserve">  </v>
      </c>
      <c r="C9" s="188"/>
      <c r="D9" s="189" t="str">
        <f t="shared" si="0"/>
        <v/>
      </c>
      <c r="E9" s="190" t="str">
        <f t="shared" si="1"/>
        <v/>
      </c>
      <c r="F9" s="140"/>
    </row>
    <row r="10" spans="1:6" ht="15.75">
      <c r="A10" s="100"/>
      <c r="B10" s="155" t="str">
        <f>IF(inputPrYr!$B28&gt;"  ",(inputPrYr!$B28),"  ")</f>
        <v xml:space="preserve">  </v>
      </c>
      <c r="C10" s="188"/>
      <c r="D10" s="189" t="str">
        <f t="shared" si="0"/>
        <v/>
      </c>
      <c r="E10" s="190" t="str">
        <f t="shared" si="1"/>
        <v/>
      </c>
      <c r="F10" s="140"/>
    </row>
    <row r="11" spans="1:6" ht="15.75">
      <c r="A11" s="100"/>
      <c r="B11" s="155"/>
      <c r="C11" s="188"/>
      <c r="D11" s="189" t="str">
        <f t="shared" si="0"/>
        <v/>
      </c>
      <c r="E11" s="190" t="str">
        <f t="shared" si="1"/>
        <v/>
      </c>
      <c r="F11" s="140"/>
    </row>
    <row r="12" spans="1:6" ht="15.75">
      <c r="A12" s="100"/>
      <c r="B12" s="155"/>
      <c r="C12" s="188"/>
      <c r="D12" s="189" t="str">
        <f t="shared" si="0"/>
        <v/>
      </c>
      <c r="E12" s="190" t="str">
        <f t="shared" si="1"/>
        <v/>
      </c>
      <c r="F12" s="140"/>
    </row>
    <row r="13" spans="1:6" ht="16.5" thickBot="1">
      <c r="A13" s="100"/>
      <c r="B13" s="134" t="s">
        <v>210</v>
      </c>
      <c r="C13" s="191">
        <f>SUM(C7:C12)</f>
        <v>0</v>
      </c>
      <c r="D13" s="192">
        <f>SUM(D7:D12)</f>
        <v>0</v>
      </c>
      <c r="E13" s="191">
        <f>SUM(E7:E12)</f>
        <v>0</v>
      </c>
      <c r="F13" s="140"/>
    </row>
    <row r="14" spans="1:6" ht="16.5" thickTop="1">
      <c r="A14" s="100"/>
      <c r="B14" s="100"/>
      <c r="C14" s="100"/>
      <c r="D14" s="100"/>
      <c r="E14" s="100"/>
      <c r="F14" s="140"/>
    </row>
    <row r="15" spans="1:6" ht="15.75">
      <c r="A15" s="100"/>
      <c r="B15" s="100"/>
      <c r="C15" s="100"/>
      <c r="D15" s="100"/>
      <c r="E15" s="100"/>
      <c r="F15" s="140"/>
    </row>
    <row r="16" spans="1:6" ht="15.75">
      <c r="A16" s="677" t="str">
        <f>CONCATENATE("",F1-1," July 1 Valuation:")</f>
        <v>2012 July 1 Valuation:</v>
      </c>
      <c r="B16" s="675"/>
      <c r="C16" s="677"/>
      <c r="D16" s="193">
        <f>inputOth!E12</f>
        <v>22117610</v>
      </c>
      <c r="E16" s="100"/>
      <c r="F16" s="140"/>
    </row>
    <row r="17" spans="1:6" ht="15.75">
      <c r="A17" s="100"/>
      <c r="B17" s="100"/>
      <c r="C17" s="100"/>
      <c r="D17" s="100"/>
      <c r="E17" s="100"/>
      <c r="F17" s="140"/>
    </row>
    <row r="18" spans="1:6" ht="15.75">
      <c r="A18" s="100"/>
      <c r="B18" s="677" t="s">
        <v>330</v>
      </c>
      <c r="C18" s="677"/>
      <c r="D18" s="194">
        <f>IF(D16&gt;0,(D16*0.001),"")</f>
        <v>22117.61</v>
      </c>
      <c r="E18" s="100"/>
      <c r="F18" s="140"/>
    </row>
    <row r="19" spans="1:6" ht="15.75">
      <c r="A19" s="100"/>
      <c r="B19" s="178"/>
      <c r="C19" s="178"/>
      <c r="D19" s="195"/>
      <c r="E19" s="100"/>
      <c r="F19" s="140"/>
    </row>
    <row r="20" spans="1:6" ht="15.75">
      <c r="A20" s="674" t="s">
        <v>311</v>
      </c>
      <c r="B20" s="639"/>
      <c r="C20" s="639"/>
      <c r="D20" s="197">
        <f>inputOth!D42</f>
        <v>0</v>
      </c>
      <c r="E20" s="198"/>
      <c r="F20" s="198"/>
    </row>
    <row r="21" spans="1:6">
      <c r="A21" s="198"/>
      <c r="B21" s="198"/>
      <c r="C21" s="198"/>
      <c r="D21" s="199"/>
      <c r="E21" s="198"/>
      <c r="F21" s="198"/>
    </row>
    <row r="22" spans="1:6" ht="15.75">
      <c r="A22" s="198"/>
      <c r="B22" s="674" t="s">
        <v>312</v>
      </c>
      <c r="C22" s="675"/>
      <c r="D22" s="200" t="str">
        <f>IF(D20&gt;0,(D20*0.001),"")</f>
        <v/>
      </c>
      <c r="E22" s="198"/>
      <c r="F22" s="198"/>
    </row>
    <row r="23" spans="1:6">
      <c r="A23" s="198"/>
      <c r="B23" s="198"/>
      <c r="C23" s="198"/>
      <c r="D23" s="198"/>
      <c r="E23" s="198"/>
      <c r="F23" s="198"/>
    </row>
    <row r="24" spans="1:6">
      <c r="A24" s="198"/>
      <c r="B24" s="198"/>
      <c r="C24" s="198"/>
      <c r="D24" s="198"/>
      <c r="E24" s="198"/>
      <c r="F24" s="198"/>
    </row>
    <row r="25" spans="1:6">
      <c r="A25" s="198"/>
      <c r="B25" s="198"/>
      <c r="C25" s="198"/>
      <c r="D25" s="198"/>
      <c r="E25" s="198"/>
      <c r="F25" s="198"/>
    </row>
    <row r="26" spans="1:6">
      <c r="A26" s="198"/>
      <c r="B26" s="198"/>
      <c r="C26" s="198"/>
      <c r="D26" s="198"/>
      <c r="E26" s="198"/>
      <c r="F26" s="198"/>
    </row>
    <row r="27" spans="1:6" ht="15.75">
      <c r="A27" s="428" t="str">
        <f>CONCATENATE("**This information comes from the ",F1," Budget Summary page.  See instructions tab #12 for completing")</f>
        <v>**This information comes from the 2013 Budget Summary page.  See instructions tab #12 for completing</v>
      </c>
      <c r="B27" s="198"/>
      <c r="C27" s="198"/>
      <c r="D27" s="198"/>
      <c r="E27" s="198"/>
      <c r="F27" s="198"/>
    </row>
    <row r="28" spans="1:6" ht="15.75">
      <c r="A28" s="428" t="s">
        <v>567</v>
      </c>
      <c r="B28" s="198"/>
      <c r="C28" s="198"/>
      <c r="D28" s="198"/>
      <c r="E28" s="198"/>
      <c r="F28" s="198"/>
    </row>
    <row r="29" spans="1:6" ht="15.75">
      <c r="A29" s="428"/>
      <c r="B29" s="198"/>
      <c r="C29" s="198"/>
      <c r="D29" s="198"/>
      <c r="E29" s="198"/>
      <c r="F29" s="198"/>
    </row>
    <row r="30" spans="1:6" ht="15.75">
      <c r="A30" s="428"/>
      <c r="B30" s="198"/>
      <c r="C30" s="198"/>
      <c r="D30" s="198"/>
      <c r="E30" s="198"/>
      <c r="F30" s="198"/>
    </row>
    <row r="31" spans="1:6" ht="15.75">
      <c r="A31" s="428"/>
      <c r="B31" s="198"/>
      <c r="C31" s="198"/>
      <c r="D31" s="198"/>
      <c r="E31" s="198"/>
      <c r="F31" s="198"/>
    </row>
    <row r="32" spans="1:6" ht="15.75">
      <c r="A32" s="428"/>
      <c r="B32" s="198"/>
      <c r="C32" s="198"/>
      <c r="D32" s="198"/>
      <c r="E32" s="198"/>
      <c r="F32" s="198"/>
    </row>
    <row r="33" spans="1:6" ht="15.75">
      <c r="A33" s="428"/>
      <c r="B33" s="198"/>
      <c r="C33" s="198"/>
      <c r="D33" s="198"/>
      <c r="E33" s="198"/>
      <c r="F33" s="198"/>
    </row>
    <row r="34" spans="1:6" ht="15.75">
      <c r="A34" s="428"/>
      <c r="B34" s="198"/>
      <c r="C34" s="198"/>
      <c r="D34" s="198"/>
      <c r="E34" s="198"/>
      <c r="F34" s="198"/>
    </row>
    <row r="35" spans="1:6" ht="15.75">
      <c r="A35" s="198"/>
      <c r="B35" s="196" t="s">
        <v>37</v>
      </c>
      <c r="C35" s="201"/>
      <c r="D35" s="198"/>
      <c r="E35" s="198"/>
      <c r="F35" s="198"/>
    </row>
  </sheetData>
  <sheetProtection sheet="1"/>
  <mergeCells count="5">
    <mergeCell ref="B22:C22"/>
    <mergeCell ref="B4:E4"/>
    <mergeCell ref="A16:C16"/>
    <mergeCell ref="B18:C18"/>
    <mergeCell ref="A20:C20"/>
  </mergeCells>
  <phoneticPr fontId="15" type="noConversion"/>
  <pageMargins left="0.75" right="0.75" top="1" bottom="1" header="0.5" footer="0.5"/>
  <pageSetup scale="98"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52"/>
  <sheetViews>
    <sheetView workbookViewId="0">
      <selection activeCell="D3" sqref="D3"/>
    </sheetView>
  </sheetViews>
  <sheetFormatPr defaultRowHeight="15.75"/>
  <cols>
    <col min="1" max="1" width="15.77734375" style="98" customWidth="1"/>
    <col min="2" max="2" width="20.77734375" style="98" customWidth="1"/>
    <col min="3" max="3" width="10.77734375" style="98" customWidth="1"/>
    <col min="4" max="4" width="15.6640625" style="98" customWidth="1"/>
    <col min="5" max="5" width="14.21875" style="98" customWidth="1"/>
    <col min="6" max="16384" width="8.88671875" style="98"/>
  </cols>
  <sheetData>
    <row r="1" spans="1:5">
      <c r="A1" s="614" t="s">
        <v>2</v>
      </c>
      <c r="B1" s="613"/>
      <c r="C1" s="613"/>
      <c r="D1" s="613"/>
      <c r="E1" s="613"/>
    </row>
    <row r="2" spans="1:5">
      <c r="A2" s="99"/>
      <c r="B2" s="100"/>
      <c r="C2" s="100"/>
      <c r="D2" s="100"/>
      <c r="E2" s="100"/>
    </row>
    <row r="3" spans="1:5">
      <c r="A3" s="101" t="s">
        <v>123</v>
      </c>
      <c r="B3" s="100"/>
      <c r="C3" s="100"/>
      <c r="D3" s="102" t="s">
        <v>747</v>
      </c>
      <c r="E3" s="103"/>
    </row>
    <row r="4" spans="1:5">
      <c r="A4" s="101" t="s">
        <v>230</v>
      </c>
      <c r="B4" s="100"/>
      <c r="C4" s="100"/>
      <c r="D4" s="104" t="s">
        <v>746</v>
      </c>
      <c r="E4" s="103"/>
    </row>
    <row r="5" spans="1:5">
      <c r="A5" s="101" t="s">
        <v>153</v>
      </c>
      <c r="B5" s="100"/>
      <c r="C5" s="100"/>
      <c r="D5" s="105"/>
      <c r="E5" s="103"/>
    </row>
    <row r="6" spans="1:5">
      <c r="A6" s="106" t="s">
        <v>231</v>
      </c>
      <c r="B6" s="107"/>
      <c r="C6" s="107"/>
      <c r="D6" s="102" t="s">
        <v>748</v>
      </c>
      <c r="E6" s="103"/>
    </row>
    <row r="7" spans="1:5">
      <c r="A7" s="101" t="s">
        <v>232</v>
      </c>
      <c r="B7" s="100"/>
      <c r="C7" s="100"/>
      <c r="D7" s="104"/>
      <c r="E7" s="103"/>
    </row>
    <row r="8" spans="1:5">
      <c r="A8" s="101" t="s">
        <v>233</v>
      </c>
      <c r="B8" s="100"/>
      <c r="C8" s="100"/>
      <c r="D8" s="104"/>
      <c r="E8" s="103"/>
    </row>
    <row r="9" spans="1:5">
      <c r="A9" s="101" t="s">
        <v>234</v>
      </c>
      <c r="B9" s="100"/>
      <c r="C9" s="100"/>
      <c r="D9" s="104"/>
      <c r="E9" s="103"/>
    </row>
    <row r="10" spans="1:5">
      <c r="A10" s="100"/>
      <c r="B10" s="100"/>
      <c r="C10" s="100"/>
      <c r="D10" s="100"/>
      <c r="E10" s="100"/>
    </row>
    <row r="11" spans="1:5">
      <c r="A11" s="101" t="s">
        <v>205</v>
      </c>
      <c r="B11" s="100"/>
      <c r="C11" s="100"/>
      <c r="D11" s="108">
        <v>2013</v>
      </c>
      <c r="E11" s="100"/>
    </row>
    <row r="12" spans="1:5">
      <c r="A12" s="100"/>
      <c r="B12" s="100"/>
      <c r="C12" s="100"/>
      <c r="D12" s="100"/>
      <c r="E12" s="100"/>
    </row>
    <row r="13" spans="1:5">
      <c r="A13" s="109" t="s">
        <v>69</v>
      </c>
      <c r="B13" s="110"/>
      <c r="C13" s="110"/>
      <c r="D13" s="110"/>
      <c r="E13" s="110"/>
    </row>
    <row r="14" spans="1:5">
      <c r="A14" s="109" t="s">
        <v>70</v>
      </c>
      <c r="B14" s="110"/>
      <c r="C14" s="110"/>
      <c r="D14" s="110"/>
      <c r="E14" s="110"/>
    </row>
    <row r="15" spans="1:5">
      <c r="A15" s="111" t="s">
        <v>206</v>
      </c>
      <c r="B15" s="100"/>
      <c r="C15" s="100"/>
      <c r="D15" s="100"/>
      <c r="E15" s="100"/>
    </row>
    <row r="16" spans="1:5">
      <c r="A16" s="111"/>
      <c r="B16" s="100"/>
      <c r="C16" s="100"/>
      <c r="D16" s="100"/>
      <c r="E16" s="100"/>
    </row>
    <row r="17" spans="1:5">
      <c r="A17" s="612" t="s">
        <v>154</v>
      </c>
      <c r="B17" s="613"/>
      <c r="C17" s="613"/>
      <c r="D17" s="613"/>
      <c r="E17" s="613"/>
    </row>
    <row r="18" spans="1:5">
      <c r="A18" s="112"/>
      <c r="B18" s="112"/>
      <c r="C18" s="112"/>
      <c r="D18" s="112"/>
      <c r="E18" s="112"/>
    </row>
    <row r="19" spans="1:5">
      <c r="A19" s="113" t="s">
        <v>152</v>
      </c>
      <c r="B19" s="114"/>
      <c r="C19" s="100"/>
      <c r="D19" s="100"/>
      <c r="E19" s="100"/>
    </row>
    <row r="20" spans="1:5">
      <c r="A20" s="115" t="str">
        <f>CONCATENATE("the ",D11-1," Budget, Certificate Page:")</f>
        <v>the 2012 Budget, Certificate Page:</v>
      </c>
      <c r="B20" s="116"/>
      <c r="C20" s="100"/>
      <c r="D20" s="100"/>
      <c r="E20" s="100"/>
    </row>
    <row r="21" spans="1:5">
      <c r="A21" s="115" t="s">
        <v>293</v>
      </c>
      <c r="B21" s="116"/>
      <c r="C21" s="100"/>
      <c r="D21" s="100"/>
      <c r="E21" s="100"/>
    </row>
    <row r="22" spans="1:5" ht="15.75" customHeight="1">
      <c r="A22" s="100"/>
      <c r="B22" s="100"/>
      <c r="C22" s="117"/>
      <c r="D22" s="118">
        <f>D11-1</f>
        <v>2012</v>
      </c>
      <c r="E22" s="615" t="str">
        <f>CONCATENATE("Amount of ",D11-2,"     Ad Valorem Tax")</f>
        <v>Amount of 2011     Ad Valorem Tax</v>
      </c>
    </row>
    <row r="23" spans="1:5">
      <c r="A23" s="99" t="s">
        <v>3</v>
      </c>
      <c r="B23" s="100"/>
      <c r="C23" s="117" t="s">
        <v>4</v>
      </c>
      <c r="D23" s="119" t="s">
        <v>294</v>
      </c>
      <c r="E23" s="616"/>
    </row>
    <row r="24" spans="1:5">
      <c r="A24" s="100"/>
      <c r="B24" s="120" t="s">
        <v>5</v>
      </c>
      <c r="C24" s="121" t="s">
        <v>749</v>
      </c>
      <c r="D24" s="122">
        <v>187870</v>
      </c>
      <c r="E24" s="122">
        <v>73608</v>
      </c>
    </row>
    <row r="25" spans="1:5">
      <c r="A25" s="100"/>
      <c r="B25" s="120" t="s">
        <v>284</v>
      </c>
      <c r="C25" s="123" t="s">
        <v>151</v>
      </c>
      <c r="D25" s="122"/>
      <c r="E25" s="122"/>
    </row>
    <row r="26" spans="1:5">
      <c r="A26" s="99" t="s">
        <v>6</v>
      </c>
      <c r="B26" s="100"/>
      <c r="C26" s="100"/>
      <c r="D26" s="124"/>
      <c r="E26" s="100"/>
    </row>
    <row r="27" spans="1:5">
      <c r="A27" s="100"/>
      <c r="B27" s="125"/>
      <c r="C27" s="447"/>
      <c r="D27" s="122"/>
      <c r="E27" s="122"/>
    </row>
    <row r="28" spans="1:5">
      <c r="A28" s="100"/>
      <c r="B28" s="125"/>
      <c r="C28" s="447"/>
      <c r="D28" s="122"/>
      <c r="E28" s="122"/>
    </row>
    <row r="29" spans="1:5" ht="16.5" thickBot="1">
      <c r="A29" s="126" t="str">
        <f>CONCATENATE("Total Ad Valorem Tax for ",D11-1," Budgeted Year")</f>
        <v>Total Ad Valorem Tax for 2012 Budgeted Year</v>
      </c>
      <c r="B29" s="127"/>
      <c r="C29" s="127"/>
      <c r="D29" s="128"/>
      <c r="E29" s="129">
        <f>SUM(E24:E28)</f>
        <v>73608</v>
      </c>
    </row>
    <row r="30" spans="1:5" ht="16.5" thickTop="1">
      <c r="A30" s="130" t="s">
        <v>7</v>
      </c>
      <c r="B30" s="100"/>
      <c r="C30" s="100"/>
      <c r="D30" s="100"/>
      <c r="E30" s="100"/>
    </row>
    <row r="31" spans="1:5">
      <c r="A31" s="100"/>
      <c r="B31" s="125"/>
      <c r="C31" s="100"/>
      <c r="D31" s="122"/>
      <c r="E31" s="100"/>
    </row>
    <row r="32" spans="1:5">
      <c r="A32" s="100"/>
      <c r="B32" s="125"/>
      <c r="C32" s="100"/>
      <c r="D32" s="122"/>
      <c r="E32" s="100"/>
    </row>
    <row r="33" spans="1:5" ht="16.5" thickBot="1">
      <c r="A33" s="127" t="str">
        <f>CONCATENATE("Total Expenditures for ",D11-1," Budgeted Year")</f>
        <v>Total Expenditures for 2012 Budgeted Year</v>
      </c>
      <c r="B33" s="127"/>
      <c r="C33" s="131"/>
      <c r="D33" s="132">
        <f>SUM(D24:D25,D27:D28,D31:D32)</f>
        <v>187870</v>
      </c>
      <c r="E33" s="124"/>
    </row>
    <row r="34" spans="1:5" ht="16.5" thickTop="1">
      <c r="A34" s="100" t="s">
        <v>278</v>
      </c>
      <c r="B34" s="100"/>
      <c r="C34" s="100"/>
      <c r="D34" s="100"/>
      <c r="E34" s="124"/>
    </row>
    <row r="35" spans="1:5">
      <c r="A35" s="100">
        <v>1</v>
      </c>
      <c r="B35" s="133"/>
      <c r="C35" s="100"/>
      <c r="D35" s="100"/>
      <c r="E35" s="124"/>
    </row>
    <row r="36" spans="1:5">
      <c r="A36" s="100">
        <v>2</v>
      </c>
      <c r="B36" s="133"/>
      <c r="C36" s="100"/>
      <c r="D36" s="100"/>
      <c r="E36" s="124"/>
    </row>
    <row r="37" spans="1:5">
      <c r="A37" s="100">
        <v>3</v>
      </c>
      <c r="B37" s="133"/>
      <c r="C37" s="100"/>
      <c r="D37" s="100"/>
      <c r="E37" s="124"/>
    </row>
    <row r="38" spans="1:5">
      <c r="A38" s="100">
        <v>4</v>
      </c>
      <c r="B38" s="133"/>
      <c r="C38" s="100"/>
      <c r="D38" s="100"/>
      <c r="E38" s="124"/>
    </row>
    <row r="39" spans="1:5">
      <c r="A39" s="100">
        <v>5</v>
      </c>
      <c r="B39" s="133"/>
      <c r="C39" s="100"/>
      <c r="D39" s="100"/>
      <c r="E39" s="124"/>
    </row>
    <row r="40" spans="1:5">
      <c r="A40" s="100"/>
      <c r="B40" s="100"/>
      <c r="C40" s="100"/>
      <c r="D40" s="100"/>
      <c r="E40" s="124"/>
    </row>
    <row r="41" spans="1:5" ht="15.75" customHeight="1">
      <c r="A41" s="113" t="s">
        <v>152</v>
      </c>
      <c r="B41" s="114"/>
      <c r="C41" s="100"/>
      <c r="D41" s="610" t="str">
        <f>CONCATENATE("",D11-3," Tax Rate         (",D11-2," Column)")</f>
        <v>2010 Tax Rate         (2011 Column)</v>
      </c>
      <c r="E41" s="124"/>
    </row>
    <row r="42" spans="1:5">
      <c r="A42" s="115" t="str">
        <f>CONCATENATE("the ",D11-1," Budget, Budget Summary Page")</f>
        <v>the 2012 Budget, Budget Summary Page</v>
      </c>
      <c r="B42" s="116"/>
      <c r="C42" s="100"/>
      <c r="D42" s="611"/>
      <c r="E42" s="124"/>
    </row>
    <row r="43" spans="1:5">
      <c r="A43" s="100"/>
      <c r="B43" s="134" t="str">
        <f>B24</f>
        <v>General</v>
      </c>
      <c r="C43" s="100"/>
      <c r="D43" s="135">
        <v>3.5070000000000001</v>
      </c>
      <c r="E43" s="124"/>
    </row>
    <row r="44" spans="1:5">
      <c r="A44" s="100"/>
      <c r="B44" s="134"/>
      <c r="C44" s="100"/>
      <c r="D44" s="135"/>
      <c r="E44" s="124"/>
    </row>
    <row r="45" spans="1:5">
      <c r="A45" s="100"/>
      <c r="B45" s="134">
        <f>B27</f>
        <v>0</v>
      </c>
      <c r="C45" s="100"/>
      <c r="D45" s="135"/>
      <c r="E45" s="124"/>
    </row>
    <row r="46" spans="1:5">
      <c r="A46" s="100"/>
      <c r="B46" s="134">
        <f>B28</f>
        <v>0</v>
      </c>
      <c r="C46" s="100"/>
      <c r="D46" s="135"/>
      <c r="E46" s="124"/>
    </row>
    <row r="47" spans="1:5" ht="16.5" thickBot="1">
      <c r="A47" s="126" t="s">
        <v>8</v>
      </c>
      <c r="B47" s="127"/>
      <c r="C47" s="131"/>
      <c r="D47" s="136">
        <f>SUM(D43:D46)</f>
        <v>3.5070000000000001</v>
      </c>
      <c r="E47" s="124"/>
    </row>
    <row r="48" spans="1:5" ht="16.5" thickTop="1">
      <c r="A48" s="100"/>
      <c r="B48" s="100"/>
      <c r="C48" s="100"/>
      <c r="D48" s="100"/>
      <c r="E48" s="124"/>
    </row>
    <row r="49" spans="1:5">
      <c r="A49" s="130"/>
      <c r="B49" s="100"/>
      <c r="C49" s="100"/>
      <c r="D49" s="100"/>
      <c r="E49" s="137"/>
    </row>
    <row r="50" spans="1:5">
      <c r="A50" s="138" t="str">
        <f>CONCATENATE("Total Tax Levied (",D11-2," budget column):")</f>
        <v>Total Tax Levied (2011 budget column):</v>
      </c>
      <c r="B50" s="114"/>
      <c r="C50" s="100"/>
      <c r="D50" s="100"/>
      <c r="E50" s="139">
        <v>72861</v>
      </c>
    </row>
    <row r="51" spans="1:5">
      <c r="A51" s="138" t="str">
        <f>CONCATENATE("Assessed Valuation (",D11-2," budget column):")</f>
        <v>Assessed Valuation (2011 budget column):</v>
      </c>
      <c r="B51" s="114"/>
      <c r="C51" s="100"/>
      <c r="D51" s="100"/>
      <c r="E51" s="139">
        <v>20780782</v>
      </c>
    </row>
    <row r="52" spans="1:5">
      <c r="A52" s="100"/>
      <c r="B52" s="100"/>
      <c r="C52" s="100"/>
      <c r="D52" s="100"/>
      <c r="E52" s="124"/>
    </row>
  </sheetData>
  <sheetProtection sheet="1" objects="1" scenarios="1"/>
  <mergeCells count="4">
    <mergeCell ref="D41:D42"/>
    <mergeCell ref="A17:E17"/>
    <mergeCell ref="A1:E1"/>
    <mergeCell ref="E22:E23"/>
  </mergeCells>
  <phoneticPr fontId="0" type="noConversion"/>
  <pageMargins left="0.5" right="0.5" top="0.5" bottom="0.5" header="0.5" footer="0.5"/>
  <pageSetup scale="79"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39" customWidth="1"/>
    <col min="2" max="16384" width="9.77734375" style="39"/>
  </cols>
  <sheetData>
    <row r="1" spans="2:10">
      <c r="B1" s="682" t="s">
        <v>131</v>
      </c>
      <c r="C1" s="682"/>
      <c r="D1" s="682"/>
      <c r="E1" s="682"/>
      <c r="F1" s="682"/>
      <c r="G1" s="682"/>
      <c r="H1" s="682"/>
    </row>
    <row r="2" spans="2:10">
      <c r="B2" s="43"/>
      <c r="C2"/>
      <c r="D2"/>
      <c r="E2"/>
      <c r="F2"/>
      <c r="G2"/>
      <c r="H2"/>
    </row>
    <row r="3" spans="2:10">
      <c r="B3" s="683" t="s">
        <v>128</v>
      </c>
      <c r="C3" s="683"/>
      <c r="D3" s="683"/>
      <c r="E3" s="683"/>
      <c r="F3" s="683"/>
      <c r="G3" s="683"/>
      <c r="H3" s="683"/>
    </row>
    <row r="4" spans="2:10">
      <c r="B4" s="44"/>
      <c r="C4"/>
      <c r="D4"/>
      <c r="E4"/>
      <c r="F4"/>
      <c r="G4"/>
      <c r="H4"/>
    </row>
    <row r="5" spans="2:10">
      <c r="B5" s="684" t="str">
        <f>CONCATENATE("A resolution expressing the property taxation policy of the Board of ",(inputPrYr!D3)," District with respect to financing the ",inputPrYr!D11," annual budget for ", (inputPrYr!D3)," , ",(inputPrYr!D4)," , Kansas.")</f>
        <v>A resolution expressing the property taxation policy of the Board of Tauy Watershed District with respect to financing the 2013 annual budget for Tauy Watershed , Franklin County , Kansas.</v>
      </c>
      <c r="C5" s="681"/>
      <c r="D5" s="681"/>
      <c r="E5" s="681"/>
      <c r="F5" s="681"/>
      <c r="G5" s="681"/>
      <c r="H5" s="681"/>
    </row>
    <row r="6" spans="2:10">
      <c r="B6" s="681"/>
      <c r="C6" s="681"/>
      <c r="D6" s="681"/>
      <c r="E6" s="681"/>
      <c r="F6" s="681"/>
      <c r="G6" s="681"/>
      <c r="H6" s="681"/>
      <c r="J6" s="39" t="str">
        <f>CONCATENATE(J7)</f>
        <v/>
      </c>
    </row>
    <row r="7" spans="2:10">
      <c r="B7" s="48"/>
      <c r="C7"/>
      <c r="D7"/>
      <c r="E7"/>
      <c r="F7"/>
      <c r="G7"/>
      <c r="H7"/>
    </row>
    <row r="8" spans="2:10">
      <c r="B8" s="49" t="s">
        <v>181</v>
      </c>
      <c r="C8"/>
      <c r="D8"/>
      <c r="E8"/>
      <c r="F8"/>
      <c r="G8"/>
      <c r="H8"/>
    </row>
    <row r="9" spans="2:10">
      <c r="B9" s="49" t="str">
        <f>CONCATENATE("",inputPrYr!D11," ",(inputPrYr!D3), " district budget exceed the amount levied to finance the")</f>
        <v>2013 Tauy Watershed district budget exceed the amount levied to finance the</v>
      </c>
      <c r="C9"/>
      <c r="D9"/>
      <c r="E9"/>
      <c r="F9"/>
      <c r="G9"/>
      <c r="H9"/>
    </row>
    <row r="10" spans="2:10">
      <c r="B10" s="49" t="str">
        <f>CONCATENATE("",inputPrYr!D11-1," ",inputPrYr!D3," except with regard to revenue produced and attributable to the")</f>
        <v>2012 Tauy Watershed except with regard to revenue produced and attributable to the</v>
      </c>
      <c r="C10"/>
      <c r="D10"/>
      <c r="E10"/>
      <c r="F10"/>
      <c r="G10"/>
      <c r="H10"/>
    </row>
    <row r="11" spans="2:10">
      <c r="B11" s="685" t="s">
        <v>182</v>
      </c>
      <c r="C11" s="686"/>
      <c r="D11" s="686"/>
      <c r="E11" s="686"/>
      <c r="F11" s="686"/>
      <c r="G11" s="686"/>
      <c r="H11" s="686"/>
    </row>
    <row r="12" spans="2:10">
      <c r="B12" s="686"/>
      <c r="C12" s="686"/>
      <c r="D12" s="686"/>
      <c r="E12" s="686"/>
      <c r="F12" s="686"/>
      <c r="G12" s="686"/>
      <c r="H12" s="686"/>
    </row>
    <row r="13" spans="2:10">
      <c r="B13" s="686"/>
      <c r="C13" s="686"/>
      <c r="D13" s="686"/>
      <c r="E13" s="686"/>
      <c r="F13" s="686"/>
      <c r="G13" s="686"/>
      <c r="H13" s="686"/>
    </row>
    <row r="14" spans="2:10">
      <c r="B14" s="686"/>
      <c r="C14" s="686"/>
      <c r="D14" s="686"/>
      <c r="E14" s="686"/>
      <c r="F14" s="686"/>
      <c r="G14" s="686"/>
      <c r="H14" s="686"/>
    </row>
    <row r="15" spans="2:10">
      <c r="B15" s="36"/>
      <c r="C15" s="36"/>
      <c r="D15" s="36"/>
      <c r="E15" s="36"/>
      <c r="F15" s="36"/>
      <c r="G15" s="36"/>
      <c r="H15" s="36"/>
    </row>
    <row r="16" spans="2:10">
      <c r="B16" s="680" t="s">
        <v>149</v>
      </c>
      <c r="C16" s="687"/>
      <c r="D16" s="687"/>
      <c r="E16" s="687"/>
      <c r="F16" s="687"/>
      <c r="G16" s="687"/>
      <c r="H16" s="687"/>
    </row>
    <row r="17" spans="2:8">
      <c r="B17" s="687"/>
      <c r="C17" s="687"/>
      <c r="D17" s="687"/>
      <c r="E17" s="687"/>
      <c r="F17" s="687"/>
      <c r="G17" s="687"/>
      <c r="H17" s="687"/>
    </row>
    <row r="18" spans="2:8">
      <c r="B18" s="49"/>
      <c r="C18"/>
      <c r="D18"/>
      <c r="E18"/>
      <c r="F18"/>
      <c r="G18"/>
      <c r="H18"/>
    </row>
    <row r="19" spans="2:8">
      <c r="B19" s="49" t="str">
        <f>CONCATENATE("Whereas, ",(inputPrYr!D3)," provides essential services to district residents; and")</f>
        <v>Whereas, Tauy Watershed provides essential services to district residents; and</v>
      </c>
      <c r="C19"/>
      <c r="D19"/>
      <c r="E19"/>
      <c r="F19"/>
      <c r="G19"/>
      <c r="H19"/>
    </row>
    <row r="20" spans="2:8">
      <c r="B20" s="49"/>
      <c r="C20"/>
      <c r="D20"/>
      <c r="E20"/>
      <c r="F20"/>
      <c r="G20"/>
      <c r="H20"/>
    </row>
    <row r="21" spans="2:8">
      <c r="B21" s="49" t="s">
        <v>150</v>
      </c>
      <c r="C21"/>
      <c r="D21"/>
      <c r="E21"/>
      <c r="F21"/>
      <c r="G21"/>
      <c r="H21"/>
    </row>
    <row r="22" spans="2:8">
      <c r="B22" s="49"/>
      <c r="C22"/>
      <c r="D22"/>
      <c r="E22"/>
      <c r="F22"/>
      <c r="G22"/>
      <c r="H22"/>
    </row>
    <row r="23" spans="2:8">
      <c r="B23" s="685" t="str">
        <f>CONCATENATE("NOW, THEREFORE, BE IT RESOLVED by the Board of the ",(inputPrYr!D3)," that is our desire to notify the public of the possibility of increased property taxes to finance the ",inputPrYr!D11," ",(inputPrYr!D3), "  budget as defined above.")</f>
        <v>NOW, THEREFORE, BE IT RESOLVED by the Board of the Tauy Watershed that is our desire to notify the public of the possibility of increased property taxes to finance the 2013 Tauy Watershed  budget as defined above.</v>
      </c>
      <c r="C23" s="688"/>
      <c r="D23" s="688"/>
      <c r="E23" s="688"/>
      <c r="F23" s="688"/>
      <c r="G23" s="688"/>
      <c r="H23" s="688"/>
    </row>
    <row r="24" spans="2:8">
      <c r="B24" s="688"/>
      <c r="C24" s="688"/>
      <c r="D24" s="688"/>
      <c r="E24" s="688"/>
      <c r="F24" s="688"/>
      <c r="G24" s="688"/>
      <c r="H24" s="688"/>
    </row>
    <row r="25" spans="2:8">
      <c r="B25" s="688"/>
      <c r="C25" s="688"/>
      <c r="D25" s="688"/>
      <c r="E25" s="688"/>
      <c r="F25" s="688"/>
      <c r="G25" s="688"/>
      <c r="H25" s="688"/>
    </row>
    <row r="26" spans="2:8">
      <c r="B26" s="49"/>
      <c r="C26"/>
      <c r="D26"/>
      <c r="E26"/>
      <c r="F26"/>
      <c r="G26"/>
      <c r="H26"/>
    </row>
    <row r="27" spans="2:8">
      <c r="B27" s="680" t="str">
        <f>CONCATENATE("Adopted this _________ day of ___________, ",inputPrYr!D11-1," by the ",(inputPrYr!D3)," District Board, ",(inputPrYr!D4),", State of Kansas.")</f>
        <v>Adopted this _________ day of ___________, 2012 by the Tauy Watershed District Board, Franklin County, State of Kansas.</v>
      </c>
      <c r="C27" s="681"/>
      <c r="D27" s="681"/>
      <c r="E27" s="681"/>
      <c r="F27" s="681"/>
      <c r="G27" s="681"/>
      <c r="H27" s="681"/>
    </row>
    <row r="28" spans="2:8">
      <c r="B28" s="681"/>
      <c r="C28" s="681"/>
      <c r="D28" s="681"/>
      <c r="E28" s="681"/>
      <c r="F28" s="681"/>
      <c r="G28" s="681"/>
      <c r="H28" s="681"/>
    </row>
    <row r="29" spans="2:8">
      <c r="B29" s="45"/>
      <c r="C29"/>
      <c r="D29"/>
      <c r="E29"/>
      <c r="F29"/>
      <c r="G29"/>
      <c r="H29"/>
    </row>
    <row r="30" spans="2:8">
      <c r="B30" s="45"/>
      <c r="C30"/>
      <c r="D30"/>
      <c r="E30"/>
      <c r="F30"/>
      <c r="G30"/>
      <c r="H30"/>
    </row>
    <row r="31" spans="2:8">
      <c r="B31" s="46" t="str">
        <f>CONCATENATE(" ",(inputPrYr!D3)," District Board")</f>
        <v xml:space="preserve"> Tauy Watershed District Board</v>
      </c>
      <c r="C31"/>
      <c r="D31"/>
      <c r="E31"/>
      <c r="F31"/>
      <c r="G31"/>
      <c r="H31"/>
    </row>
    <row r="32" spans="2:8">
      <c r="B32" s="45"/>
      <c r="C32"/>
      <c r="D32"/>
      <c r="E32"/>
      <c r="F32"/>
      <c r="G32"/>
      <c r="H32"/>
    </row>
    <row r="33" spans="2:8">
      <c r="B33"/>
      <c r="C33"/>
      <c r="D33"/>
      <c r="E33" s="679" t="s">
        <v>129</v>
      </c>
      <c r="F33" s="679"/>
      <c r="G33" s="679"/>
      <c r="H33" s="679"/>
    </row>
    <row r="34" spans="2:8">
      <c r="B34"/>
      <c r="C34"/>
      <c r="D34"/>
      <c r="E34" s="679" t="s">
        <v>132</v>
      </c>
      <c r="F34" s="679"/>
      <c r="G34" s="679"/>
      <c r="H34" s="679"/>
    </row>
    <row r="35" spans="2:8">
      <c r="B35" s="45"/>
      <c r="C35"/>
      <c r="D35"/>
      <c r="E35" s="679"/>
      <c r="F35" s="679"/>
      <c r="G35" s="679"/>
      <c r="H35" s="679"/>
    </row>
    <row r="36" spans="2:8">
      <c r="B36"/>
      <c r="C36"/>
      <c r="D36"/>
      <c r="E36" s="679" t="s">
        <v>129</v>
      </c>
      <c r="F36" s="679"/>
      <c r="G36" s="679"/>
      <c r="H36" s="679"/>
    </row>
    <row r="37" spans="2:8">
      <c r="B37"/>
      <c r="C37"/>
      <c r="D37"/>
      <c r="E37" s="679" t="s">
        <v>133</v>
      </c>
      <c r="F37" s="679"/>
      <c r="G37" s="679"/>
      <c r="H37" s="679"/>
    </row>
    <row r="38" spans="2:8">
      <c r="B38" s="45"/>
      <c r="C38"/>
      <c r="D38"/>
      <c r="E38" s="679"/>
      <c r="F38" s="679"/>
      <c r="G38" s="679"/>
      <c r="H38" s="679"/>
    </row>
    <row r="39" spans="2:8">
      <c r="B39"/>
      <c r="C39"/>
      <c r="D39"/>
      <c r="E39" s="679" t="s">
        <v>129</v>
      </c>
      <c r="F39" s="679"/>
      <c r="G39" s="679"/>
      <c r="H39" s="679"/>
    </row>
    <row r="40" spans="2:8">
      <c r="B40"/>
      <c r="C40"/>
      <c r="D40"/>
      <c r="E40" s="679" t="s">
        <v>134</v>
      </c>
      <c r="F40" s="679"/>
      <c r="G40" s="679"/>
      <c r="H40" s="679"/>
    </row>
    <row r="41" spans="2:8">
      <c r="B41" s="45"/>
      <c r="C41"/>
      <c r="D41"/>
      <c r="E41"/>
      <c r="F41"/>
      <c r="G41"/>
      <c r="H41"/>
    </row>
    <row r="42" spans="2:8">
      <c r="B42" s="47"/>
      <c r="C42"/>
      <c r="D42"/>
      <c r="E42"/>
      <c r="F42"/>
      <c r="G42"/>
      <c r="H42"/>
    </row>
    <row r="43" spans="2:8">
      <c r="C43"/>
      <c r="D43"/>
      <c r="E43"/>
      <c r="F43"/>
      <c r="G43"/>
      <c r="H43"/>
    </row>
    <row r="44" spans="2:8">
      <c r="B44" s="41"/>
      <c r="E44" s="53"/>
      <c r="F44" s="53"/>
      <c r="G44" s="53"/>
      <c r="H44" s="53"/>
    </row>
    <row r="45" spans="2:8">
      <c r="D45" s="61" t="s">
        <v>37</v>
      </c>
      <c r="E45" s="67"/>
      <c r="F45" s="53"/>
      <c r="G45" s="53"/>
      <c r="H45" s="53"/>
    </row>
    <row r="46" spans="2:8">
      <c r="B46" s="47" t="s">
        <v>130</v>
      </c>
      <c r="E46" s="678"/>
      <c r="F46" s="678"/>
      <c r="G46" s="678"/>
      <c r="H46" s="678"/>
    </row>
    <row r="47" spans="2:8">
      <c r="B47" s="40"/>
      <c r="E47" s="678"/>
      <c r="F47" s="678"/>
      <c r="G47" s="678"/>
      <c r="H47" s="678"/>
    </row>
    <row r="48" spans="2:8">
      <c r="E48" s="678"/>
      <c r="F48" s="678"/>
      <c r="G48" s="678"/>
      <c r="H48" s="678"/>
    </row>
    <row r="49" spans="2:8">
      <c r="E49" s="678"/>
      <c r="F49" s="678"/>
      <c r="G49" s="678"/>
      <c r="H49" s="678"/>
    </row>
    <row r="50" spans="2:8">
      <c r="B50" s="40"/>
      <c r="E50" s="678"/>
      <c r="F50" s="678"/>
      <c r="G50" s="678"/>
      <c r="H50" s="678"/>
    </row>
    <row r="51" spans="2:8">
      <c r="B51" s="42"/>
    </row>
    <row r="52" spans="2:8">
      <c r="B52" s="42"/>
    </row>
    <row r="53" spans="2:8">
      <c r="B53" s="42"/>
    </row>
  </sheetData>
  <sheetProtection sheet="1"/>
  <mergeCells count="20">
    <mergeCell ref="B27:H28"/>
    <mergeCell ref="E33:H33"/>
    <mergeCell ref="B1:H1"/>
    <mergeCell ref="B3:H3"/>
    <mergeCell ref="B5:H6"/>
    <mergeCell ref="B11:H14"/>
    <mergeCell ref="B16:H17"/>
    <mergeCell ref="B23:H25"/>
    <mergeCell ref="E34:H34"/>
    <mergeCell ref="E35:H35"/>
    <mergeCell ref="E38:H38"/>
    <mergeCell ref="E39:H39"/>
    <mergeCell ref="E36:H36"/>
    <mergeCell ref="E37:H37"/>
    <mergeCell ref="E49:H49"/>
    <mergeCell ref="E50:H50"/>
    <mergeCell ref="E40:H40"/>
    <mergeCell ref="E46:H46"/>
    <mergeCell ref="E47:H47"/>
    <mergeCell ref="E48:H4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408" t="s">
        <v>344</v>
      </c>
      <c r="B3" s="408"/>
      <c r="C3" s="408"/>
      <c r="D3" s="408"/>
      <c r="E3" s="408"/>
      <c r="F3" s="408"/>
      <c r="G3" s="408"/>
      <c r="H3" s="408"/>
      <c r="I3" s="408"/>
      <c r="J3" s="408"/>
      <c r="K3" s="408"/>
      <c r="L3" s="408"/>
    </row>
    <row r="5" spans="1:12">
      <c r="A5" s="409" t="s">
        <v>345</v>
      </c>
    </row>
    <row r="6" spans="1:12">
      <c r="A6" s="409" t="str">
        <f>CONCATENATE(inputPrYr!D11-2," 'total expenditures' exceed your ",inputPrYr!D11-2," 'budget authority.'")</f>
        <v>2011 'total expenditures' exceed your 2011 'budget authority.'</v>
      </c>
    </row>
    <row r="7" spans="1:12">
      <c r="A7" s="409"/>
    </row>
    <row r="8" spans="1:12">
      <c r="A8" s="409" t="s">
        <v>346</v>
      </c>
    </row>
    <row r="9" spans="1:12">
      <c r="A9" s="409" t="s">
        <v>347</v>
      </c>
    </row>
    <row r="10" spans="1:12">
      <c r="A10" s="409" t="s">
        <v>348</v>
      </c>
    </row>
    <row r="11" spans="1:12">
      <c r="A11" s="409"/>
    </row>
    <row r="12" spans="1:12">
      <c r="A12" s="409"/>
    </row>
    <row r="13" spans="1:12">
      <c r="A13" s="410" t="s">
        <v>349</v>
      </c>
    </row>
    <row r="15" spans="1:12">
      <c r="A15" s="409" t="s">
        <v>350</v>
      </c>
    </row>
    <row r="16" spans="1:12">
      <c r="A16" s="409" t="str">
        <f>CONCATENATE("(i.e. an audit has not been completed, or the ",inputPrYr!D11," adopted")</f>
        <v>(i.e. an audit has not been completed, or the 2013 adopted</v>
      </c>
    </row>
    <row r="17" spans="1:1">
      <c r="A17" s="409" t="s">
        <v>351</v>
      </c>
    </row>
    <row r="18" spans="1:1">
      <c r="A18" s="409" t="s">
        <v>352</v>
      </c>
    </row>
    <row r="19" spans="1:1">
      <c r="A19" s="409" t="s">
        <v>353</v>
      </c>
    </row>
    <row r="21" spans="1:1">
      <c r="A21" s="410" t="s">
        <v>354</v>
      </c>
    </row>
    <row r="22" spans="1:1">
      <c r="A22" s="410"/>
    </row>
    <row r="23" spans="1:1">
      <c r="A23" s="409" t="s">
        <v>355</v>
      </c>
    </row>
    <row r="24" spans="1:1">
      <c r="A24" s="409" t="s">
        <v>356</v>
      </c>
    </row>
    <row r="25" spans="1:1">
      <c r="A25" s="409" t="str">
        <f>CONCATENATE("particular fund.  If your ",inputPrYr!D11-2," budget was amended, did you")</f>
        <v>particular fund.  If your 2011 budget was amended, did you</v>
      </c>
    </row>
    <row r="26" spans="1:1">
      <c r="A26" s="409" t="s">
        <v>357</v>
      </c>
    </row>
    <row r="27" spans="1:1">
      <c r="A27" s="409"/>
    </row>
    <row r="28" spans="1:1">
      <c r="A28" s="409" t="str">
        <f>CONCATENATE("Next, look to see if any of your ",inputPrYr!D11-2," expenditures can be")</f>
        <v>Next, look to see if any of your 2011 expenditures can be</v>
      </c>
    </row>
    <row r="29" spans="1:1">
      <c r="A29" s="409" t="s">
        <v>358</v>
      </c>
    </row>
    <row r="30" spans="1:1">
      <c r="A30" s="409" t="s">
        <v>359</v>
      </c>
    </row>
    <row r="31" spans="1:1">
      <c r="A31" s="409" t="s">
        <v>360</v>
      </c>
    </row>
    <row r="32" spans="1:1">
      <c r="A32" s="409"/>
    </row>
    <row r="33" spans="1:1">
      <c r="A33" s="409" t="str">
        <f>CONCATENATE("Additionally, do your ",inputPrYr!D11-2," receipts contain a reimbursement")</f>
        <v>Additionally, do your 2011 receipts contain a reimbursement</v>
      </c>
    </row>
    <row r="34" spans="1:1">
      <c r="A34" s="409" t="s">
        <v>361</v>
      </c>
    </row>
    <row r="35" spans="1:1">
      <c r="A35" s="409" t="s">
        <v>362</v>
      </c>
    </row>
    <row r="36" spans="1:1">
      <c r="A36" s="409"/>
    </row>
    <row r="37" spans="1:1">
      <c r="A37" s="409" t="s">
        <v>363</v>
      </c>
    </row>
    <row r="38" spans="1:1">
      <c r="A38" s="409" t="s">
        <v>364</v>
      </c>
    </row>
    <row r="39" spans="1:1">
      <c r="A39" s="409" t="s">
        <v>365</v>
      </c>
    </row>
    <row r="40" spans="1:1">
      <c r="A40" s="409"/>
    </row>
    <row r="41" spans="1:1">
      <c r="A41" s="410" t="s">
        <v>366</v>
      </c>
    </row>
    <row r="42" spans="1:1">
      <c r="A42" s="409"/>
    </row>
    <row r="43" spans="1:1">
      <c r="A43" s="409" t="s">
        <v>367</v>
      </c>
    </row>
    <row r="44" spans="1:1">
      <c r="A44" s="409" t="s">
        <v>368</v>
      </c>
    </row>
    <row r="45" spans="1:1">
      <c r="A45" s="409" t="s">
        <v>369</v>
      </c>
    </row>
    <row r="46" spans="1:1">
      <c r="A46" s="409" t="s">
        <v>370</v>
      </c>
    </row>
    <row r="47" spans="1:1">
      <c r="A47" s="409" t="s">
        <v>371</v>
      </c>
    </row>
    <row r="48" spans="1:1">
      <c r="A48" s="409" t="s">
        <v>372</v>
      </c>
    </row>
    <row r="49" spans="1:1">
      <c r="A49" s="409" t="s">
        <v>373</v>
      </c>
    </row>
    <row r="50" spans="1:1">
      <c r="A50" s="409" t="s">
        <v>374</v>
      </c>
    </row>
    <row r="51" spans="1:1">
      <c r="A51" s="409" t="s">
        <v>375</v>
      </c>
    </row>
    <row r="52" spans="1:1">
      <c r="A52" s="409" t="s">
        <v>376</v>
      </c>
    </row>
    <row r="53" spans="1:1">
      <c r="A53" s="409" t="s">
        <v>377</v>
      </c>
    </row>
    <row r="54" spans="1:1">
      <c r="A54" s="409" t="s">
        <v>378</v>
      </c>
    </row>
    <row r="55" spans="1:1">
      <c r="A55" s="409" t="s">
        <v>379</v>
      </c>
    </row>
    <row r="56" spans="1:1">
      <c r="A56" s="409"/>
    </row>
    <row r="57" spans="1:1">
      <c r="A57" s="409" t="s">
        <v>380</v>
      </c>
    </row>
    <row r="58" spans="1:1">
      <c r="A58" s="409" t="s">
        <v>381</v>
      </c>
    </row>
    <row r="59" spans="1:1">
      <c r="A59" s="409" t="s">
        <v>382</v>
      </c>
    </row>
    <row r="60" spans="1:1">
      <c r="A60" s="409"/>
    </row>
    <row r="61" spans="1:1">
      <c r="A61" s="410" t="str">
        <f>CONCATENATE("What if the ",inputPrYr!D11-2," financial records have been closed?")</f>
        <v>What if the 2011 financial records have been closed?</v>
      </c>
    </row>
    <row r="63" spans="1:1">
      <c r="A63" s="409" t="s">
        <v>383</v>
      </c>
    </row>
    <row r="64" spans="1:1">
      <c r="A64" s="409" t="str">
        <f>CONCATENATE("(i.e. an audit for ",inputPrYr!D11-2," has been completed, or the ",inputPrYr!D11)</f>
        <v>(i.e. an audit for 2011 has been completed, or the 2013</v>
      </c>
    </row>
    <row r="65" spans="1:1">
      <c r="A65" s="409" t="s">
        <v>384</v>
      </c>
    </row>
    <row r="66" spans="1:1">
      <c r="A66" s="409" t="s">
        <v>385</v>
      </c>
    </row>
    <row r="67" spans="1:1">
      <c r="A67" s="409"/>
    </row>
    <row r="68" spans="1:1">
      <c r="A68" s="409" t="s">
        <v>386</v>
      </c>
    </row>
    <row r="69" spans="1:1">
      <c r="A69" s="409" t="s">
        <v>387</v>
      </c>
    </row>
    <row r="70" spans="1:1">
      <c r="A70" s="409" t="s">
        <v>388</v>
      </c>
    </row>
    <row r="71" spans="1:1">
      <c r="A71" s="409"/>
    </row>
    <row r="72" spans="1:1">
      <c r="A72" s="409" t="s">
        <v>389</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408" t="s">
        <v>390</v>
      </c>
      <c r="B3" s="408"/>
      <c r="C3" s="408"/>
      <c r="D3" s="408"/>
      <c r="E3" s="408"/>
      <c r="F3" s="408"/>
      <c r="G3" s="408"/>
      <c r="H3" s="411"/>
      <c r="I3" s="411"/>
      <c r="J3" s="411"/>
    </row>
    <row r="5" spans="1:10">
      <c r="A5" s="409" t="s">
        <v>391</v>
      </c>
    </row>
    <row r="6" spans="1:10">
      <c r="A6" t="str">
        <f>CONCATENATE(inputPrYr!D11-2," expenditures show that you finished the year with a ")</f>
        <v xml:space="preserve">2011 expenditures show that you finished the year with a </v>
      </c>
    </row>
    <row r="7" spans="1:10">
      <c r="A7" t="s">
        <v>392</v>
      </c>
    </row>
    <row r="9" spans="1:10">
      <c r="A9" t="s">
        <v>393</v>
      </c>
    </row>
    <row r="10" spans="1:10">
      <c r="A10" t="s">
        <v>394</v>
      </c>
    </row>
    <row r="11" spans="1:10">
      <c r="A11" t="s">
        <v>395</v>
      </c>
    </row>
    <row r="13" spans="1:10">
      <c r="A13" s="410" t="s">
        <v>396</v>
      </c>
    </row>
    <row r="14" spans="1:10">
      <c r="A14" s="410"/>
    </row>
    <row r="15" spans="1:10">
      <c r="A15" s="409" t="s">
        <v>397</v>
      </c>
    </row>
    <row r="16" spans="1:10">
      <c r="A16" s="409" t="s">
        <v>398</v>
      </c>
    </row>
    <row r="17" spans="1:1">
      <c r="A17" s="409" t="s">
        <v>399</v>
      </c>
    </row>
    <row r="18" spans="1:1">
      <c r="A18" s="409"/>
    </row>
    <row r="19" spans="1:1">
      <c r="A19" s="410" t="s">
        <v>400</v>
      </c>
    </row>
    <row r="20" spans="1:1">
      <c r="A20" s="410"/>
    </row>
    <row r="21" spans="1:1">
      <c r="A21" s="409" t="s">
        <v>401</v>
      </c>
    </row>
    <row r="22" spans="1:1">
      <c r="A22" s="409" t="s">
        <v>402</v>
      </c>
    </row>
    <row r="23" spans="1:1">
      <c r="A23" s="409" t="s">
        <v>403</v>
      </c>
    </row>
    <row r="24" spans="1:1">
      <c r="A24" s="409"/>
    </row>
    <row r="25" spans="1:1">
      <c r="A25" s="410" t="s">
        <v>404</v>
      </c>
    </row>
    <row r="26" spans="1:1">
      <c r="A26" s="410"/>
    </row>
    <row r="27" spans="1:1">
      <c r="A27" s="409" t="s">
        <v>405</v>
      </c>
    </row>
    <row r="28" spans="1:1">
      <c r="A28" s="409" t="s">
        <v>406</v>
      </c>
    </row>
    <row r="29" spans="1:1">
      <c r="A29" s="409" t="s">
        <v>407</v>
      </c>
    </row>
    <row r="30" spans="1:1">
      <c r="A30" s="409"/>
    </row>
    <row r="31" spans="1:1">
      <c r="A31" s="410" t="s">
        <v>408</v>
      </c>
    </row>
    <row r="32" spans="1:1">
      <c r="A32" s="410"/>
    </row>
    <row r="33" spans="1:8">
      <c r="A33" s="409" t="str">
        <f>CONCATENATE("If your financial records for ",inputPrYr!D11-2," are not closed")</f>
        <v>If your financial records for 2011 are not closed</v>
      </c>
      <c r="B33" s="409"/>
      <c r="C33" s="409"/>
      <c r="D33" s="409"/>
      <c r="E33" s="409"/>
      <c r="F33" s="409"/>
      <c r="G33" s="409"/>
      <c r="H33" s="409"/>
    </row>
    <row r="34" spans="1:8">
      <c r="A34" s="409" t="str">
        <f>CONCATENATE("(i.e. an audit has not been completed, or the ",inputPrYr!D11," adopted ")</f>
        <v xml:space="preserve">(i.e. an audit has not been completed, or the 2013 adopted </v>
      </c>
      <c r="B34" s="409"/>
      <c r="C34" s="409"/>
      <c r="D34" s="409"/>
      <c r="E34" s="409"/>
      <c r="F34" s="409"/>
      <c r="G34" s="409"/>
      <c r="H34" s="409"/>
    </row>
    <row r="35" spans="1:8">
      <c r="A35" s="409" t="s">
        <v>409</v>
      </c>
      <c r="B35" s="409"/>
      <c r="C35" s="409"/>
      <c r="D35" s="409"/>
      <c r="E35" s="409"/>
      <c r="F35" s="409"/>
      <c r="G35" s="409"/>
      <c r="H35" s="409"/>
    </row>
    <row r="36" spans="1:8">
      <c r="A36" s="409" t="s">
        <v>410</v>
      </c>
      <c r="B36" s="409"/>
      <c r="C36" s="409"/>
      <c r="D36" s="409"/>
      <c r="E36" s="409"/>
      <c r="F36" s="409"/>
      <c r="G36" s="409"/>
      <c r="H36" s="409"/>
    </row>
    <row r="37" spans="1:8">
      <c r="A37" s="409" t="s">
        <v>411</v>
      </c>
      <c r="B37" s="409"/>
      <c r="C37" s="409"/>
      <c r="D37" s="409"/>
      <c r="E37" s="409"/>
      <c r="F37" s="409"/>
      <c r="G37" s="409"/>
      <c r="H37" s="409"/>
    </row>
    <row r="38" spans="1:8">
      <c r="A38" s="409" t="s">
        <v>412</v>
      </c>
      <c r="B38" s="409"/>
      <c r="C38" s="409"/>
      <c r="D38" s="409"/>
      <c r="E38" s="409"/>
      <c r="F38" s="409"/>
      <c r="G38" s="409"/>
      <c r="H38" s="409"/>
    </row>
    <row r="39" spans="1:8">
      <c r="A39" s="409" t="s">
        <v>413</v>
      </c>
      <c r="B39" s="409"/>
      <c r="C39" s="409"/>
      <c r="D39" s="409"/>
      <c r="E39" s="409"/>
      <c r="F39" s="409"/>
      <c r="G39" s="409"/>
      <c r="H39" s="409"/>
    </row>
    <row r="40" spans="1:8">
      <c r="A40" s="409"/>
      <c r="B40" s="409"/>
      <c r="C40" s="409"/>
      <c r="D40" s="409"/>
      <c r="E40" s="409"/>
      <c r="F40" s="409"/>
      <c r="G40" s="409"/>
      <c r="H40" s="409"/>
    </row>
    <row r="41" spans="1:8">
      <c r="A41" s="409" t="s">
        <v>414</v>
      </c>
      <c r="B41" s="409"/>
      <c r="C41" s="409"/>
      <c r="D41" s="409"/>
      <c r="E41" s="409"/>
      <c r="F41" s="409"/>
      <c r="G41" s="409"/>
      <c r="H41" s="409"/>
    </row>
    <row r="42" spans="1:8">
      <c r="A42" s="409" t="s">
        <v>415</v>
      </c>
      <c r="B42" s="409"/>
      <c r="C42" s="409"/>
      <c r="D42" s="409"/>
      <c r="E42" s="409"/>
      <c r="F42" s="409"/>
      <c r="G42" s="409"/>
      <c r="H42" s="409"/>
    </row>
    <row r="43" spans="1:8">
      <c r="A43" s="409" t="s">
        <v>416</v>
      </c>
      <c r="B43" s="409"/>
      <c r="C43" s="409"/>
      <c r="D43" s="409"/>
      <c r="E43" s="409"/>
      <c r="F43" s="409"/>
      <c r="G43" s="409"/>
      <c r="H43" s="409"/>
    </row>
    <row r="44" spans="1:8">
      <c r="A44" s="409" t="s">
        <v>417</v>
      </c>
      <c r="B44" s="409"/>
      <c r="C44" s="409"/>
      <c r="D44" s="409"/>
      <c r="E44" s="409"/>
      <c r="F44" s="409"/>
      <c r="G44" s="409"/>
      <c r="H44" s="409"/>
    </row>
    <row r="45" spans="1:8">
      <c r="A45" s="409"/>
      <c r="B45" s="409"/>
      <c r="C45" s="409"/>
      <c r="D45" s="409"/>
      <c r="E45" s="409"/>
      <c r="F45" s="409"/>
      <c r="G45" s="409"/>
      <c r="H45" s="409"/>
    </row>
    <row r="46" spans="1:8">
      <c r="A46" s="409" t="s">
        <v>418</v>
      </c>
      <c r="B46" s="409"/>
      <c r="C46" s="409"/>
      <c r="D46" s="409"/>
      <c r="E46" s="409"/>
      <c r="F46" s="409"/>
      <c r="G46" s="409"/>
      <c r="H46" s="409"/>
    </row>
    <row r="47" spans="1:8">
      <c r="A47" s="409" t="s">
        <v>419</v>
      </c>
      <c r="B47" s="409"/>
      <c r="C47" s="409"/>
      <c r="D47" s="409"/>
      <c r="E47" s="409"/>
      <c r="F47" s="409"/>
      <c r="G47" s="409"/>
      <c r="H47" s="409"/>
    </row>
    <row r="48" spans="1:8">
      <c r="A48" s="409" t="s">
        <v>420</v>
      </c>
      <c r="B48" s="409"/>
      <c r="C48" s="409"/>
      <c r="D48" s="409"/>
      <c r="E48" s="409"/>
      <c r="F48" s="409"/>
      <c r="G48" s="409"/>
      <c r="H48" s="409"/>
    </row>
    <row r="49" spans="1:8">
      <c r="A49" s="409" t="s">
        <v>421</v>
      </c>
      <c r="B49" s="409"/>
      <c r="C49" s="409"/>
      <c r="D49" s="409"/>
      <c r="E49" s="409"/>
      <c r="F49" s="409"/>
      <c r="G49" s="409"/>
      <c r="H49" s="409"/>
    </row>
    <row r="50" spans="1:8">
      <c r="A50" s="409" t="s">
        <v>422</v>
      </c>
      <c r="B50" s="409"/>
      <c r="C50" s="409"/>
      <c r="D50" s="409"/>
      <c r="E50" s="409"/>
      <c r="F50" s="409"/>
      <c r="G50" s="409"/>
      <c r="H50" s="409"/>
    </row>
    <row r="51" spans="1:8">
      <c r="A51" s="409"/>
      <c r="B51" s="409"/>
      <c r="C51" s="409"/>
      <c r="D51" s="409"/>
      <c r="E51" s="409"/>
      <c r="F51" s="409"/>
      <c r="G51" s="409"/>
      <c r="H51" s="409"/>
    </row>
    <row r="52" spans="1:8">
      <c r="A52" s="410" t="s">
        <v>423</v>
      </c>
      <c r="B52" s="410"/>
      <c r="C52" s="410"/>
      <c r="D52" s="410"/>
      <c r="E52" s="410"/>
      <c r="F52" s="410"/>
      <c r="G52" s="410"/>
      <c r="H52" s="409"/>
    </row>
    <row r="53" spans="1:8">
      <c r="A53" s="410" t="s">
        <v>424</v>
      </c>
      <c r="B53" s="410"/>
      <c r="C53" s="410"/>
      <c r="D53" s="410"/>
      <c r="E53" s="410"/>
      <c r="F53" s="410"/>
      <c r="G53" s="410"/>
      <c r="H53" s="409"/>
    </row>
    <row r="54" spans="1:8">
      <c r="A54" s="409"/>
      <c r="B54" s="409"/>
      <c r="C54" s="409"/>
      <c r="D54" s="409"/>
      <c r="E54" s="409"/>
      <c r="F54" s="409"/>
      <c r="G54" s="409"/>
      <c r="H54" s="409"/>
    </row>
    <row r="55" spans="1:8">
      <c r="A55" s="409" t="s">
        <v>425</v>
      </c>
      <c r="B55" s="409"/>
      <c r="C55" s="409"/>
      <c r="D55" s="409"/>
      <c r="E55" s="409"/>
      <c r="F55" s="409"/>
      <c r="G55" s="409"/>
      <c r="H55" s="409"/>
    </row>
    <row r="56" spans="1:8">
      <c r="A56" s="409" t="s">
        <v>426</v>
      </c>
      <c r="B56" s="409"/>
      <c r="C56" s="409"/>
      <c r="D56" s="409"/>
      <c r="E56" s="409"/>
      <c r="F56" s="409"/>
      <c r="G56" s="409"/>
      <c r="H56" s="409"/>
    </row>
    <row r="57" spans="1:8">
      <c r="A57" s="409" t="s">
        <v>427</v>
      </c>
      <c r="B57" s="409"/>
      <c r="C57" s="409"/>
      <c r="D57" s="409"/>
      <c r="E57" s="409"/>
      <c r="F57" s="409"/>
      <c r="G57" s="409"/>
      <c r="H57" s="409"/>
    </row>
    <row r="58" spans="1:8">
      <c r="A58" s="409" t="s">
        <v>428</v>
      </c>
      <c r="B58" s="409"/>
      <c r="C58" s="409"/>
      <c r="D58" s="409"/>
      <c r="E58" s="409"/>
      <c r="F58" s="409"/>
      <c r="G58" s="409"/>
      <c r="H58" s="409"/>
    </row>
    <row r="59" spans="1:8">
      <c r="A59" s="409"/>
      <c r="B59" s="409"/>
      <c r="C59" s="409"/>
      <c r="D59" s="409"/>
      <c r="E59" s="409"/>
      <c r="F59" s="409"/>
      <c r="G59" s="409"/>
      <c r="H59" s="409"/>
    </row>
    <row r="60" spans="1:8">
      <c r="A60" s="409" t="s">
        <v>429</v>
      </c>
      <c r="B60" s="409"/>
      <c r="C60" s="409"/>
      <c r="D60" s="409"/>
      <c r="E60" s="409"/>
      <c r="F60" s="409"/>
      <c r="G60" s="409"/>
      <c r="H60" s="409"/>
    </row>
    <row r="61" spans="1:8">
      <c r="A61" s="409" t="s">
        <v>430</v>
      </c>
      <c r="B61" s="409"/>
      <c r="C61" s="409"/>
      <c r="D61" s="409"/>
      <c r="E61" s="409"/>
      <c r="F61" s="409"/>
      <c r="G61" s="409"/>
      <c r="H61" s="409"/>
    </row>
    <row r="62" spans="1:8">
      <c r="A62" s="409" t="s">
        <v>431</v>
      </c>
      <c r="B62" s="409"/>
      <c r="C62" s="409"/>
      <c r="D62" s="409"/>
      <c r="E62" s="409"/>
      <c r="F62" s="409"/>
      <c r="G62" s="409"/>
      <c r="H62" s="409"/>
    </row>
    <row r="63" spans="1:8">
      <c r="A63" s="409" t="s">
        <v>432</v>
      </c>
      <c r="B63" s="409"/>
      <c r="C63" s="409"/>
      <c r="D63" s="409"/>
      <c r="E63" s="409"/>
      <c r="F63" s="409"/>
      <c r="G63" s="409"/>
      <c r="H63" s="409"/>
    </row>
    <row r="64" spans="1:8">
      <c r="A64" s="409" t="s">
        <v>433</v>
      </c>
      <c r="B64" s="409"/>
      <c r="C64" s="409"/>
      <c r="D64" s="409"/>
      <c r="E64" s="409"/>
      <c r="F64" s="409"/>
      <c r="G64" s="409"/>
      <c r="H64" s="409"/>
    </row>
    <row r="65" spans="1:8">
      <c r="A65" s="409" t="s">
        <v>434</v>
      </c>
      <c r="B65" s="409"/>
      <c r="C65" s="409"/>
      <c r="D65" s="409"/>
      <c r="E65" s="409"/>
      <c r="F65" s="409"/>
      <c r="G65" s="409"/>
      <c r="H65" s="409"/>
    </row>
    <row r="66" spans="1:8">
      <c r="A66" s="409"/>
      <c r="B66" s="409"/>
      <c r="C66" s="409"/>
      <c r="D66" s="409"/>
      <c r="E66" s="409"/>
      <c r="F66" s="409"/>
      <c r="G66" s="409"/>
      <c r="H66" s="409"/>
    </row>
    <row r="67" spans="1:8">
      <c r="A67" s="409" t="s">
        <v>435</v>
      </c>
      <c r="B67" s="409"/>
      <c r="C67" s="409"/>
      <c r="D67" s="409"/>
      <c r="E67" s="409"/>
      <c r="F67" s="409"/>
      <c r="G67" s="409"/>
      <c r="H67" s="409"/>
    </row>
    <row r="68" spans="1:8">
      <c r="A68" s="409" t="s">
        <v>436</v>
      </c>
      <c r="B68" s="409"/>
      <c r="C68" s="409"/>
      <c r="D68" s="409"/>
      <c r="E68" s="409"/>
      <c r="F68" s="409"/>
      <c r="G68" s="409"/>
      <c r="H68" s="409"/>
    </row>
    <row r="69" spans="1:8">
      <c r="A69" s="409" t="s">
        <v>437</v>
      </c>
      <c r="B69" s="409"/>
      <c r="C69" s="409"/>
      <c r="D69" s="409"/>
      <c r="E69" s="409"/>
      <c r="F69" s="409"/>
      <c r="G69" s="409"/>
      <c r="H69" s="409"/>
    </row>
    <row r="70" spans="1:8">
      <c r="A70" s="409" t="s">
        <v>438</v>
      </c>
      <c r="B70" s="409"/>
      <c r="C70" s="409"/>
      <c r="D70" s="409"/>
      <c r="E70" s="409"/>
      <c r="F70" s="409"/>
      <c r="G70" s="409"/>
      <c r="H70" s="409"/>
    </row>
    <row r="71" spans="1:8">
      <c r="A71" s="409" t="s">
        <v>439</v>
      </c>
      <c r="B71" s="409"/>
      <c r="C71" s="409"/>
      <c r="D71" s="409"/>
      <c r="E71" s="409"/>
      <c r="F71" s="409"/>
      <c r="G71" s="409"/>
      <c r="H71" s="409"/>
    </row>
    <row r="72" spans="1:8">
      <c r="A72" s="409" t="s">
        <v>440</v>
      </c>
      <c r="B72" s="409"/>
      <c r="C72" s="409"/>
      <c r="D72" s="409"/>
      <c r="E72" s="409"/>
      <c r="F72" s="409"/>
      <c r="G72" s="409"/>
      <c r="H72" s="409"/>
    </row>
    <row r="73" spans="1:8">
      <c r="A73" s="409" t="s">
        <v>441</v>
      </c>
      <c r="B73" s="409"/>
      <c r="C73" s="409"/>
      <c r="D73" s="409"/>
      <c r="E73" s="409"/>
      <c r="F73" s="409"/>
      <c r="G73" s="409"/>
      <c r="H73" s="409"/>
    </row>
    <row r="74" spans="1:8">
      <c r="A74" s="409"/>
      <c r="B74" s="409"/>
      <c r="C74" s="409"/>
      <c r="D74" s="409"/>
      <c r="E74" s="409"/>
      <c r="F74" s="409"/>
      <c r="G74" s="409"/>
      <c r="H74" s="409"/>
    </row>
    <row r="75" spans="1:8">
      <c r="A75" s="409" t="s">
        <v>442</v>
      </c>
      <c r="B75" s="409"/>
      <c r="C75" s="409"/>
      <c r="D75" s="409"/>
      <c r="E75" s="409"/>
      <c r="F75" s="409"/>
      <c r="G75" s="409"/>
      <c r="H75" s="409"/>
    </row>
    <row r="76" spans="1:8">
      <c r="A76" s="409" t="s">
        <v>443</v>
      </c>
      <c r="B76" s="409"/>
      <c r="C76" s="409"/>
      <c r="D76" s="409"/>
      <c r="E76" s="409"/>
      <c r="F76" s="409"/>
      <c r="G76" s="409"/>
      <c r="H76" s="409"/>
    </row>
    <row r="77" spans="1:8">
      <c r="A77" s="409" t="s">
        <v>444</v>
      </c>
      <c r="B77" s="409"/>
      <c r="C77" s="409"/>
      <c r="D77" s="409"/>
      <c r="E77" s="409"/>
      <c r="F77" s="409"/>
      <c r="G77" s="409"/>
      <c r="H77" s="409"/>
    </row>
    <row r="78" spans="1:8">
      <c r="A78" s="409"/>
      <c r="B78" s="409"/>
      <c r="C78" s="409"/>
      <c r="D78" s="409"/>
      <c r="E78" s="409"/>
      <c r="F78" s="409"/>
      <c r="G78" s="409"/>
      <c r="H78" s="409"/>
    </row>
    <row r="79" spans="1:8">
      <c r="A79" s="409" t="s">
        <v>389</v>
      </c>
    </row>
    <row r="80" spans="1:8">
      <c r="A80" s="410"/>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1" spans="1:1">
      <c r="A91"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3" spans="1:1">
      <c r="A103" s="409"/>
    </row>
    <row r="104" spans="1:1">
      <c r="A104" s="409"/>
    </row>
    <row r="105" spans="1:1">
      <c r="A105" s="409"/>
    </row>
    <row r="107" spans="1:1">
      <c r="A107" s="410"/>
    </row>
    <row r="108" spans="1:1">
      <c r="A108" s="410"/>
    </row>
    <row r="109" spans="1:1">
      <c r="A109" s="410"/>
    </row>
  </sheetData>
  <sheetProtection sheet="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408" t="s">
        <v>445</v>
      </c>
      <c r="B3" s="408"/>
      <c r="C3" s="408"/>
      <c r="D3" s="408"/>
      <c r="E3" s="408"/>
      <c r="F3" s="408"/>
      <c r="G3" s="408"/>
      <c r="H3" s="408"/>
      <c r="I3" s="408"/>
      <c r="J3" s="408"/>
      <c r="K3" s="408"/>
      <c r="L3" s="408"/>
    </row>
    <row r="4" spans="1:12">
      <c r="A4" s="408"/>
      <c r="B4" s="408"/>
      <c r="C4" s="408"/>
      <c r="D4" s="408"/>
      <c r="E4" s="408"/>
      <c r="F4" s="408"/>
      <c r="G4" s="408"/>
      <c r="H4" s="408"/>
      <c r="I4" s="408"/>
      <c r="J4" s="408"/>
      <c r="K4" s="408"/>
      <c r="L4" s="408"/>
    </row>
    <row r="5" spans="1:12">
      <c r="A5" s="409" t="s">
        <v>345</v>
      </c>
      <c r="I5" s="408"/>
      <c r="J5" s="408"/>
      <c r="K5" s="408"/>
      <c r="L5" s="408"/>
    </row>
    <row r="6" spans="1:12">
      <c r="A6" s="409" t="str">
        <f>CONCATENATE("estimated ",inputPrYr!D11-1," 'total expenditures' exceed your ",inputPrYr!D11-1,"")</f>
        <v>estimated 2012 'total expenditures' exceed your 2012</v>
      </c>
      <c r="I6" s="408"/>
      <c r="J6" s="408"/>
      <c r="K6" s="408"/>
      <c r="L6" s="408"/>
    </row>
    <row r="7" spans="1:12">
      <c r="A7" s="412" t="s">
        <v>446</v>
      </c>
      <c r="I7" s="408"/>
      <c r="J7" s="408"/>
      <c r="K7" s="408"/>
      <c r="L7" s="408"/>
    </row>
    <row r="8" spans="1:12">
      <c r="A8" s="409"/>
      <c r="I8" s="408"/>
      <c r="J8" s="408"/>
      <c r="K8" s="408"/>
      <c r="L8" s="408"/>
    </row>
    <row r="9" spans="1:12">
      <c r="A9" s="409" t="s">
        <v>447</v>
      </c>
      <c r="I9" s="408"/>
      <c r="J9" s="408"/>
      <c r="K9" s="408"/>
      <c r="L9" s="408"/>
    </row>
    <row r="10" spans="1:12">
      <c r="A10" s="409" t="s">
        <v>448</v>
      </c>
      <c r="I10" s="408"/>
      <c r="J10" s="408"/>
      <c r="K10" s="408"/>
      <c r="L10" s="408"/>
    </row>
    <row r="11" spans="1:12">
      <c r="A11" s="409" t="s">
        <v>449</v>
      </c>
      <c r="I11" s="408"/>
      <c r="J11" s="408"/>
      <c r="K11" s="408"/>
      <c r="L11" s="408"/>
    </row>
    <row r="12" spans="1:12">
      <c r="A12" s="409" t="s">
        <v>450</v>
      </c>
      <c r="I12" s="408"/>
      <c r="J12" s="408"/>
      <c r="K12" s="408"/>
      <c r="L12" s="408"/>
    </row>
    <row r="13" spans="1:12">
      <c r="A13" s="409" t="s">
        <v>451</v>
      </c>
      <c r="I13" s="408"/>
      <c r="J13" s="408"/>
      <c r="K13" s="408"/>
      <c r="L13" s="408"/>
    </row>
    <row r="14" spans="1:12">
      <c r="A14" s="408"/>
      <c r="B14" s="408"/>
      <c r="C14" s="408"/>
      <c r="D14" s="408"/>
      <c r="E14" s="408"/>
      <c r="F14" s="408"/>
      <c r="G14" s="408"/>
      <c r="H14" s="408"/>
      <c r="I14" s="408"/>
      <c r="J14" s="408"/>
      <c r="K14" s="408"/>
      <c r="L14" s="408"/>
    </row>
    <row r="15" spans="1:12">
      <c r="A15" s="410" t="s">
        <v>452</v>
      </c>
    </row>
    <row r="16" spans="1:12">
      <c r="A16" s="410" t="s">
        <v>453</v>
      </c>
    </row>
    <row r="17" spans="1:7">
      <c r="A17" s="410"/>
    </row>
    <row r="18" spans="1:7">
      <c r="A18" s="409" t="s">
        <v>454</v>
      </c>
      <c r="B18" s="409"/>
      <c r="C18" s="409"/>
      <c r="D18" s="409"/>
      <c r="E18" s="409"/>
      <c r="F18" s="409"/>
      <c r="G18" s="409"/>
    </row>
    <row r="19" spans="1:7">
      <c r="A19" s="409" t="str">
        <f>CONCATENATE("your ",inputPrYr!D11-1," numbers to see what steps might be necessary to")</f>
        <v>your 2012 numbers to see what steps might be necessary to</v>
      </c>
      <c r="B19" s="409"/>
      <c r="C19" s="409"/>
      <c r="D19" s="409"/>
      <c r="E19" s="409"/>
      <c r="F19" s="409"/>
      <c r="G19" s="409"/>
    </row>
    <row r="20" spans="1:7">
      <c r="A20" s="409" t="s">
        <v>455</v>
      </c>
      <c r="B20" s="409"/>
      <c r="C20" s="409"/>
      <c r="D20" s="409"/>
      <c r="E20" s="409"/>
      <c r="F20" s="409"/>
      <c r="G20" s="409"/>
    </row>
    <row r="21" spans="1:7">
      <c r="A21" s="409" t="s">
        <v>456</v>
      </c>
      <c r="B21" s="409"/>
      <c r="C21" s="409"/>
      <c r="D21" s="409"/>
      <c r="E21" s="409"/>
      <c r="F21" s="409"/>
      <c r="G21" s="409"/>
    </row>
    <row r="22" spans="1:7">
      <c r="A22" s="409"/>
    </row>
    <row r="23" spans="1:7">
      <c r="A23" s="410" t="s">
        <v>457</v>
      </c>
    </row>
    <row r="24" spans="1:7">
      <c r="A24" s="410"/>
    </row>
    <row r="25" spans="1:7">
      <c r="A25" s="409" t="s">
        <v>458</v>
      </c>
    </row>
    <row r="26" spans="1:7">
      <c r="A26" s="409" t="s">
        <v>459</v>
      </c>
      <c r="B26" s="409"/>
      <c r="C26" s="409"/>
      <c r="D26" s="409"/>
      <c r="E26" s="409"/>
      <c r="F26" s="409"/>
    </row>
    <row r="27" spans="1:7">
      <c r="A27" s="409" t="s">
        <v>460</v>
      </c>
      <c r="B27" s="409"/>
      <c r="C27" s="409"/>
      <c r="D27" s="409"/>
      <c r="E27" s="409"/>
      <c r="F27" s="409"/>
    </row>
    <row r="28" spans="1:7">
      <c r="A28" s="409" t="s">
        <v>461</v>
      </c>
      <c r="B28" s="409"/>
      <c r="C28" s="409"/>
      <c r="D28" s="409"/>
      <c r="E28" s="409"/>
      <c r="F28" s="409"/>
    </row>
    <row r="29" spans="1:7">
      <c r="A29" s="409"/>
      <c r="B29" s="409"/>
      <c r="C29" s="409"/>
      <c r="D29" s="409"/>
      <c r="E29" s="409"/>
      <c r="F29" s="409"/>
    </row>
    <row r="30" spans="1:7">
      <c r="A30" s="410" t="s">
        <v>462</v>
      </c>
      <c r="B30" s="410"/>
      <c r="C30" s="410"/>
      <c r="D30" s="410"/>
      <c r="E30" s="410"/>
      <c r="F30" s="410"/>
      <c r="G30" s="410"/>
    </row>
    <row r="31" spans="1:7">
      <c r="A31" s="410" t="s">
        <v>463</v>
      </c>
      <c r="B31" s="410"/>
      <c r="C31" s="410"/>
      <c r="D31" s="410"/>
      <c r="E31" s="410"/>
      <c r="F31" s="410"/>
      <c r="G31" s="410"/>
    </row>
    <row r="32" spans="1:7">
      <c r="A32" s="409"/>
      <c r="B32" s="409"/>
      <c r="C32" s="409"/>
      <c r="D32" s="409"/>
      <c r="E32" s="409"/>
      <c r="F32" s="409"/>
    </row>
    <row r="33" spans="1:6">
      <c r="A33" s="413" t="str">
        <f>CONCATENATE("Well, let's look to see if any of your ",inputPrYr!D11-1," expenditures can")</f>
        <v>Well, let's look to see if any of your 2012 expenditures can</v>
      </c>
      <c r="B33" s="409"/>
      <c r="C33" s="409"/>
      <c r="D33" s="409"/>
      <c r="E33" s="409"/>
      <c r="F33" s="409"/>
    </row>
    <row r="34" spans="1:6">
      <c r="A34" s="413" t="s">
        <v>464</v>
      </c>
      <c r="B34" s="409"/>
      <c r="C34" s="409"/>
      <c r="D34" s="409"/>
      <c r="E34" s="409"/>
      <c r="F34" s="409"/>
    </row>
    <row r="35" spans="1:6">
      <c r="A35" s="413" t="s">
        <v>359</v>
      </c>
      <c r="B35" s="409"/>
      <c r="C35" s="409"/>
      <c r="D35" s="409"/>
      <c r="E35" s="409"/>
      <c r="F35" s="409"/>
    </row>
    <row r="36" spans="1:6">
      <c r="A36" s="413" t="s">
        <v>360</v>
      </c>
      <c r="B36" s="409"/>
      <c r="C36" s="409"/>
      <c r="D36" s="409"/>
      <c r="E36" s="409"/>
      <c r="F36" s="409"/>
    </row>
    <row r="37" spans="1:6">
      <c r="A37" s="413"/>
      <c r="B37" s="409"/>
      <c r="C37" s="409"/>
      <c r="D37" s="409"/>
      <c r="E37" s="409"/>
      <c r="F37" s="409"/>
    </row>
    <row r="38" spans="1:6">
      <c r="A38" s="413" t="str">
        <f>CONCATENATE("Additionally, do your ",inputPrYr!D11-1," receipts contain a reimbursement")</f>
        <v>Additionally, do your 2012 receipts contain a reimbursement</v>
      </c>
      <c r="B38" s="409"/>
      <c r="C38" s="409"/>
      <c r="D38" s="409"/>
      <c r="E38" s="409"/>
      <c r="F38" s="409"/>
    </row>
    <row r="39" spans="1:6">
      <c r="A39" s="413" t="s">
        <v>361</v>
      </c>
      <c r="B39" s="409"/>
      <c r="C39" s="409"/>
      <c r="D39" s="409"/>
      <c r="E39" s="409"/>
      <c r="F39" s="409"/>
    </row>
    <row r="40" spans="1:6">
      <c r="A40" s="413" t="s">
        <v>362</v>
      </c>
      <c r="B40" s="409"/>
      <c r="C40" s="409"/>
      <c r="D40" s="409"/>
      <c r="E40" s="409"/>
      <c r="F40" s="409"/>
    </row>
    <row r="41" spans="1:6">
      <c r="A41" s="413"/>
      <c r="B41" s="409"/>
      <c r="C41" s="409"/>
      <c r="D41" s="409"/>
      <c r="E41" s="409"/>
      <c r="F41" s="409"/>
    </row>
    <row r="42" spans="1:6">
      <c r="A42" s="413" t="s">
        <v>465</v>
      </c>
      <c r="B42" s="409"/>
      <c r="C42" s="409"/>
      <c r="D42" s="409"/>
      <c r="E42" s="409"/>
      <c r="F42" s="409"/>
    </row>
    <row r="43" spans="1:6">
      <c r="A43" s="413" t="s">
        <v>466</v>
      </c>
      <c r="B43" s="409"/>
      <c r="C43" s="409"/>
      <c r="D43" s="409"/>
      <c r="E43" s="409"/>
      <c r="F43" s="409"/>
    </row>
    <row r="44" spans="1:6">
      <c r="A44" s="413" t="s">
        <v>467</v>
      </c>
      <c r="B44" s="409"/>
      <c r="C44" s="409"/>
      <c r="D44" s="409"/>
      <c r="E44" s="409"/>
      <c r="F44" s="409"/>
    </row>
    <row r="45" spans="1:6">
      <c r="A45" s="413" t="s">
        <v>468</v>
      </c>
      <c r="B45" s="409"/>
      <c r="C45" s="409"/>
      <c r="D45" s="409"/>
      <c r="E45" s="409"/>
      <c r="F45" s="409"/>
    </row>
    <row r="46" spans="1:6">
      <c r="A46" s="413" t="s">
        <v>469</v>
      </c>
      <c r="B46" s="409"/>
      <c r="C46" s="409"/>
      <c r="D46" s="409"/>
      <c r="E46" s="409"/>
      <c r="F46" s="409"/>
    </row>
    <row r="47" spans="1:6">
      <c r="A47" s="413"/>
      <c r="B47" s="409"/>
      <c r="C47" s="409"/>
      <c r="D47" s="409"/>
      <c r="E47" s="409"/>
      <c r="F47" s="409"/>
    </row>
    <row r="48" spans="1:6">
      <c r="A48" s="414" t="s">
        <v>470</v>
      </c>
      <c r="B48" s="409"/>
      <c r="C48" s="409"/>
      <c r="D48" s="409"/>
      <c r="E48" s="409"/>
      <c r="F48" s="409"/>
    </row>
    <row r="49" spans="1:6">
      <c r="A49" s="414" t="s">
        <v>471</v>
      </c>
      <c r="B49" s="409"/>
      <c r="C49" s="409"/>
      <c r="D49" s="409"/>
      <c r="E49" s="409"/>
      <c r="F49" s="409"/>
    </row>
    <row r="50" spans="1:6">
      <c r="A50" s="414" t="s">
        <v>472</v>
      </c>
      <c r="B50" s="409"/>
      <c r="C50" s="409"/>
      <c r="D50" s="409"/>
      <c r="E50" s="409"/>
      <c r="F50" s="409"/>
    </row>
    <row r="51" spans="1:6">
      <c r="A51" s="414" t="s">
        <v>473</v>
      </c>
    </row>
    <row r="52" spans="1:6">
      <c r="A52" s="414" t="s">
        <v>474</v>
      </c>
    </row>
    <row r="53" spans="1:6">
      <c r="A53" s="414" t="s">
        <v>475</v>
      </c>
    </row>
    <row r="55" spans="1:6">
      <c r="A55" s="409" t="s">
        <v>476</v>
      </c>
    </row>
    <row r="56" spans="1:6">
      <c r="A56" s="409" t="s">
        <v>477</v>
      </c>
    </row>
    <row r="57" spans="1:6">
      <c r="A57" s="409" t="s">
        <v>478</v>
      </c>
    </row>
    <row r="58" spans="1:6">
      <c r="A58" s="409" t="s">
        <v>479</v>
      </c>
    </row>
    <row r="59" spans="1:6">
      <c r="A59" s="409" t="s">
        <v>480</v>
      </c>
    </row>
    <row r="60" spans="1:6">
      <c r="A60" s="409" t="s">
        <v>481</v>
      </c>
    </row>
    <row r="62" spans="1:6">
      <c r="A62" s="409" t="s">
        <v>389</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408" t="s">
        <v>482</v>
      </c>
      <c r="B3" s="408"/>
      <c r="C3" s="408"/>
      <c r="D3" s="408"/>
      <c r="E3" s="408"/>
      <c r="F3" s="408"/>
      <c r="G3" s="408"/>
    </row>
    <row r="4" spans="1:7">
      <c r="A4" s="408"/>
      <c r="B4" s="408"/>
      <c r="C4" s="408"/>
      <c r="D4" s="408"/>
      <c r="E4" s="408"/>
      <c r="F4" s="408"/>
      <c r="G4" s="408"/>
    </row>
    <row r="5" spans="1:7">
      <c r="A5" s="409" t="s">
        <v>391</v>
      </c>
    </row>
    <row r="6" spans="1:7">
      <c r="A6" s="409" t="str">
        <f>CONCATENATE(inputPrYr!D11-1," estimated expenditures show that at the end of this year")</f>
        <v>2012 estimated expenditures show that at the end of this year</v>
      </c>
    </row>
    <row r="7" spans="1:7">
      <c r="A7" s="409" t="s">
        <v>483</v>
      </c>
    </row>
    <row r="8" spans="1:7">
      <c r="A8" s="409" t="s">
        <v>484</v>
      </c>
    </row>
    <row r="10" spans="1:7">
      <c r="A10" t="s">
        <v>393</v>
      </c>
    </row>
    <row r="11" spans="1:7">
      <c r="A11" t="s">
        <v>394</v>
      </c>
    </row>
    <row r="12" spans="1:7">
      <c r="A12" t="s">
        <v>395</v>
      </c>
    </row>
    <row r="13" spans="1:7">
      <c r="A13" s="408"/>
      <c r="B13" s="408"/>
      <c r="C13" s="408"/>
      <c r="D13" s="408"/>
      <c r="E13" s="408"/>
      <c r="F13" s="408"/>
      <c r="G13" s="408"/>
    </row>
    <row r="14" spans="1:7">
      <c r="A14" s="410" t="s">
        <v>485</v>
      </c>
    </row>
    <row r="15" spans="1:7">
      <c r="A15" s="409"/>
    </row>
    <row r="16" spans="1:7">
      <c r="A16" s="409" t="s">
        <v>486</v>
      </c>
    </row>
    <row r="17" spans="1:7">
      <c r="A17" s="409" t="s">
        <v>487</v>
      </c>
    </row>
    <row r="18" spans="1:7">
      <c r="A18" s="409" t="s">
        <v>488</v>
      </c>
    </row>
    <row r="19" spans="1:7">
      <c r="A19" s="409"/>
    </row>
    <row r="20" spans="1:7">
      <c r="A20" s="409" t="s">
        <v>489</v>
      </c>
    </row>
    <row r="21" spans="1:7">
      <c r="A21" s="409" t="s">
        <v>490</v>
      </c>
    </row>
    <row r="22" spans="1:7">
      <c r="A22" s="409" t="s">
        <v>491</v>
      </c>
    </row>
    <row r="23" spans="1:7">
      <c r="A23" s="409" t="s">
        <v>492</v>
      </c>
    </row>
    <row r="24" spans="1:7">
      <c r="A24" s="409"/>
    </row>
    <row r="25" spans="1:7">
      <c r="A25" s="410" t="s">
        <v>457</v>
      </c>
    </row>
    <row r="26" spans="1:7">
      <c r="A26" s="410"/>
    </row>
    <row r="27" spans="1:7">
      <c r="A27" s="409" t="s">
        <v>458</v>
      </c>
    </row>
    <row r="28" spans="1:7">
      <c r="A28" s="409" t="s">
        <v>459</v>
      </c>
      <c r="B28" s="409"/>
      <c r="C28" s="409"/>
      <c r="D28" s="409"/>
      <c r="E28" s="409"/>
      <c r="F28" s="409"/>
    </row>
    <row r="29" spans="1:7">
      <c r="A29" s="409" t="s">
        <v>460</v>
      </c>
      <c r="B29" s="409"/>
      <c r="C29" s="409"/>
      <c r="D29" s="409"/>
      <c r="E29" s="409"/>
      <c r="F29" s="409"/>
    </row>
    <row r="30" spans="1:7">
      <c r="A30" s="409" t="s">
        <v>461</v>
      </c>
      <c r="B30" s="409"/>
      <c r="C30" s="409"/>
      <c r="D30" s="409"/>
      <c r="E30" s="409"/>
      <c r="F30" s="409"/>
    </row>
    <row r="31" spans="1:7">
      <c r="A31" s="409"/>
    </row>
    <row r="32" spans="1:7">
      <c r="A32" s="410" t="s">
        <v>462</v>
      </c>
      <c r="B32" s="410"/>
      <c r="C32" s="410"/>
      <c r="D32" s="410"/>
      <c r="E32" s="410"/>
      <c r="F32" s="410"/>
      <c r="G32" s="410"/>
    </row>
    <row r="33" spans="1:7">
      <c r="A33" s="410" t="s">
        <v>463</v>
      </c>
      <c r="B33" s="410"/>
      <c r="C33" s="410"/>
      <c r="D33" s="410"/>
      <c r="E33" s="410"/>
      <c r="F33" s="410"/>
      <c r="G33" s="410"/>
    </row>
    <row r="34" spans="1:7">
      <c r="A34" s="410"/>
      <c r="B34" s="410"/>
      <c r="C34" s="410"/>
      <c r="D34" s="410"/>
      <c r="E34" s="410"/>
      <c r="F34" s="410"/>
      <c r="G34" s="410"/>
    </row>
    <row r="35" spans="1:7">
      <c r="A35" s="409" t="s">
        <v>493</v>
      </c>
      <c r="B35" s="409"/>
      <c r="C35" s="409"/>
      <c r="D35" s="409"/>
      <c r="E35" s="409"/>
      <c r="F35" s="409"/>
      <c r="G35" s="409"/>
    </row>
    <row r="36" spans="1:7">
      <c r="A36" s="409" t="s">
        <v>494</v>
      </c>
      <c r="B36" s="409"/>
      <c r="C36" s="409"/>
      <c r="D36" s="409"/>
      <c r="E36" s="409"/>
      <c r="F36" s="409"/>
      <c r="G36" s="409"/>
    </row>
    <row r="37" spans="1:7">
      <c r="A37" s="409" t="s">
        <v>495</v>
      </c>
      <c r="B37" s="409"/>
      <c r="C37" s="409"/>
      <c r="D37" s="409"/>
      <c r="E37" s="409"/>
      <c r="F37" s="409"/>
      <c r="G37" s="409"/>
    </row>
    <row r="38" spans="1:7">
      <c r="A38" s="409" t="s">
        <v>496</v>
      </c>
      <c r="B38" s="409"/>
      <c r="C38" s="409"/>
      <c r="D38" s="409"/>
      <c r="E38" s="409"/>
      <c r="F38" s="409"/>
      <c r="G38" s="409"/>
    </row>
    <row r="39" spans="1:7">
      <c r="A39" s="409" t="s">
        <v>497</v>
      </c>
      <c r="B39" s="409"/>
      <c r="C39" s="409"/>
      <c r="D39" s="409"/>
      <c r="E39" s="409"/>
      <c r="F39" s="409"/>
      <c r="G39" s="409"/>
    </row>
    <row r="40" spans="1:7">
      <c r="A40" s="410"/>
      <c r="B40" s="410"/>
      <c r="C40" s="410"/>
      <c r="D40" s="410"/>
      <c r="E40" s="410"/>
      <c r="F40" s="410"/>
      <c r="G40" s="410"/>
    </row>
    <row r="41" spans="1:7">
      <c r="A41" s="413" t="str">
        <f>CONCATENATE("So, let's look to see if any of your ",inputPrYr!D11-1," expenditures can")</f>
        <v>So, let's look to see if any of your 2012 expenditures can</v>
      </c>
      <c r="B41" s="409"/>
      <c r="C41" s="409"/>
      <c r="D41" s="409"/>
      <c r="E41" s="409"/>
      <c r="F41" s="409"/>
    </row>
    <row r="42" spans="1:7">
      <c r="A42" s="413" t="s">
        <v>464</v>
      </c>
      <c r="B42" s="409"/>
      <c r="C42" s="409"/>
      <c r="D42" s="409"/>
      <c r="E42" s="409"/>
      <c r="F42" s="409"/>
    </row>
    <row r="43" spans="1:7">
      <c r="A43" s="413" t="s">
        <v>359</v>
      </c>
      <c r="B43" s="409"/>
      <c r="C43" s="409"/>
      <c r="D43" s="409"/>
      <c r="E43" s="409"/>
      <c r="F43" s="409"/>
    </row>
    <row r="44" spans="1:7">
      <c r="A44" s="413" t="s">
        <v>360</v>
      </c>
      <c r="B44" s="409"/>
      <c r="C44" s="409"/>
      <c r="D44" s="409"/>
      <c r="E44" s="409"/>
      <c r="F44" s="409"/>
    </row>
    <row r="45" spans="1:7">
      <c r="A45" s="409"/>
    </row>
    <row r="46" spans="1:7">
      <c r="A46" s="413" t="str">
        <f>CONCATENATE("Additionally, do your ",inputPrYr!D11-1," receipts contain a reimbursement")</f>
        <v>Additionally, do your 2012 receipts contain a reimbursement</v>
      </c>
      <c r="B46" s="409"/>
      <c r="C46" s="409"/>
      <c r="D46" s="409"/>
      <c r="E46" s="409"/>
      <c r="F46" s="409"/>
    </row>
    <row r="47" spans="1:7">
      <c r="A47" s="413" t="s">
        <v>361</v>
      </c>
      <c r="B47" s="409"/>
      <c r="C47" s="409"/>
      <c r="D47" s="409"/>
      <c r="E47" s="409"/>
      <c r="F47" s="409"/>
    </row>
    <row r="48" spans="1:7">
      <c r="A48" s="413" t="s">
        <v>362</v>
      </c>
      <c r="B48" s="409"/>
      <c r="C48" s="409"/>
      <c r="D48" s="409"/>
      <c r="E48" s="409"/>
      <c r="F48" s="409"/>
    </row>
    <row r="49" spans="1:7">
      <c r="A49" s="409"/>
      <c r="B49" s="409"/>
      <c r="C49" s="409"/>
      <c r="D49" s="409"/>
      <c r="E49" s="409"/>
      <c r="F49" s="409"/>
      <c r="G49" s="409"/>
    </row>
    <row r="50" spans="1:7">
      <c r="A50" s="409" t="s">
        <v>418</v>
      </c>
      <c r="B50" s="409"/>
      <c r="C50" s="409"/>
      <c r="D50" s="409"/>
      <c r="E50" s="409"/>
      <c r="F50" s="409"/>
      <c r="G50" s="409"/>
    </row>
    <row r="51" spans="1:7">
      <c r="A51" s="409" t="s">
        <v>419</v>
      </c>
      <c r="B51" s="409"/>
      <c r="C51" s="409"/>
      <c r="D51" s="409"/>
      <c r="E51" s="409"/>
      <c r="F51" s="409"/>
      <c r="G51" s="409"/>
    </row>
    <row r="52" spans="1:7">
      <c r="A52" s="409" t="s">
        <v>420</v>
      </c>
      <c r="B52" s="409"/>
      <c r="C52" s="409"/>
      <c r="D52" s="409"/>
      <c r="E52" s="409"/>
      <c r="F52" s="409"/>
      <c r="G52" s="409"/>
    </row>
    <row r="53" spans="1:7">
      <c r="A53" s="409" t="s">
        <v>421</v>
      </c>
      <c r="B53" s="409"/>
      <c r="C53" s="409"/>
      <c r="D53" s="409"/>
      <c r="E53" s="409"/>
      <c r="F53" s="409"/>
      <c r="G53" s="409"/>
    </row>
    <row r="54" spans="1:7">
      <c r="A54" s="409" t="s">
        <v>422</v>
      </c>
      <c r="B54" s="409"/>
      <c r="C54" s="409"/>
      <c r="D54" s="409"/>
      <c r="E54" s="409"/>
      <c r="F54" s="409"/>
      <c r="G54" s="409"/>
    </row>
    <row r="55" spans="1:7">
      <c r="A55" s="409"/>
      <c r="B55" s="409"/>
      <c r="C55" s="409"/>
      <c r="D55" s="409"/>
      <c r="E55" s="409"/>
      <c r="F55" s="409"/>
      <c r="G55" s="409"/>
    </row>
    <row r="56" spans="1:7">
      <c r="A56" s="413" t="s">
        <v>498</v>
      </c>
      <c r="B56" s="409"/>
      <c r="C56" s="409"/>
      <c r="D56" s="409"/>
      <c r="E56" s="409"/>
      <c r="F56" s="409"/>
    </row>
    <row r="57" spans="1:7">
      <c r="A57" s="413" t="s">
        <v>499</v>
      </c>
      <c r="B57" s="409"/>
      <c r="C57" s="409"/>
      <c r="D57" s="409"/>
      <c r="E57" s="409"/>
      <c r="F57" s="409"/>
    </row>
    <row r="58" spans="1:7">
      <c r="A58" s="413" t="s">
        <v>500</v>
      </c>
      <c r="B58" s="409"/>
      <c r="C58" s="409"/>
      <c r="D58" s="409"/>
      <c r="E58" s="409"/>
      <c r="F58" s="409"/>
    </row>
    <row r="59" spans="1:7">
      <c r="A59" s="413"/>
      <c r="B59" s="409"/>
      <c r="C59" s="409"/>
      <c r="D59" s="409"/>
      <c r="E59" s="409"/>
      <c r="F59" s="409"/>
    </row>
    <row r="60" spans="1:7">
      <c r="A60" s="409" t="s">
        <v>501</v>
      </c>
      <c r="B60" s="409"/>
      <c r="C60" s="409"/>
      <c r="D60" s="409"/>
      <c r="E60" s="409"/>
      <c r="F60" s="409"/>
      <c r="G60" s="409"/>
    </row>
    <row r="61" spans="1:7">
      <c r="A61" s="409" t="s">
        <v>502</v>
      </c>
      <c r="B61" s="409"/>
      <c r="C61" s="409"/>
      <c r="D61" s="409"/>
      <c r="E61" s="409"/>
      <c r="F61" s="409"/>
      <c r="G61" s="409"/>
    </row>
    <row r="62" spans="1:7">
      <c r="A62" s="409" t="s">
        <v>503</v>
      </c>
      <c r="B62" s="409"/>
      <c r="C62" s="409"/>
      <c r="D62" s="409"/>
      <c r="E62" s="409"/>
      <c r="F62" s="409"/>
      <c r="G62" s="409"/>
    </row>
    <row r="63" spans="1:7">
      <c r="A63" s="409" t="s">
        <v>504</v>
      </c>
      <c r="B63" s="409"/>
      <c r="C63" s="409"/>
      <c r="D63" s="409"/>
      <c r="E63" s="409"/>
      <c r="F63" s="409"/>
      <c r="G63" s="409"/>
    </row>
    <row r="64" spans="1:7">
      <c r="A64" s="409" t="s">
        <v>505</v>
      </c>
      <c r="B64" s="409"/>
      <c r="C64" s="409"/>
      <c r="D64" s="409"/>
      <c r="E64" s="409"/>
      <c r="F64" s="409"/>
      <c r="G64" s="409"/>
    </row>
    <row r="66" spans="1:6">
      <c r="A66" s="413" t="s">
        <v>465</v>
      </c>
      <c r="B66" s="409"/>
      <c r="C66" s="409"/>
      <c r="D66" s="409"/>
      <c r="E66" s="409"/>
      <c r="F66" s="409"/>
    </row>
    <row r="67" spans="1:6">
      <c r="A67" s="413" t="s">
        <v>466</v>
      </c>
      <c r="B67" s="409"/>
      <c r="C67" s="409"/>
      <c r="D67" s="409"/>
      <c r="E67" s="409"/>
      <c r="F67" s="409"/>
    </row>
    <row r="68" spans="1:6">
      <c r="A68" s="413" t="s">
        <v>467</v>
      </c>
      <c r="B68" s="409"/>
      <c r="C68" s="409"/>
      <c r="D68" s="409"/>
      <c r="E68" s="409"/>
      <c r="F68" s="409"/>
    </row>
    <row r="69" spans="1:6">
      <c r="A69" s="413" t="s">
        <v>468</v>
      </c>
      <c r="B69" s="409"/>
      <c r="C69" s="409"/>
      <c r="D69" s="409"/>
      <c r="E69" s="409"/>
      <c r="F69" s="409"/>
    </row>
    <row r="70" spans="1:6">
      <c r="A70" s="413" t="s">
        <v>469</v>
      </c>
      <c r="B70" s="409"/>
      <c r="C70" s="409"/>
      <c r="D70" s="409"/>
      <c r="E70" s="409"/>
      <c r="F70" s="409"/>
    </row>
    <row r="71" spans="1:6">
      <c r="A71" s="409"/>
    </row>
    <row r="72" spans="1:6">
      <c r="A72" s="409" t="s">
        <v>389</v>
      </c>
    </row>
    <row r="73" spans="1:6">
      <c r="A73" s="409"/>
    </row>
    <row r="74" spans="1:6">
      <c r="A74" s="409"/>
    </row>
    <row r="75" spans="1:6">
      <c r="A75" s="409"/>
    </row>
    <row r="78" spans="1:6">
      <c r="A78" s="410"/>
    </row>
    <row r="80" spans="1:6">
      <c r="A80" s="409"/>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2" spans="1:1">
      <c r="A102" s="409"/>
    </row>
    <row r="103" spans="1:1">
      <c r="A103" s="409"/>
    </row>
    <row r="104" spans="1:1">
      <c r="A104" s="409"/>
    </row>
    <row r="105" spans="1:1">
      <c r="A105" s="409"/>
    </row>
    <row r="106" spans="1:1">
      <c r="A106" s="409"/>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408" t="s">
        <v>506</v>
      </c>
      <c r="B3" s="408"/>
      <c r="C3" s="408"/>
      <c r="D3" s="408"/>
      <c r="E3" s="408"/>
      <c r="F3" s="408"/>
      <c r="G3" s="408"/>
    </row>
    <row r="4" spans="1:7">
      <c r="A4" s="408" t="s">
        <v>507</v>
      </c>
      <c r="B4" s="408"/>
      <c r="C4" s="408"/>
      <c r="D4" s="408"/>
      <c r="E4" s="408"/>
      <c r="F4" s="408"/>
      <c r="G4" s="408"/>
    </row>
    <row r="5" spans="1:7">
      <c r="A5" s="408"/>
      <c r="B5" s="408"/>
      <c r="C5" s="408"/>
      <c r="D5" s="408"/>
      <c r="E5" s="408"/>
      <c r="F5" s="408"/>
      <c r="G5" s="408"/>
    </row>
    <row r="6" spans="1:7">
      <c r="A6" s="408"/>
      <c r="B6" s="408"/>
      <c r="C6" s="408"/>
      <c r="D6" s="408"/>
      <c r="E6" s="408"/>
      <c r="F6" s="408"/>
      <c r="G6" s="408"/>
    </row>
    <row r="7" spans="1:7">
      <c r="A7" s="409" t="s">
        <v>345</v>
      </c>
    </row>
    <row r="8" spans="1:7">
      <c r="A8" s="409" t="str">
        <f>CONCATENATE("estimated ",inputPrYr!D11," 'total expenditures' exceed your ",inputPrYr!D11,"")</f>
        <v>estimated 2013 'total expenditures' exceed your 2013</v>
      </c>
    </row>
    <row r="9" spans="1:7">
      <c r="A9" s="412" t="s">
        <v>508</v>
      </c>
    </row>
    <row r="10" spans="1:7">
      <c r="A10" s="409"/>
    </row>
    <row r="11" spans="1:7">
      <c r="A11" s="409" t="s">
        <v>509</v>
      </c>
    </row>
    <row r="12" spans="1:7">
      <c r="A12" s="409" t="s">
        <v>510</v>
      </c>
    </row>
    <row r="13" spans="1:7">
      <c r="A13" s="409" t="s">
        <v>511</v>
      </c>
    </row>
    <row r="14" spans="1:7">
      <c r="A14" s="409"/>
    </row>
    <row r="15" spans="1:7">
      <c r="A15" s="410" t="s">
        <v>512</v>
      </c>
    </row>
    <row r="16" spans="1:7">
      <c r="A16" s="408"/>
      <c r="B16" s="408"/>
      <c r="C16" s="408"/>
      <c r="D16" s="408"/>
      <c r="E16" s="408"/>
      <c r="F16" s="408"/>
      <c r="G16" s="408"/>
    </row>
    <row r="17" spans="1:8">
      <c r="A17" s="415" t="s">
        <v>513</v>
      </c>
      <c r="B17" s="416"/>
      <c r="C17" s="416"/>
      <c r="D17" s="416"/>
      <c r="E17" s="416"/>
      <c r="F17" s="416"/>
      <c r="G17" s="416"/>
      <c r="H17" s="416"/>
    </row>
    <row r="18" spans="1:8">
      <c r="A18" s="409" t="s">
        <v>514</v>
      </c>
      <c r="B18" s="417"/>
      <c r="C18" s="417"/>
      <c r="D18" s="417"/>
      <c r="E18" s="417"/>
      <c r="F18" s="417"/>
      <c r="G18" s="417"/>
    </row>
    <row r="19" spans="1:8">
      <c r="A19" s="409" t="s">
        <v>515</v>
      </c>
    </row>
    <row r="20" spans="1:8">
      <c r="A20" s="409" t="s">
        <v>516</v>
      </c>
    </row>
    <row r="22" spans="1:8">
      <c r="A22" s="410" t="s">
        <v>517</v>
      </c>
    </row>
    <row r="24" spans="1:8">
      <c r="A24" s="409" t="s">
        <v>518</v>
      </c>
    </row>
    <row r="25" spans="1:8">
      <c r="A25" s="409" t="s">
        <v>519</v>
      </c>
    </row>
    <row r="26" spans="1:8">
      <c r="A26" s="409" t="s">
        <v>520</v>
      </c>
    </row>
    <row r="28" spans="1:8">
      <c r="A28" s="410" t="s">
        <v>521</v>
      </c>
    </row>
    <row r="30" spans="1:8">
      <c r="A30" t="s">
        <v>522</v>
      </c>
    </row>
    <row r="31" spans="1:8">
      <c r="A31" t="s">
        <v>523</v>
      </c>
    </row>
    <row r="32" spans="1:8">
      <c r="A32" t="s">
        <v>524</v>
      </c>
    </row>
    <row r="33" spans="1:1">
      <c r="A33" s="409" t="s">
        <v>525</v>
      </c>
    </row>
    <row r="35" spans="1:1">
      <c r="A35" t="s">
        <v>526</v>
      </c>
    </row>
    <row r="36" spans="1:1">
      <c r="A36" t="s">
        <v>527</v>
      </c>
    </row>
    <row r="37" spans="1:1">
      <c r="A37" t="s">
        <v>528</v>
      </c>
    </row>
    <row r="38" spans="1:1">
      <c r="A38" t="s">
        <v>529</v>
      </c>
    </row>
    <row r="40" spans="1:1">
      <c r="A40" t="s">
        <v>530</v>
      </c>
    </row>
    <row r="41" spans="1:1">
      <c r="A41" t="s">
        <v>531</v>
      </c>
    </row>
    <row r="42" spans="1:1">
      <c r="A42" t="s">
        <v>532</v>
      </c>
    </row>
    <row r="43" spans="1:1">
      <c r="A43" t="s">
        <v>533</v>
      </c>
    </row>
    <row r="44" spans="1:1">
      <c r="A44" t="s">
        <v>534</v>
      </c>
    </row>
    <row r="45" spans="1:1">
      <c r="A45" t="s">
        <v>535</v>
      </c>
    </row>
    <row r="47" spans="1:1">
      <c r="A47" t="s">
        <v>536</v>
      </c>
    </row>
    <row r="48" spans="1:1">
      <c r="A48" t="s">
        <v>537</v>
      </c>
    </row>
    <row r="49" spans="1:1">
      <c r="A49" s="409" t="s">
        <v>538</v>
      </c>
    </row>
    <row r="50" spans="1:1">
      <c r="A50" s="409" t="s">
        <v>539</v>
      </c>
    </row>
    <row r="52" spans="1:1">
      <c r="A52" t="s">
        <v>389</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activeCell="L1" sqref="L1"/>
    </sheetView>
  </sheetViews>
  <sheetFormatPr defaultRowHeight="14.25"/>
  <cols>
    <col min="1" max="1" width="7.5546875" style="460" customWidth="1"/>
    <col min="2" max="2" width="11.21875" style="461" customWidth="1"/>
    <col min="3" max="3" width="7.44140625" style="461" customWidth="1"/>
    <col min="4" max="4" width="8.88671875" style="461"/>
    <col min="5" max="5" width="1.5546875" style="461" customWidth="1"/>
    <col min="6" max="6" width="14.33203125" style="461" customWidth="1"/>
    <col min="7" max="7" width="2.5546875" style="461" customWidth="1"/>
    <col min="8" max="8" width="9.77734375" style="461" customWidth="1"/>
    <col min="9" max="9" width="2" style="461" customWidth="1"/>
    <col min="10" max="10" width="8.5546875" style="461" customWidth="1"/>
    <col min="11" max="11" width="11.6640625" style="461" customWidth="1"/>
    <col min="12" max="12" width="7.5546875" style="460" customWidth="1"/>
    <col min="13" max="14" width="8.88671875" style="460"/>
    <col min="15" max="15" width="9.88671875" style="460" bestFit="1" customWidth="1"/>
    <col min="16" max="16384" width="8.88671875" style="460"/>
  </cols>
  <sheetData>
    <row r="1" spans="1:12">
      <c r="A1" s="459"/>
      <c r="B1" s="459"/>
      <c r="C1" s="459"/>
      <c r="D1" s="459"/>
      <c r="E1" s="459"/>
      <c r="F1" s="459"/>
      <c r="G1" s="459"/>
      <c r="H1" s="459"/>
      <c r="I1" s="459"/>
      <c r="J1" s="459"/>
      <c r="K1" s="459"/>
      <c r="L1" s="459"/>
    </row>
    <row r="2" spans="1:12">
      <c r="A2" s="459"/>
      <c r="B2" s="459"/>
      <c r="C2" s="459"/>
      <c r="D2" s="459"/>
      <c r="E2" s="459"/>
      <c r="F2" s="459"/>
      <c r="G2" s="459"/>
      <c r="H2" s="459"/>
      <c r="I2" s="459"/>
      <c r="J2" s="459"/>
      <c r="K2" s="459"/>
      <c r="L2" s="459"/>
    </row>
    <row r="3" spans="1:12">
      <c r="A3" s="459"/>
      <c r="B3" s="459"/>
      <c r="C3" s="459"/>
      <c r="D3" s="459"/>
      <c r="E3" s="459"/>
      <c r="F3" s="459"/>
      <c r="G3" s="459"/>
      <c r="H3" s="459"/>
      <c r="I3" s="459"/>
      <c r="J3" s="459"/>
      <c r="K3" s="459"/>
      <c r="L3" s="459"/>
    </row>
    <row r="4" spans="1:12">
      <c r="A4" s="459"/>
      <c r="L4" s="459"/>
    </row>
    <row r="5" spans="1:12" ht="15" customHeight="1">
      <c r="A5" s="459"/>
      <c r="L5" s="459"/>
    </row>
    <row r="6" spans="1:12" ht="33" customHeight="1">
      <c r="A6" s="459"/>
      <c r="B6" s="692" t="s">
        <v>591</v>
      </c>
      <c r="C6" s="706"/>
      <c r="D6" s="706"/>
      <c r="E6" s="706"/>
      <c r="F6" s="706"/>
      <c r="G6" s="706"/>
      <c r="H6" s="706"/>
      <c r="I6" s="706"/>
      <c r="J6" s="706"/>
      <c r="K6" s="706"/>
      <c r="L6" s="462"/>
    </row>
    <row r="7" spans="1:12" ht="40.5" customHeight="1">
      <c r="A7" s="459"/>
      <c r="B7" s="717" t="s">
        <v>592</v>
      </c>
      <c r="C7" s="718"/>
      <c r="D7" s="718"/>
      <c r="E7" s="718"/>
      <c r="F7" s="718"/>
      <c r="G7" s="718"/>
      <c r="H7" s="718"/>
      <c r="I7" s="718"/>
      <c r="J7" s="718"/>
      <c r="K7" s="718"/>
      <c r="L7" s="459"/>
    </row>
    <row r="8" spans="1:12">
      <c r="A8" s="459"/>
      <c r="B8" s="711" t="s">
        <v>593</v>
      </c>
      <c r="C8" s="711"/>
      <c r="D8" s="711"/>
      <c r="E8" s="711"/>
      <c r="F8" s="711"/>
      <c r="G8" s="711"/>
      <c r="H8" s="711"/>
      <c r="I8" s="711"/>
      <c r="J8" s="711"/>
      <c r="K8" s="711"/>
      <c r="L8" s="459"/>
    </row>
    <row r="9" spans="1:12">
      <c r="A9" s="459"/>
      <c r="L9" s="459"/>
    </row>
    <row r="10" spans="1:12">
      <c r="A10" s="459"/>
      <c r="B10" s="711" t="s">
        <v>594</v>
      </c>
      <c r="C10" s="711"/>
      <c r="D10" s="711"/>
      <c r="E10" s="711"/>
      <c r="F10" s="711"/>
      <c r="G10" s="711"/>
      <c r="H10" s="711"/>
      <c r="I10" s="711"/>
      <c r="J10" s="711"/>
      <c r="K10" s="711"/>
      <c r="L10" s="459"/>
    </row>
    <row r="11" spans="1:12">
      <c r="A11" s="459"/>
      <c r="B11" s="463"/>
      <c r="C11" s="463"/>
      <c r="D11" s="463"/>
      <c r="E11" s="463"/>
      <c r="F11" s="463"/>
      <c r="G11" s="463"/>
      <c r="H11" s="463"/>
      <c r="I11" s="463"/>
      <c r="J11" s="463"/>
      <c r="K11" s="463"/>
      <c r="L11" s="459"/>
    </row>
    <row r="12" spans="1:12" ht="32.25" customHeight="1">
      <c r="A12" s="459"/>
      <c r="B12" s="693" t="s">
        <v>595</v>
      </c>
      <c r="C12" s="693"/>
      <c r="D12" s="693"/>
      <c r="E12" s="693"/>
      <c r="F12" s="693"/>
      <c r="G12" s="693"/>
      <c r="H12" s="693"/>
      <c r="I12" s="693"/>
      <c r="J12" s="693"/>
      <c r="K12" s="693"/>
      <c r="L12" s="459"/>
    </row>
    <row r="13" spans="1:12">
      <c r="A13" s="459"/>
      <c r="L13" s="459"/>
    </row>
    <row r="14" spans="1:12">
      <c r="A14" s="459"/>
      <c r="B14" s="464" t="s">
        <v>596</v>
      </c>
      <c r="L14" s="459"/>
    </row>
    <row r="15" spans="1:12">
      <c r="A15" s="459"/>
      <c r="L15" s="459"/>
    </row>
    <row r="16" spans="1:12">
      <c r="A16" s="459"/>
      <c r="B16" s="461" t="s">
        <v>597</v>
      </c>
      <c r="L16" s="459"/>
    </row>
    <row r="17" spans="1:12">
      <c r="A17" s="459"/>
      <c r="B17" s="461" t="s">
        <v>598</v>
      </c>
      <c r="L17" s="459"/>
    </row>
    <row r="18" spans="1:12">
      <c r="A18" s="459"/>
      <c r="L18" s="459"/>
    </row>
    <row r="19" spans="1:12">
      <c r="A19" s="459"/>
      <c r="B19" s="464" t="s">
        <v>599</v>
      </c>
      <c r="L19" s="459"/>
    </row>
    <row r="20" spans="1:12">
      <c r="A20" s="459"/>
      <c r="B20" s="464"/>
      <c r="L20" s="459"/>
    </row>
    <row r="21" spans="1:12">
      <c r="A21" s="459"/>
      <c r="B21" s="461" t="s">
        <v>600</v>
      </c>
      <c r="L21" s="459"/>
    </row>
    <row r="22" spans="1:12">
      <c r="A22" s="459"/>
      <c r="L22" s="459"/>
    </row>
    <row r="23" spans="1:12">
      <c r="A23" s="459"/>
      <c r="B23" s="461" t="s">
        <v>601</v>
      </c>
      <c r="E23" s="461" t="s">
        <v>602</v>
      </c>
      <c r="F23" s="695">
        <v>133685008</v>
      </c>
      <c r="G23" s="695"/>
      <c r="L23" s="459"/>
    </row>
    <row r="24" spans="1:12">
      <c r="A24" s="459"/>
      <c r="L24" s="459"/>
    </row>
    <row r="25" spans="1:12">
      <c r="A25" s="459"/>
      <c r="C25" s="710">
        <f>F23</f>
        <v>133685008</v>
      </c>
      <c r="D25" s="710"/>
      <c r="E25" s="461" t="s">
        <v>603</v>
      </c>
      <c r="F25" s="465">
        <v>1000</v>
      </c>
      <c r="G25" s="465" t="s">
        <v>602</v>
      </c>
      <c r="H25" s="466">
        <f>F23/F25</f>
        <v>133685.008</v>
      </c>
      <c r="L25" s="459"/>
    </row>
    <row r="26" spans="1:12" ht="15" thickBot="1">
      <c r="A26" s="459"/>
      <c r="L26" s="459"/>
    </row>
    <row r="27" spans="1:12">
      <c r="A27" s="459"/>
      <c r="B27" s="467" t="s">
        <v>596</v>
      </c>
      <c r="C27" s="468"/>
      <c r="D27" s="468"/>
      <c r="E27" s="468"/>
      <c r="F27" s="468"/>
      <c r="G27" s="468"/>
      <c r="H27" s="468"/>
      <c r="I27" s="468"/>
      <c r="J27" s="468"/>
      <c r="K27" s="469"/>
      <c r="L27" s="459"/>
    </row>
    <row r="28" spans="1:12">
      <c r="A28" s="459"/>
      <c r="B28" s="470">
        <f>F23</f>
        <v>133685008</v>
      </c>
      <c r="C28" s="471" t="s">
        <v>604</v>
      </c>
      <c r="D28" s="471"/>
      <c r="E28" s="471" t="s">
        <v>603</v>
      </c>
      <c r="F28" s="472">
        <v>1000</v>
      </c>
      <c r="G28" s="472" t="s">
        <v>602</v>
      </c>
      <c r="H28" s="473">
        <f>B28/F28</f>
        <v>133685.008</v>
      </c>
      <c r="I28" s="471" t="s">
        <v>605</v>
      </c>
      <c r="J28" s="471"/>
      <c r="K28" s="474"/>
      <c r="L28" s="459"/>
    </row>
    <row r="29" spans="1:12" ht="15" thickBot="1">
      <c r="A29" s="459"/>
      <c r="B29" s="475"/>
      <c r="C29" s="476"/>
      <c r="D29" s="476"/>
      <c r="E29" s="476"/>
      <c r="F29" s="476"/>
      <c r="G29" s="476"/>
      <c r="H29" s="476"/>
      <c r="I29" s="476"/>
      <c r="J29" s="476"/>
      <c r="K29" s="477"/>
      <c r="L29" s="459"/>
    </row>
    <row r="30" spans="1:12" ht="40.5" customHeight="1">
      <c r="A30" s="459"/>
      <c r="B30" s="703" t="s">
        <v>592</v>
      </c>
      <c r="C30" s="703"/>
      <c r="D30" s="703"/>
      <c r="E30" s="703"/>
      <c r="F30" s="703"/>
      <c r="G30" s="703"/>
      <c r="H30" s="703"/>
      <c r="I30" s="703"/>
      <c r="J30" s="703"/>
      <c r="K30" s="703"/>
      <c r="L30" s="459"/>
    </row>
    <row r="31" spans="1:12">
      <c r="A31" s="459"/>
      <c r="B31" s="711" t="s">
        <v>606</v>
      </c>
      <c r="C31" s="711"/>
      <c r="D31" s="711"/>
      <c r="E31" s="711"/>
      <c r="F31" s="711"/>
      <c r="G31" s="711"/>
      <c r="H31" s="711"/>
      <c r="I31" s="711"/>
      <c r="J31" s="711"/>
      <c r="K31" s="711"/>
      <c r="L31" s="459"/>
    </row>
    <row r="32" spans="1:12">
      <c r="A32" s="459"/>
      <c r="L32" s="459"/>
    </row>
    <row r="33" spans="1:12">
      <c r="A33" s="459"/>
      <c r="B33" s="711" t="s">
        <v>607</v>
      </c>
      <c r="C33" s="711"/>
      <c r="D33" s="711"/>
      <c r="E33" s="711"/>
      <c r="F33" s="711"/>
      <c r="G33" s="711"/>
      <c r="H33" s="711"/>
      <c r="I33" s="711"/>
      <c r="J33" s="711"/>
      <c r="K33" s="711"/>
      <c r="L33" s="459"/>
    </row>
    <row r="34" spans="1:12">
      <c r="A34" s="459"/>
      <c r="L34" s="459"/>
    </row>
    <row r="35" spans="1:12" ht="89.25" customHeight="1">
      <c r="A35" s="459"/>
      <c r="B35" s="693" t="s">
        <v>608</v>
      </c>
      <c r="C35" s="709"/>
      <c r="D35" s="709"/>
      <c r="E35" s="709"/>
      <c r="F35" s="709"/>
      <c r="G35" s="709"/>
      <c r="H35" s="709"/>
      <c r="I35" s="709"/>
      <c r="J35" s="709"/>
      <c r="K35" s="709"/>
      <c r="L35" s="459"/>
    </row>
    <row r="36" spans="1:12">
      <c r="A36" s="459"/>
      <c r="L36" s="459"/>
    </row>
    <row r="37" spans="1:12">
      <c r="A37" s="459"/>
      <c r="B37" s="464" t="s">
        <v>609</v>
      </c>
      <c r="L37" s="459"/>
    </row>
    <row r="38" spans="1:12">
      <c r="A38" s="459"/>
      <c r="L38" s="459"/>
    </row>
    <row r="39" spans="1:12">
      <c r="A39" s="459"/>
      <c r="B39" s="461" t="s">
        <v>610</v>
      </c>
      <c r="L39" s="459"/>
    </row>
    <row r="40" spans="1:12">
      <c r="A40" s="459"/>
      <c r="L40" s="459"/>
    </row>
    <row r="41" spans="1:12">
      <c r="A41" s="459"/>
      <c r="C41" s="712">
        <v>3120000</v>
      </c>
      <c r="D41" s="712"/>
      <c r="E41" s="461" t="s">
        <v>603</v>
      </c>
      <c r="F41" s="465">
        <v>1000</v>
      </c>
      <c r="G41" s="465" t="s">
        <v>602</v>
      </c>
      <c r="H41" s="478">
        <f>C41/F41</f>
        <v>3120</v>
      </c>
      <c r="L41" s="459"/>
    </row>
    <row r="42" spans="1:12">
      <c r="A42" s="459"/>
      <c r="L42" s="459"/>
    </row>
    <row r="43" spans="1:12">
      <c r="A43" s="459"/>
      <c r="B43" s="461" t="s">
        <v>611</v>
      </c>
      <c r="L43" s="459"/>
    </row>
    <row r="44" spans="1:12">
      <c r="A44" s="459"/>
      <c r="L44" s="459"/>
    </row>
    <row r="45" spans="1:12">
      <c r="A45" s="459"/>
      <c r="B45" s="461" t="s">
        <v>612</v>
      </c>
      <c r="L45" s="459"/>
    </row>
    <row r="46" spans="1:12" ht="15" thickBot="1">
      <c r="A46" s="459"/>
      <c r="L46" s="459"/>
    </row>
    <row r="47" spans="1:12">
      <c r="A47" s="459"/>
      <c r="B47" s="479" t="s">
        <v>596</v>
      </c>
      <c r="C47" s="468"/>
      <c r="D47" s="468"/>
      <c r="E47" s="468"/>
      <c r="F47" s="468"/>
      <c r="G47" s="468"/>
      <c r="H47" s="468"/>
      <c r="I47" s="468"/>
      <c r="J47" s="468"/>
      <c r="K47" s="469"/>
      <c r="L47" s="459"/>
    </row>
    <row r="48" spans="1:12">
      <c r="A48" s="459"/>
      <c r="B48" s="695">
        <v>133685008</v>
      </c>
      <c r="C48" s="695"/>
      <c r="D48" s="471" t="s">
        <v>613</v>
      </c>
      <c r="E48" s="471" t="s">
        <v>603</v>
      </c>
      <c r="F48" s="472">
        <v>1000</v>
      </c>
      <c r="G48" s="472" t="s">
        <v>602</v>
      </c>
      <c r="H48" s="473">
        <f>B48/F48</f>
        <v>133685.008</v>
      </c>
      <c r="I48" s="471" t="s">
        <v>614</v>
      </c>
      <c r="J48" s="471"/>
      <c r="K48" s="474"/>
      <c r="L48" s="459"/>
    </row>
    <row r="49" spans="1:24">
      <c r="A49" s="459"/>
      <c r="B49" s="480"/>
      <c r="C49" s="471"/>
      <c r="D49" s="471"/>
      <c r="E49" s="471"/>
      <c r="F49" s="471"/>
      <c r="G49" s="471"/>
      <c r="H49" s="471"/>
      <c r="I49" s="471"/>
      <c r="J49" s="471"/>
      <c r="K49" s="474"/>
      <c r="L49" s="459"/>
    </row>
    <row r="50" spans="1:24">
      <c r="A50" s="459"/>
      <c r="B50" s="481">
        <v>7067793</v>
      </c>
      <c r="C50" s="471" t="s">
        <v>615</v>
      </c>
      <c r="D50" s="471"/>
      <c r="E50" s="471" t="s">
        <v>603</v>
      </c>
      <c r="F50" s="473">
        <f>H48</f>
        <v>133685.008</v>
      </c>
      <c r="G50" s="713" t="s">
        <v>616</v>
      </c>
      <c r="H50" s="714"/>
      <c r="I50" s="472" t="s">
        <v>602</v>
      </c>
      <c r="J50" s="482">
        <f>B50/F50</f>
        <v>52.869002334203401</v>
      </c>
      <c r="K50" s="474"/>
      <c r="L50" s="459"/>
    </row>
    <row r="51" spans="1:24" ht="15" thickBot="1">
      <c r="A51" s="459"/>
      <c r="B51" s="475"/>
      <c r="C51" s="476"/>
      <c r="D51" s="476"/>
      <c r="E51" s="476"/>
      <c r="F51" s="476"/>
      <c r="G51" s="476"/>
      <c r="H51" s="476"/>
      <c r="I51" s="715" t="s">
        <v>617</v>
      </c>
      <c r="J51" s="715"/>
      <c r="K51" s="716"/>
      <c r="L51" s="459"/>
      <c r="O51" s="483"/>
    </row>
    <row r="52" spans="1:24" ht="40.5" customHeight="1">
      <c r="A52" s="459"/>
      <c r="B52" s="703" t="s">
        <v>592</v>
      </c>
      <c r="C52" s="703"/>
      <c r="D52" s="703"/>
      <c r="E52" s="703"/>
      <c r="F52" s="703"/>
      <c r="G52" s="703"/>
      <c r="H52" s="703"/>
      <c r="I52" s="703"/>
      <c r="J52" s="703"/>
      <c r="K52" s="703"/>
      <c r="L52" s="459"/>
    </row>
    <row r="53" spans="1:24">
      <c r="A53" s="459"/>
      <c r="B53" s="711" t="s">
        <v>618</v>
      </c>
      <c r="C53" s="711"/>
      <c r="D53" s="711"/>
      <c r="E53" s="711"/>
      <c r="F53" s="711"/>
      <c r="G53" s="711"/>
      <c r="H53" s="711"/>
      <c r="I53" s="711"/>
      <c r="J53" s="711"/>
      <c r="K53" s="711"/>
      <c r="L53" s="459"/>
    </row>
    <row r="54" spans="1:24">
      <c r="A54" s="459"/>
      <c r="B54" s="463"/>
      <c r="C54" s="463"/>
      <c r="D54" s="463"/>
      <c r="E54" s="463"/>
      <c r="F54" s="463"/>
      <c r="G54" s="463"/>
      <c r="H54" s="463"/>
      <c r="I54" s="463"/>
      <c r="J54" s="463"/>
      <c r="K54" s="463"/>
      <c r="L54" s="459"/>
    </row>
    <row r="55" spans="1:24">
      <c r="A55" s="459"/>
      <c r="B55" s="692" t="s">
        <v>619</v>
      </c>
      <c r="C55" s="692"/>
      <c r="D55" s="692"/>
      <c r="E55" s="692"/>
      <c r="F55" s="692"/>
      <c r="G55" s="692"/>
      <c r="H55" s="692"/>
      <c r="I55" s="692"/>
      <c r="J55" s="692"/>
      <c r="K55" s="692"/>
      <c r="L55" s="459"/>
    </row>
    <row r="56" spans="1:24" ht="15" customHeight="1">
      <c r="A56" s="459"/>
      <c r="L56" s="459"/>
    </row>
    <row r="57" spans="1:24" ht="74.25" customHeight="1">
      <c r="A57" s="459"/>
      <c r="B57" s="693" t="s">
        <v>620</v>
      </c>
      <c r="C57" s="709"/>
      <c r="D57" s="709"/>
      <c r="E57" s="709"/>
      <c r="F57" s="709"/>
      <c r="G57" s="709"/>
      <c r="H57" s="709"/>
      <c r="I57" s="709"/>
      <c r="J57" s="709"/>
      <c r="K57" s="709"/>
      <c r="L57" s="459"/>
      <c r="M57" s="484"/>
      <c r="N57" s="485"/>
      <c r="O57" s="485"/>
      <c r="P57" s="485"/>
      <c r="Q57" s="485"/>
      <c r="R57" s="485"/>
      <c r="S57" s="485"/>
      <c r="T57" s="485"/>
      <c r="U57" s="485"/>
      <c r="V57" s="485"/>
      <c r="W57" s="485"/>
      <c r="X57" s="485"/>
    </row>
    <row r="58" spans="1:24" ht="15" customHeight="1">
      <c r="A58" s="459"/>
      <c r="B58" s="693"/>
      <c r="C58" s="709"/>
      <c r="D58" s="709"/>
      <c r="E58" s="709"/>
      <c r="F58" s="709"/>
      <c r="G58" s="709"/>
      <c r="H58" s="709"/>
      <c r="I58" s="709"/>
      <c r="J58" s="709"/>
      <c r="K58" s="709"/>
      <c r="L58" s="459"/>
      <c r="M58" s="484"/>
      <c r="N58" s="485"/>
      <c r="O58" s="485"/>
      <c r="P58" s="485"/>
      <c r="Q58" s="485"/>
      <c r="R58" s="485"/>
      <c r="S58" s="485"/>
      <c r="T58" s="485"/>
      <c r="U58" s="485"/>
      <c r="V58" s="485"/>
      <c r="W58" s="485"/>
      <c r="X58" s="485"/>
    </row>
    <row r="59" spans="1:24">
      <c r="A59" s="459"/>
      <c r="B59" s="464" t="s">
        <v>609</v>
      </c>
      <c r="L59" s="459"/>
      <c r="M59" s="485"/>
      <c r="N59" s="485"/>
      <c r="O59" s="485"/>
      <c r="P59" s="485"/>
      <c r="Q59" s="485"/>
      <c r="R59" s="485"/>
      <c r="S59" s="485"/>
      <c r="T59" s="485"/>
      <c r="U59" s="485"/>
      <c r="V59" s="485"/>
      <c r="W59" s="485"/>
      <c r="X59" s="485"/>
    </row>
    <row r="60" spans="1:24">
      <c r="A60" s="459"/>
      <c r="L60" s="459"/>
      <c r="M60" s="485"/>
      <c r="N60" s="485"/>
      <c r="O60" s="485"/>
      <c r="P60" s="485"/>
      <c r="Q60" s="485"/>
      <c r="R60" s="485"/>
      <c r="S60" s="485"/>
      <c r="T60" s="485"/>
      <c r="U60" s="485"/>
      <c r="V60" s="485"/>
      <c r="W60" s="485"/>
      <c r="X60" s="485"/>
    </row>
    <row r="61" spans="1:24">
      <c r="A61" s="459"/>
      <c r="B61" s="461" t="s">
        <v>621</v>
      </c>
      <c r="L61" s="459"/>
      <c r="M61" s="485"/>
      <c r="N61" s="485"/>
      <c r="O61" s="485"/>
      <c r="P61" s="485"/>
      <c r="Q61" s="485"/>
      <c r="R61" s="485"/>
      <c r="S61" s="485"/>
      <c r="T61" s="485"/>
      <c r="U61" s="485"/>
      <c r="V61" s="485"/>
      <c r="W61" s="485"/>
      <c r="X61" s="485"/>
    </row>
    <row r="62" spans="1:24">
      <c r="A62" s="459"/>
      <c r="B62" s="461" t="s">
        <v>622</v>
      </c>
      <c r="L62" s="459"/>
      <c r="M62" s="485"/>
      <c r="N62" s="485"/>
      <c r="O62" s="485"/>
      <c r="P62" s="485"/>
      <c r="Q62" s="485"/>
      <c r="R62" s="485"/>
      <c r="S62" s="485"/>
      <c r="T62" s="485"/>
      <c r="U62" s="485"/>
      <c r="V62" s="485"/>
      <c r="W62" s="485"/>
      <c r="X62" s="485"/>
    </row>
    <row r="63" spans="1:24">
      <c r="A63" s="459"/>
      <c r="B63" s="461" t="s">
        <v>623</v>
      </c>
      <c r="L63" s="459"/>
      <c r="M63" s="485"/>
      <c r="N63" s="485"/>
      <c r="O63" s="485"/>
      <c r="P63" s="485"/>
      <c r="Q63" s="485"/>
      <c r="R63" s="485"/>
      <c r="S63" s="485"/>
      <c r="T63" s="485"/>
      <c r="U63" s="485"/>
      <c r="V63" s="485"/>
      <c r="W63" s="485"/>
      <c r="X63" s="485"/>
    </row>
    <row r="64" spans="1:24">
      <c r="A64" s="459"/>
      <c r="L64" s="459"/>
      <c r="M64" s="485"/>
      <c r="N64" s="485"/>
      <c r="O64" s="485"/>
      <c r="P64" s="485"/>
      <c r="Q64" s="485"/>
      <c r="R64" s="485"/>
      <c r="S64" s="485"/>
      <c r="T64" s="485"/>
      <c r="U64" s="485"/>
      <c r="V64" s="485"/>
      <c r="W64" s="485"/>
      <c r="X64" s="485"/>
    </row>
    <row r="65" spans="1:24">
      <c r="A65" s="459"/>
      <c r="B65" s="461" t="s">
        <v>624</v>
      </c>
      <c r="L65" s="459"/>
      <c r="M65" s="485"/>
      <c r="N65" s="485"/>
      <c r="O65" s="485"/>
      <c r="P65" s="485"/>
      <c r="Q65" s="485"/>
      <c r="R65" s="485"/>
      <c r="S65" s="485"/>
      <c r="T65" s="485"/>
      <c r="U65" s="485"/>
      <c r="V65" s="485"/>
      <c r="W65" s="485"/>
      <c r="X65" s="485"/>
    </row>
    <row r="66" spans="1:24">
      <c r="A66" s="459"/>
      <c r="B66" s="461" t="s">
        <v>625</v>
      </c>
      <c r="L66" s="459"/>
      <c r="M66" s="485"/>
      <c r="N66" s="485"/>
      <c r="O66" s="485"/>
      <c r="P66" s="485"/>
      <c r="Q66" s="485"/>
      <c r="R66" s="485"/>
      <c r="S66" s="485"/>
      <c r="T66" s="485"/>
      <c r="U66" s="485"/>
      <c r="V66" s="485"/>
      <c r="W66" s="485"/>
      <c r="X66" s="485"/>
    </row>
    <row r="67" spans="1:24">
      <c r="A67" s="459"/>
      <c r="L67" s="459"/>
      <c r="M67" s="485"/>
      <c r="N67" s="485"/>
      <c r="O67" s="485"/>
      <c r="P67" s="485"/>
      <c r="Q67" s="485"/>
      <c r="R67" s="485"/>
      <c r="S67" s="485"/>
      <c r="T67" s="485"/>
      <c r="U67" s="485"/>
      <c r="V67" s="485"/>
      <c r="W67" s="485"/>
      <c r="X67" s="485"/>
    </row>
    <row r="68" spans="1:24">
      <c r="A68" s="459"/>
      <c r="B68" s="461" t="s">
        <v>626</v>
      </c>
      <c r="L68" s="459"/>
      <c r="M68" s="486"/>
      <c r="N68" s="487"/>
      <c r="O68" s="487"/>
      <c r="P68" s="487"/>
      <c r="Q68" s="487"/>
      <c r="R68" s="487"/>
      <c r="S68" s="487"/>
      <c r="T68" s="487"/>
      <c r="U68" s="487"/>
      <c r="V68" s="487"/>
      <c r="W68" s="487"/>
      <c r="X68" s="485"/>
    </row>
    <row r="69" spans="1:24">
      <c r="A69" s="459"/>
      <c r="B69" s="461" t="s">
        <v>627</v>
      </c>
      <c r="L69" s="459"/>
      <c r="M69" s="485"/>
      <c r="N69" s="485"/>
      <c r="O69" s="485"/>
      <c r="P69" s="485"/>
      <c r="Q69" s="485"/>
      <c r="R69" s="485"/>
      <c r="S69" s="485"/>
      <c r="T69" s="485"/>
      <c r="U69" s="485"/>
      <c r="V69" s="485"/>
      <c r="W69" s="485"/>
      <c r="X69" s="485"/>
    </row>
    <row r="70" spans="1:24">
      <c r="A70" s="459"/>
      <c r="B70" s="461" t="s">
        <v>628</v>
      </c>
      <c r="L70" s="459"/>
      <c r="M70" s="485"/>
      <c r="N70" s="485"/>
      <c r="O70" s="485"/>
      <c r="P70" s="485"/>
      <c r="Q70" s="485"/>
      <c r="R70" s="485"/>
      <c r="S70" s="485"/>
      <c r="T70" s="485"/>
      <c r="U70" s="485"/>
      <c r="V70" s="485"/>
      <c r="W70" s="485"/>
      <c r="X70" s="485"/>
    </row>
    <row r="71" spans="1:24" ht="15" thickBot="1">
      <c r="A71" s="459"/>
      <c r="B71" s="471"/>
      <c r="C71" s="471"/>
      <c r="D71" s="471"/>
      <c r="E71" s="471"/>
      <c r="F71" s="471"/>
      <c r="G71" s="471"/>
      <c r="H71" s="471"/>
      <c r="I71" s="471"/>
      <c r="J71" s="471"/>
      <c r="K71" s="471"/>
      <c r="L71" s="459"/>
    </row>
    <row r="72" spans="1:24">
      <c r="A72" s="459"/>
      <c r="B72" s="467" t="s">
        <v>596</v>
      </c>
      <c r="C72" s="468"/>
      <c r="D72" s="468"/>
      <c r="E72" s="468"/>
      <c r="F72" s="468"/>
      <c r="G72" s="468"/>
      <c r="H72" s="468"/>
      <c r="I72" s="468"/>
      <c r="J72" s="468"/>
      <c r="K72" s="469"/>
      <c r="L72" s="488"/>
    </row>
    <row r="73" spans="1:24">
      <c r="A73" s="459"/>
      <c r="B73" s="480"/>
      <c r="C73" s="471" t="s">
        <v>604</v>
      </c>
      <c r="D73" s="471"/>
      <c r="E73" s="471"/>
      <c r="F73" s="471"/>
      <c r="G73" s="471"/>
      <c r="H73" s="471"/>
      <c r="I73" s="471"/>
      <c r="J73" s="471"/>
      <c r="K73" s="474"/>
      <c r="L73" s="488"/>
    </row>
    <row r="74" spans="1:24">
      <c r="A74" s="459"/>
      <c r="B74" s="480" t="s">
        <v>629</v>
      </c>
      <c r="C74" s="695">
        <v>133685008</v>
      </c>
      <c r="D74" s="695"/>
      <c r="E74" s="472" t="s">
        <v>603</v>
      </c>
      <c r="F74" s="472">
        <v>1000</v>
      </c>
      <c r="G74" s="472" t="s">
        <v>602</v>
      </c>
      <c r="H74" s="489">
        <f>C74/F74</f>
        <v>133685.008</v>
      </c>
      <c r="I74" s="471" t="s">
        <v>630</v>
      </c>
      <c r="J74" s="471"/>
      <c r="K74" s="474"/>
      <c r="L74" s="488"/>
    </row>
    <row r="75" spans="1:24">
      <c r="A75" s="459"/>
      <c r="B75" s="480"/>
      <c r="C75" s="471"/>
      <c r="D75" s="471"/>
      <c r="E75" s="472"/>
      <c r="F75" s="471"/>
      <c r="G75" s="471"/>
      <c r="H75" s="471"/>
      <c r="I75" s="471"/>
      <c r="J75" s="471"/>
      <c r="K75" s="474"/>
      <c r="L75" s="488"/>
    </row>
    <row r="76" spans="1:24">
      <c r="A76" s="459"/>
      <c r="B76" s="480"/>
      <c r="C76" s="471" t="s">
        <v>631</v>
      </c>
      <c r="D76" s="471"/>
      <c r="E76" s="472"/>
      <c r="F76" s="471" t="s">
        <v>630</v>
      </c>
      <c r="G76" s="471"/>
      <c r="H76" s="471"/>
      <c r="I76" s="471"/>
      <c r="J76" s="471"/>
      <c r="K76" s="474"/>
      <c r="L76" s="488"/>
    </row>
    <row r="77" spans="1:24">
      <c r="A77" s="459"/>
      <c r="B77" s="480" t="s">
        <v>632</v>
      </c>
      <c r="C77" s="695">
        <v>5000</v>
      </c>
      <c r="D77" s="695"/>
      <c r="E77" s="472" t="s">
        <v>603</v>
      </c>
      <c r="F77" s="489">
        <f>H74</f>
        <v>133685.008</v>
      </c>
      <c r="G77" s="472" t="s">
        <v>602</v>
      </c>
      <c r="H77" s="482">
        <f>C77/F77</f>
        <v>3.740135169083432E-2</v>
      </c>
      <c r="I77" s="471" t="s">
        <v>633</v>
      </c>
      <c r="J77" s="471"/>
      <c r="K77" s="474"/>
      <c r="L77" s="488"/>
    </row>
    <row r="78" spans="1:24">
      <c r="A78" s="459"/>
      <c r="B78" s="480"/>
      <c r="C78" s="471"/>
      <c r="D78" s="471"/>
      <c r="E78" s="472"/>
      <c r="F78" s="471"/>
      <c r="G78" s="471"/>
      <c r="H78" s="471"/>
      <c r="I78" s="471"/>
      <c r="J78" s="471"/>
      <c r="K78" s="474"/>
      <c r="L78" s="488"/>
    </row>
    <row r="79" spans="1:24">
      <c r="A79" s="459"/>
      <c r="B79" s="490"/>
      <c r="C79" s="491" t="s">
        <v>634</v>
      </c>
      <c r="D79" s="491"/>
      <c r="E79" s="492"/>
      <c r="F79" s="491"/>
      <c r="G79" s="491"/>
      <c r="H79" s="491"/>
      <c r="I79" s="491"/>
      <c r="J79" s="491"/>
      <c r="K79" s="493"/>
      <c r="L79" s="488"/>
    </row>
    <row r="80" spans="1:24">
      <c r="A80" s="459"/>
      <c r="B80" s="480" t="s">
        <v>635</v>
      </c>
      <c r="C80" s="695">
        <v>100000</v>
      </c>
      <c r="D80" s="695"/>
      <c r="E80" s="472" t="s">
        <v>21</v>
      </c>
      <c r="F80" s="472">
        <v>0.115</v>
      </c>
      <c r="G80" s="472" t="s">
        <v>602</v>
      </c>
      <c r="H80" s="489">
        <f>C80*F80</f>
        <v>11500</v>
      </c>
      <c r="I80" s="471" t="s">
        <v>636</v>
      </c>
      <c r="J80" s="471"/>
      <c r="K80" s="474"/>
      <c r="L80" s="488"/>
    </row>
    <row r="81" spans="1:12">
      <c r="A81" s="459"/>
      <c r="B81" s="480"/>
      <c r="C81" s="471"/>
      <c r="D81" s="471"/>
      <c r="E81" s="472"/>
      <c r="F81" s="471"/>
      <c r="G81" s="471"/>
      <c r="H81" s="471"/>
      <c r="I81" s="471"/>
      <c r="J81" s="471"/>
      <c r="K81" s="474"/>
      <c r="L81" s="488"/>
    </row>
    <row r="82" spans="1:12">
      <c r="A82" s="459"/>
      <c r="B82" s="490"/>
      <c r="C82" s="491" t="s">
        <v>637</v>
      </c>
      <c r="D82" s="491"/>
      <c r="E82" s="492"/>
      <c r="F82" s="491" t="s">
        <v>633</v>
      </c>
      <c r="G82" s="491"/>
      <c r="H82" s="491"/>
      <c r="I82" s="491"/>
      <c r="J82" s="491" t="s">
        <v>638</v>
      </c>
      <c r="K82" s="493"/>
      <c r="L82" s="488"/>
    </row>
    <row r="83" spans="1:12">
      <c r="A83" s="459"/>
      <c r="B83" s="480" t="s">
        <v>639</v>
      </c>
      <c r="C83" s="702">
        <f>H80</f>
        <v>11500</v>
      </c>
      <c r="D83" s="702"/>
      <c r="E83" s="472" t="s">
        <v>21</v>
      </c>
      <c r="F83" s="482">
        <f>H77</f>
        <v>3.740135169083432E-2</v>
      </c>
      <c r="G83" s="472" t="s">
        <v>603</v>
      </c>
      <c r="H83" s="472">
        <v>1000</v>
      </c>
      <c r="I83" s="472" t="s">
        <v>602</v>
      </c>
      <c r="J83" s="494">
        <f>C83*F83/H83</f>
        <v>0.43011554444459466</v>
      </c>
      <c r="K83" s="474"/>
      <c r="L83" s="488"/>
    </row>
    <row r="84" spans="1:12" ht="15" thickBot="1">
      <c r="A84" s="459"/>
      <c r="B84" s="475"/>
      <c r="C84" s="495"/>
      <c r="D84" s="495"/>
      <c r="E84" s="496"/>
      <c r="F84" s="497"/>
      <c r="G84" s="496"/>
      <c r="H84" s="496"/>
      <c r="I84" s="496"/>
      <c r="J84" s="498"/>
      <c r="K84" s="477"/>
      <c r="L84" s="488"/>
    </row>
    <row r="85" spans="1:12" ht="40.5" customHeight="1">
      <c r="A85" s="459"/>
      <c r="B85" s="703" t="s">
        <v>592</v>
      </c>
      <c r="C85" s="703"/>
      <c r="D85" s="703"/>
      <c r="E85" s="703"/>
      <c r="F85" s="703"/>
      <c r="G85" s="703"/>
      <c r="H85" s="703"/>
      <c r="I85" s="703"/>
      <c r="J85" s="703"/>
      <c r="K85" s="703"/>
      <c r="L85" s="459"/>
    </row>
    <row r="86" spans="1:12">
      <c r="A86" s="459"/>
      <c r="B86" s="692" t="s">
        <v>640</v>
      </c>
      <c r="C86" s="692"/>
      <c r="D86" s="692"/>
      <c r="E86" s="692"/>
      <c r="F86" s="692"/>
      <c r="G86" s="692"/>
      <c r="H86" s="692"/>
      <c r="I86" s="692"/>
      <c r="J86" s="692"/>
      <c r="K86" s="692"/>
      <c r="L86" s="459"/>
    </row>
    <row r="87" spans="1:12">
      <c r="A87" s="459"/>
      <c r="B87" s="499"/>
      <c r="C87" s="499"/>
      <c r="D87" s="499"/>
      <c r="E87" s="499"/>
      <c r="F87" s="499"/>
      <c r="G87" s="499"/>
      <c r="H87" s="499"/>
      <c r="I87" s="499"/>
      <c r="J87" s="499"/>
      <c r="K87" s="499"/>
      <c r="L87" s="459"/>
    </row>
    <row r="88" spans="1:12">
      <c r="A88" s="459"/>
      <c r="B88" s="692" t="s">
        <v>641</v>
      </c>
      <c r="C88" s="692"/>
      <c r="D88" s="692"/>
      <c r="E88" s="692"/>
      <c r="F88" s="692"/>
      <c r="G88" s="692"/>
      <c r="H88" s="692"/>
      <c r="I88" s="692"/>
      <c r="J88" s="692"/>
      <c r="K88" s="692"/>
      <c r="L88" s="459"/>
    </row>
    <row r="89" spans="1:12">
      <c r="A89" s="459"/>
      <c r="B89" s="500"/>
      <c r="C89" s="500"/>
      <c r="D89" s="500"/>
      <c r="E89" s="500"/>
      <c r="F89" s="500"/>
      <c r="G89" s="500"/>
      <c r="H89" s="500"/>
      <c r="I89" s="500"/>
      <c r="J89" s="500"/>
      <c r="K89" s="500"/>
      <c r="L89" s="459"/>
    </row>
    <row r="90" spans="1:12" ht="45" customHeight="1">
      <c r="A90" s="459"/>
      <c r="B90" s="693" t="s">
        <v>642</v>
      </c>
      <c r="C90" s="693"/>
      <c r="D90" s="693"/>
      <c r="E90" s="693"/>
      <c r="F90" s="693"/>
      <c r="G90" s="693"/>
      <c r="H90" s="693"/>
      <c r="I90" s="693"/>
      <c r="J90" s="693"/>
      <c r="K90" s="693"/>
      <c r="L90" s="459"/>
    </row>
    <row r="91" spans="1:12" ht="15" customHeight="1" thickBot="1">
      <c r="A91" s="459"/>
      <c r="L91" s="459"/>
    </row>
    <row r="92" spans="1:12" ht="15" customHeight="1">
      <c r="A92" s="459"/>
      <c r="B92" s="501" t="s">
        <v>596</v>
      </c>
      <c r="C92" s="502"/>
      <c r="D92" s="502"/>
      <c r="E92" s="502"/>
      <c r="F92" s="502"/>
      <c r="G92" s="502"/>
      <c r="H92" s="502"/>
      <c r="I92" s="502"/>
      <c r="J92" s="502"/>
      <c r="K92" s="503"/>
      <c r="L92" s="459"/>
    </row>
    <row r="93" spans="1:12" ht="15" customHeight="1">
      <c r="A93" s="459"/>
      <c r="B93" s="504"/>
      <c r="C93" s="505" t="s">
        <v>604</v>
      </c>
      <c r="D93" s="505"/>
      <c r="E93" s="505"/>
      <c r="F93" s="505"/>
      <c r="G93" s="505"/>
      <c r="H93" s="505"/>
      <c r="I93" s="505"/>
      <c r="J93" s="505"/>
      <c r="K93" s="506"/>
      <c r="L93" s="459"/>
    </row>
    <row r="94" spans="1:12" ht="15" customHeight="1">
      <c r="A94" s="459"/>
      <c r="B94" s="504" t="s">
        <v>629</v>
      </c>
      <c r="C94" s="695">
        <v>133685008</v>
      </c>
      <c r="D94" s="695"/>
      <c r="E94" s="472" t="s">
        <v>603</v>
      </c>
      <c r="F94" s="472">
        <v>1000</v>
      </c>
      <c r="G94" s="472" t="s">
        <v>602</v>
      </c>
      <c r="H94" s="489">
        <f>C94/F94</f>
        <v>133685.008</v>
      </c>
      <c r="I94" s="505" t="s">
        <v>630</v>
      </c>
      <c r="J94" s="505"/>
      <c r="K94" s="506"/>
      <c r="L94" s="459"/>
    </row>
    <row r="95" spans="1:12" ht="15" customHeight="1">
      <c r="A95" s="459"/>
      <c r="B95" s="504"/>
      <c r="C95" s="505"/>
      <c r="D95" s="505"/>
      <c r="E95" s="472"/>
      <c r="F95" s="505"/>
      <c r="G95" s="505"/>
      <c r="H95" s="505"/>
      <c r="I95" s="505"/>
      <c r="J95" s="505"/>
      <c r="K95" s="506"/>
      <c r="L95" s="459"/>
    </row>
    <row r="96" spans="1:12" ht="15" customHeight="1">
      <c r="A96" s="459"/>
      <c r="B96" s="504"/>
      <c r="C96" s="505" t="s">
        <v>631</v>
      </c>
      <c r="D96" s="505"/>
      <c r="E96" s="472"/>
      <c r="F96" s="505" t="s">
        <v>630</v>
      </c>
      <c r="G96" s="505"/>
      <c r="H96" s="505"/>
      <c r="I96" s="505"/>
      <c r="J96" s="505"/>
      <c r="K96" s="506"/>
      <c r="L96" s="459"/>
    </row>
    <row r="97" spans="1:12" ht="15" customHeight="1">
      <c r="A97" s="459"/>
      <c r="B97" s="504" t="s">
        <v>632</v>
      </c>
      <c r="C97" s="695">
        <v>50000</v>
      </c>
      <c r="D97" s="695"/>
      <c r="E97" s="472" t="s">
        <v>603</v>
      </c>
      <c r="F97" s="489">
        <f>H94</f>
        <v>133685.008</v>
      </c>
      <c r="G97" s="472" t="s">
        <v>602</v>
      </c>
      <c r="H97" s="482">
        <f>C97/F97</f>
        <v>0.37401351690834322</v>
      </c>
      <c r="I97" s="505" t="s">
        <v>633</v>
      </c>
      <c r="J97" s="505"/>
      <c r="K97" s="506"/>
      <c r="L97" s="459"/>
    </row>
    <row r="98" spans="1:12" ht="15" customHeight="1">
      <c r="A98" s="459"/>
      <c r="B98" s="504"/>
      <c r="C98" s="505"/>
      <c r="D98" s="505"/>
      <c r="E98" s="472"/>
      <c r="F98" s="505"/>
      <c r="G98" s="505"/>
      <c r="H98" s="505"/>
      <c r="I98" s="505"/>
      <c r="J98" s="505"/>
      <c r="K98" s="506"/>
      <c r="L98" s="459"/>
    </row>
    <row r="99" spans="1:12" ht="15" customHeight="1">
      <c r="A99" s="459"/>
      <c r="B99" s="507"/>
      <c r="C99" s="508" t="s">
        <v>643</v>
      </c>
      <c r="D99" s="508"/>
      <c r="E99" s="492"/>
      <c r="F99" s="508"/>
      <c r="G99" s="508"/>
      <c r="H99" s="508"/>
      <c r="I99" s="508"/>
      <c r="J99" s="508"/>
      <c r="K99" s="509"/>
      <c r="L99" s="459"/>
    </row>
    <row r="100" spans="1:12" ht="15" customHeight="1">
      <c r="A100" s="459"/>
      <c r="B100" s="504" t="s">
        <v>635</v>
      </c>
      <c r="C100" s="695">
        <v>2500000</v>
      </c>
      <c r="D100" s="695"/>
      <c r="E100" s="472" t="s">
        <v>21</v>
      </c>
      <c r="F100" s="510">
        <v>0.3</v>
      </c>
      <c r="G100" s="472" t="s">
        <v>602</v>
      </c>
      <c r="H100" s="489">
        <f>C100*F100</f>
        <v>750000</v>
      </c>
      <c r="I100" s="505" t="s">
        <v>636</v>
      </c>
      <c r="J100" s="505"/>
      <c r="K100" s="506"/>
      <c r="L100" s="459"/>
    </row>
    <row r="101" spans="1:12" ht="15" customHeight="1">
      <c r="A101" s="459"/>
      <c r="B101" s="504"/>
      <c r="C101" s="505"/>
      <c r="D101" s="505"/>
      <c r="E101" s="472"/>
      <c r="F101" s="505"/>
      <c r="G101" s="505"/>
      <c r="H101" s="505"/>
      <c r="I101" s="505"/>
      <c r="J101" s="505"/>
      <c r="K101" s="506"/>
      <c r="L101" s="459"/>
    </row>
    <row r="102" spans="1:12" ht="15" customHeight="1">
      <c r="A102" s="459"/>
      <c r="B102" s="507"/>
      <c r="C102" s="508" t="s">
        <v>637</v>
      </c>
      <c r="D102" s="508"/>
      <c r="E102" s="492"/>
      <c r="F102" s="508" t="s">
        <v>633</v>
      </c>
      <c r="G102" s="508"/>
      <c r="H102" s="508"/>
      <c r="I102" s="508"/>
      <c r="J102" s="508" t="s">
        <v>638</v>
      </c>
      <c r="K102" s="509"/>
      <c r="L102" s="459"/>
    </row>
    <row r="103" spans="1:12" ht="15" customHeight="1">
      <c r="A103" s="459"/>
      <c r="B103" s="504" t="s">
        <v>639</v>
      </c>
      <c r="C103" s="702">
        <f>H100</f>
        <v>750000</v>
      </c>
      <c r="D103" s="702"/>
      <c r="E103" s="472" t="s">
        <v>21</v>
      </c>
      <c r="F103" s="482">
        <f>H97</f>
        <v>0.37401351690834322</v>
      </c>
      <c r="G103" s="472" t="s">
        <v>603</v>
      </c>
      <c r="H103" s="472">
        <v>1000</v>
      </c>
      <c r="I103" s="472" t="s">
        <v>602</v>
      </c>
      <c r="J103" s="494">
        <f>C103*F103/H103</f>
        <v>280.51013768125745</v>
      </c>
      <c r="K103" s="506"/>
      <c r="L103" s="459"/>
    </row>
    <row r="104" spans="1:12" ht="15" customHeight="1" thickBot="1">
      <c r="A104" s="459"/>
      <c r="B104" s="511"/>
      <c r="C104" s="495"/>
      <c r="D104" s="495"/>
      <c r="E104" s="496"/>
      <c r="F104" s="497"/>
      <c r="G104" s="496"/>
      <c r="H104" s="496"/>
      <c r="I104" s="496"/>
      <c r="J104" s="498"/>
      <c r="K104" s="512"/>
      <c r="L104" s="459"/>
    </row>
    <row r="105" spans="1:12" ht="40.5" customHeight="1">
      <c r="A105" s="459"/>
      <c r="B105" s="703" t="s">
        <v>592</v>
      </c>
      <c r="C105" s="704"/>
      <c r="D105" s="704"/>
      <c r="E105" s="704"/>
      <c r="F105" s="704"/>
      <c r="G105" s="704"/>
      <c r="H105" s="704"/>
      <c r="I105" s="704"/>
      <c r="J105" s="704"/>
      <c r="K105" s="704"/>
      <c r="L105" s="459"/>
    </row>
    <row r="106" spans="1:12" ht="15" customHeight="1">
      <c r="A106" s="459"/>
      <c r="B106" s="705" t="s">
        <v>644</v>
      </c>
      <c r="C106" s="706"/>
      <c r="D106" s="706"/>
      <c r="E106" s="706"/>
      <c r="F106" s="706"/>
      <c r="G106" s="706"/>
      <c r="H106" s="706"/>
      <c r="I106" s="706"/>
      <c r="J106" s="706"/>
      <c r="K106" s="706"/>
      <c r="L106" s="459"/>
    </row>
    <row r="107" spans="1:12" ht="15" customHeight="1">
      <c r="A107" s="459"/>
      <c r="B107" s="505"/>
      <c r="C107" s="513"/>
      <c r="D107" s="513"/>
      <c r="E107" s="472"/>
      <c r="F107" s="482"/>
      <c r="G107" s="472"/>
      <c r="H107" s="472"/>
      <c r="I107" s="472"/>
      <c r="J107" s="494"/>
      <c r="K107" s="505"/>
      <c r="L107" s="459"/>
    </row>
    <row r="108" spans="1:12" ht="15" customHeight="1">
      <c r="A108" s="459"/>
      <c r="B108" s="705" t="s">
        <v>645</v>
      </c>
      <c r="C108" s="707"/>
      <c r="D108" s="707"/>
      <c r="E108" s="707"/>
      <c r="F108" s="707"/>
      <c r="G108" s="707"/>
      <c r="H108" s="707"/>
      <c r="I108" s="707"/>
      <c r="J108" s="707"/>
      <c r="K108" s="707"/>
      <c r="L108" s="459"/>
    </row>
    <row r="109" spans="1:12" ht="15" customHeight="1">
      <c r="A109" s="459"/>
      <c r="B109" s="505"/>
      <c r="C109" s="513"/>
      <c r="D109" s="513"/>
      <c r="E109" s="472"/>
      <c r="F109" s="482"/>
      <c r="G109" s="472"/>
      <c r="H109" s="472"/>
      <c r="I109" s="472"/>
      <c r="J109" s="494"/>
      <c r="K109" s="505"/>
      <c r="L109" s="459"/>
    </row>
    <row r="110" spans="1:12" ht="59.25" customHeight="1">
      <c r="A110" s="459"/>
      <c r="B110" s="708" t="s">
        <v>646</v>
      </c>
      <c r="C110" s="709"/>
      <c r="D110" s="709"/>
      <c r="E110" s="709"/>
      <c r="F110" s="709"/>
      <c r="G110" s="709"/>
      <c r="H110" s="709"/>
      <c r="I110" s="709"/>
      <c r="J110" s="709"/>
      <c r="K110" s="709"/>
      <c r="L110" s="459"/>
    </row>
    <row r="111" spans="1:12" ht="15" thickBot="1">
      <c r="A111" s="459"/>
      <c r="B111" s="463"/>
      <c r="C111" s="463"/>
      <c r="D111" s="463"/>
      <c r="E111" s="463"/>
      <c r="F111" s="463"/>
      <c r="G111" s="463"/>
      <c r="H111" s="463"/>
      <c r="I111" s="463"/>
      <c r="J111" s="463"/>
      <c r="K111" s="463"/>
      <c r="L111" s="514"/>
    </row>
    <row r="112" spans="1:12">
      <c r="A112" s="459"/>
      <c r="B112" s="467" t="s">
        <v>596</v>
      </c>
      <c r="C112" s="468"/>
      <c r="D112" s="468"/>
      <c r="E112" s="468"/>
      <c r="F112" s="468"/>
      <c r="G112" s="468"/>
      <c r="H112" s="468"/>
      <c r="I112" s="468"/>
      <c r="J112" s="468"/>
      <c r="K112" s="469"/>
      <c r="L112" s="459"/>
    </row>
    <row r="113" spans="1:12">
      <c r="A113" s="459"/>
      <c r="B113" s="480"/>
      <c r="C113" s="471" t="s">
        <v>604</v>
      </c>
      <c r="D113" s="471"/>
      <c r="E113" s="471"/>
      <c r="F113" s="471"/>
      <c r="G113" s="471"/>
      <c r="H113" s="471"/>
      <c r="I113" s="471"/>
      <c r="J113" s="471"/>
      <c r="K113" s="474"/>
      <c r="L113" s="459"/>
    </row>
    <row r="114" spans="1:12">
      <c r="A114" s="459"/>
      <c r="B114" s="480" t="s">
        <v>629</v>
      </c>
      <c r="C114" s="695">
        <v>133685008</v>
      </c>
      <c r="D114" s="695"/>
      <c r="E114" s="472" t="s">
        <v>603</v>
      </c>
      <c r="F114" s="472">
        <v>1000</v>
      </c>
      <c r="G114" s="472" t="s">
        <v>602</v>
      </c>
      <c r="H114" s="489">
        <f>C114/F114</f>
        <v>133685.008</v>
      </c>
      <c r="I114" s="471" t="s">
        <v>630</v>
      </c>
      <c r="J114" s="471"/>
      <c r="K114" s="474"/>
      <c r="L114" s="459"/>
    </row>
    <row r="115" spans="1:12">
      <c r="A115" s="459"/>
      <c r="B115" s="480"/>
      <c r="C115" s="471"/>
      <c r="D115" s="471"/>
      <c r="E115" s="472"/>
      <c r="F115" s="471"/>
      <c r="G115" s="471"/>
      <c r="H115" s="471"/>
      <c r="I115" s="471"/>
      <c r="J115" s="471"/>
      <c r="K115" s="474"/>
      <c r="L115" s="459"/>
    </row>
    <row r="116" spans="1:12">
      <c r="A116" s="459"/>
      <c r="B116" s="480"/>
      <c r="C116" s="471" t="s">
        <v>631</v>
      </c>
      <c r="D116" s="471"/>
      <c r="E116" s="472"/>
      <c r="F116" s="471" t="s">
        <v>630</v>
      </c>
      <c r="G116" s="471"/>
      <c r="H116" s="471"/>
      <c r="I116" s="471"/>
      <c r="J116" s="471"/>
      <c r="K116" s="474"/>
      <c r="L116" s="459"/>
    </row>
    <row r="117" spans="1:12">
      <c r="A117" s="459"/>
      <c r="B117" s="480" t="s">
        <v>632</v>
      </c>
      <c r="C117" s="695">
        <v>50000</v>
      </c>
      <c r="D117" s="695"/>
      <c r="E117" s="472" t="s">
        <v>603</v>
      </c>
      <c r="F117" s="489">
        <f>H114</f>
        <v>133685.008</v>
      </c>
      <c r="G117" s="472" t="s">
        <v>602</v>
      </c>
      <c r="H117" s="482">
        <f>C117/F117</f>
        <v>0.37401351690834322</v>
      </c>
      <c r="I117" s="471" t="s">
        <v>633</v>
      </c>
      <c r="J117" s="471"/>
      <c r="K117" s="474"/>
      <c r="L117" s="459"/>
    </row>
    <row r="118" spans="1:12">
      <c r="A118" s="459"/>
      <c r="B118" s="480"/>
      <c r="C118" s="471"/>
      <c r="D118" s="471"/>
      <c r="E118" s="472"/>
      <c r="F118" s="471"/>
      <c r="G118" s="471"/>
      <c r="H118" s="471"/>
      <c r="I118" s="471"/>
      <c r="J118" s="471"/>
      <c r="K118" s="474"/>
      <c r="L118" s="459"/>
    </row>
    <row r="119" spans="1:12">
      <c r="A119" s="459"/>
      <c r="B119" s="490"/>
      <c r="C119" s="491" t="s">
        <v>643</v>
      </c>
      <c r="D119" s="491"/>
      <c r="E119" s="492"/>
      <c r="F119" s="491"/>
      <c r="G119" s="491"/>
      <c r="H119" s="491"/>
      <c r="I119" s="491"/>
      <c r="J119" s="491"/>
      <c r="K119" s="493"/>
      <c r="L119" s="459"/>
    </row>
    <row r="120" spans="1:12">
      <c r="A120" s="459"/>
      <c r="B120" s="480" t="s">
        <v>635</v>
      </c>
      <c r="C120" s="695">
        <v>2500000</v>
      </c>
      <c r="D120" s="695"/>
      <c r="E120" s="472" t="s">
        <v>21</v>
      </c>
      <c r="F120" s="510">
        <v>0.25</v>
      </c>
      <c r="G120" s="472" t="s">
        <v>602</v>
      </c>
      <c r="H120" s="489">
        <f>C120*F120</f>
        <v>625000</v>
      </c>
      <c r="I120" s="471" t="s">
        <v>636</v>
      </c>
      <c r="J120" s="471"/>
      <c r="K120" s="474"/>
      <c r="L120" s="459"/>
    </row>
    <row r="121" spans="1:12">
      <c r="A121" s="459"/>
      <c r="B121" s="480"/>
      <c r="C121" s="471"/>
      <c r="D121" s="471"/>
      <c r="E121" s="472"/>
      <c r="F121" s="471"/>
      <c r="G121" s="471"/>
      <c r="H121" s="471"/>
      <c r="I121" s="471"/>
      <c r="J121" s="471"/>
      <c r="K121" s="474"/>
      <c r="L121" s="459"/>
    </row>
    <row r="122" spans="1:12">
      <c r="A122" s="459"/>
      <c r="B122" s="490"/>
      <c r="C122" s="491" t="s">
        <v>637</v>
      </c>
      <c r="D122" s="491"/>
      <c r="E122" s="492"/>
      <c r="F122" s="491" t="s">
        <v>633</v>
      </c>
      <c r="G122" s="491"/>
      <c r="H122" s="491"/>
      <c r="I122" s="491"/>
      <c r="J122" s="491" t="s">
        <v>638</v>
      </c>
      <c r="K122" s="493"/>
      <c r="L122" s="459"/>
    </row>
    <row r="123" spans="1:12">
      <c r="A123" s="459"/>
      <c r="B123" s="480" t="s">
        <v>639</v>
      </c>
      <c r="C123" s="702">
        <f>H120</f>
        <v>625000</v>
      </c>
      <c r="D123" s="702"/>
      <c r="E123" s="472" t="s">
        <v>21</v>
      </c>
      <c r="F123" s="482">
        <f>H117</f>
        <v>0.37401351690834322</v>
      </c>
      <c r="G123" s="472" t="s">
        <v>603</v>
      </c>
      <c r="H123" s="472">
        <v>1000</v>
      </c>
      <c r="I123" s="472" t="s">
        <v>602</v>
      </c>
      <c r="J123" s="494">
        <f>C123*F123/H123</f>
        <v>233.75844806771451</v>
      </c>
      <c r="K123" s="474"/>
      <c r="L123" s="459"/>
    </row>
    <row r="124" spans="1:12" ht="15" thickBot="1">
      <c r="A124" s="459"/>
      <c r="B124" s="475"/>
      <c r="C124" s="495"/>
      <c r="D124" s="495"/>
      <c r="E124" s="496"/>
      <c r="F124" s="497"/>
      <c r="G124" s="496"/>
      <c r="H124" s="496"/>
      <c r="I124" s="496"/>
      <c r="J124" s="498"/>
      <c r="K124" s="477"/>
      <c r="L124" s="459"/>
    </row>
    <row r="125" spans="1:12" ht="40.5" customHeight="1">
      <c r="A125" s="459"/>
      <c r="B125" s="703" t="s">
        <v>592</v>
      </c>
      <c r="C125" s="703"/>
      <c r="D125" s="703"/>
      <c r="E125" s="703"/>
      <c r="F125" s="703"/>
      <c r="G125" s="703"/>
      <c r="H125" s="703"/>
      <c r="I125" s="703"/>
      <c r="J125" s="703"/>
      <c r="K125" s="703"/>
      <c r="L125" s="514"/>
    </row>
    <row r="126" spans="1:12">
      <c r="A126" s="459"/>
      <c r="B126" s="692" t="s">
        <v>647</v>
      </c>
      <c r="C126" s="692"/>
      <c r="D126" s="692"/>
      <c r="E126" s="692"/>
      <c r="F126" s="692"/>
      <c r="G126" s="692"/>
      <c r="H126" s="692"/>
      <c r="I126" s="692"/>
      <c r="J126" s="692"/>
      <c r="K126" s="692"/>
      <c r="L126" s="514"/>
    </row>
    <row r="127" spans="1:12">
      <c r="A127" s="459"/>
      <c r="B127" s="463"/>
      <c r="C127" s="463"/>
      <c r="D127" s="463"/>
      <c r="E127" s="463"/>
      <c r="F127" s="463"/>
      <c r="G127" s="463"/>
      <c r="H127" s="463"/>
      <c r="I127" s="463"/>
      <c r="J127" s="463"/>
      <c r="K127" s="463"/>
      <c r="L127" s="514"/>
    </row>
    <row r="128" spans="1:12">
      <c r="A128" s="459"/>
      <c r="B128" s="692" t="s">
        <v>648</v>
      </c>
      <c r="C128" s="692"/>
      <c r="D128" s="692"/>
      <c r="E128" s="692"/>
      <c r="F128" s="692"/>
      <c r="G128" s="692"/>
      <c r="H128" s="692"/>
      <c r="I128" s="692"/>
      <c r="J128" s="692"/>
      <c r="K128" s="692"/>
      <c r="L128" s="514"/>
    </row>
    <row r="129" spans="1:12">
      <c r="A129" s="459"/>
      <c r="B129" s="500"/>
      <c r="C129" s="500"/>
      <c r="D129" s="500"/>
      <c r="E129" s="500"/>
      <c r="F129" s="500"/>
      <c r="G129" s="500"/>
      <c r="H129" s="500"/>
      <c r="I129" s="500"/>
      <c r="J129" s="500"/>
      <c r="K129" s="500"/>
      <c r="L129" s="514"/>
    </row>
    <row r="130" spans="1:12" ht="74.25" customHeight="1">
      <c r="A130" s="459"/>
      <c r="B130" s="693" t="s">
        <v>649</v>
      </c>
      <c r="C130" s="693"/>
      <c r="D130" s="693"/>
      <c r="E130" s="693"/>
      <c r="F130" s="693"/>
      <c r="G130" s="693"/>
      <c r="H130" s="693"/>
      <c r="I130" s="693"/>
      <c r="J130" s="693"/>
      <c r="K130" s="693"/>
      <c r="L130" s="514"/>
    </row>
    <row r="131" spans="1:12" ht="15" thickBot="1">
      <c r="A131" s="459"/>
      <c r="L131" s="459"/>
    </row>
    <row r="132" spans="1:12">
      <c r="A132" s="459"/>
      <c r="B132" s="467" t="s">
        <v>596</v>
      </c>
      <c r="C132" s="468"/>
      <c r="D132" s="468"/>
      <c r="E132" s="468"/>
      <c r="F132" s="468"/>
      <c r="G132" s="468"/>
      <c r="H132" s="468"/>
      <c r="I132" s="468"/>
      <c r="J132" s="468"/>
      <c r="K132" s="469"/>
      <c r="L132" s="459"/>
    </row>
    <row r="133" spans="1:12">
      <c r="A133" s="459"/>
      <c r="B133" s="480"/>
      <c r="C133" s="694" t="s">
        <v>650</v>
      </c>
      <c r="D133" s="694"/>
      <c r="E133" s="471"/>
      <c r="F133" s="472" t="s">
        <v>651</v>
      </c>
      <c r="G133" s="471"/>
      <c r="H133" s="694" t="s">
        <v>636</v>
      </c>
      <c r="I133" s="694"/>
      <c r="J133" s="471"/>
      <c r="K133" s="474"/>
      <c r="L133" s="459"/>
    </row>
    <row r="134" spans="1:12">
      <c r="A134" s="459"/>
      <c r="B134" s="480" t="s">
        <v>629</v>
      </c>
      <c r="C134" s="695">
        <v>100000</v>
      </c>
      <c r="D134" s="695"/>
      <c r="E134" s="472" t="s">
        <v>21</v>
      </c>
      <c r="F134" s="472">
        <v>0.115</v>
      </c>
      <c r="G134" s="472" t="s">
        <v>602</v>
      </c>
      <c r="H134" s="690">
        <f>C134*F134</f>
        <v>11500</v>
      </c>
      <c r="I134" s="690"/>
      <c r="J134" s="471"/>
      <c r="K134" s="474"/>
      <c r="L134" s="459"/>
    </row>
    <row r="135" spans="1:12">
      <c r="A135" s="459"/>
      <c r="B135" s="480"/>
      <c r="C135" s="471"/>
      <c r="D135" s="471"/>
      <c r="E135" s="471"/>
      <c r="F135" s="471"/>
      <c r="G135" s="471"/>
      <c r="H135" s="471"/>
      <c r="I135" s="471"/>
      <c r="J135" s="471"/>
      <c r="K135" s="474"/>
      <c r="L135" s="459"/>
    </row>
    <row r="136" spans="1:12">
      <c r="A136" s="459"/>
      <c r="B136" s="490"/>
      <c r="C136" s="696" t="s">
        <v>636</v>
      </c>
      <c r="D136" s="696"/>
      <c r="E136" s="491"/>
      <c r="F136" s="492" t="s">
        <v>652</v>
      </c>
      <c r="G136" s="492"/>
      <c r="H136" s="491"/>
      <c r="I136" s="491"/>
      <c r="J136" s="491" t="s">
        <v>653</v>
      </c>
      <c r="K136" s="493"/>
      <c r="L136" s="459"/>
    </row>
    <row r="137" spans="1:12">
      <c r="A137" s="459"/>
      <c r="B137" s="480" t="s">
        <v>632</v>
      </c>
      <c r="C137" s="690">
        <f>H134</f>
        <v>11500</v>
      </c>
      <c r="D137" s="690"/>
      <c r="E137" s="472" t="s">
        <v>21</v>
      </c>
      <c r="F137" s="515">
        <v>52.869</v>
      </c>
      <c r="G137" s="472" t="s">
        <v>603</v>
      </c>
      <c r="H137" s="472">
        <v>1000</v>
      </c>
      <c r="I137" s="472" t="s">
        <v>602</v>
      </c>
      <c r="J137" s="516">
        <f>C137*F137/H137</f>
        <v>607.99350000000004</v>
      </c>
      <c r="K137" s="474"/>
      <c r="L137" s="459"/>
    </row>
    <row r="138" spans="1:12" ht="15" thickBot="1">
      <c r="A138" s="459"/>
      <c r="B138" s="475"/>
      <c r="C138" s="517"/>
      <c r="D138" s="517"/>
      <c r="E138" s="496"/>
      <c r="F138" s="518"/>
      <c r="G138" s="496"/>
      <c r="H138" s="496"/>
      <c r="I138" s="496"/>
      <c r="J138" s="519"/>
      <c r="K138" s="477"/>
      <c r="L138" s="459"/>
    </row>
    <row r="139" spans="1:12" ht="40.5" customHeight="1">
      <c r="A139" s="459"/>
      <c r="B139" s="520" t="s">
        <v>592</v>
      </c>
      <c r="C139" s="521"/>
      <c r="D139" s="521"/>
      <c r="E139" s="522"/>
      <c r="F139" s="523"/>
      <c r="G139" s="522"/>
      <c r="H139" s="522"/>
      <c r="I139" s="522"/>
      <c r="J139" s="524"/>
      <c r="K139" s="525"/>
      <c r="L139" s="459"/>
    </row>
    <row r="140" spans="1:12">
      <c r="A140" s="459"/>
      <c r="B140" s="526" t="s">
        <v>654</v>
      </c>
      <c r="C140" s="527"/>
      <c r="D140" s="527"/>
      <c r="E140" s="528"/>
      <c r="F140" s="529"/>
      <c r="G140" s="528"/>
      <c r="H140" s="528"/>
      <c r="I140" s="528"/>
      <c r="J140" s="530"/>
      <c r="K140" s="531"/>
      <c r="L140" s="459"/>
    </row>
    <row r="141" spans="1:12">
      <c r="A141" s="459"/>
      <c r="B141" s="480"/>
      <c r="C141" s="489"/>
      <c r="D141" s="489"/>
      <c r="E141" s="472"/>
      <c r="F141" s="532"/>
      <c r="G141" s="472"/>
      <c r="H141" s="472"/>
      <c r="I141" s="472"/>
      <c r="J141" s="516"/>
      <c r="K141" s="474"/>
      <c r="L141" s="459"/>
    </row>
    <row r="142" spans="1:12">
      <c r="A142" s="459"/>
      <c r="B142" s="526" t="s">
        <v>655</v>
      </c>
      <c r="C142" s="527"/>
      <c r="D142" s="527"/>
      <c r="E142" s="528"/>
      <c r="F142" s="529"/>
      <c r="G142" s="528"/>
      <c r="H142" s="528"/>
      <c r="I142" s="528"/>
      <c r="J142" s="530"/>
      <c r="K142" s="531"/>
      <c r="L142" s="459"/>
    </row>
    <row r="143" spans="1:12">
      <c r="A143" s="459"/>
      <c r="B143" s="480"/>
      <c r="C143" s="489"/>
      <c r="D143" s="489"/>
      <c r="E143" s="472"/>
      <c r="F143" s="532"/>
      <c r="G143" s="472"/>
      <c r="H143" s="472"/>
      <c r="I143" s="472"/>
      <c r="J143" s="516"/>
      <c r="K143" s="474"/>
      <c r="L143" s="459"/>
    </row>
    <row r="144" spans="1:12" ht="76.5" customHeight="1">
      <c r="A144" s="459"/>
      <c r="B144" s="697" t="s">
        <v>656</v>
      </c>
      <c r="C144" s="698"/>
      <c r="D144" s="698"/>
      <c r="E144" s="698"/>
      <c r="F144" s="698"/>
      <c r="G144" s="698"/>
      <c r="H144" s="698"/>
      <c r="I144" s="698"/>
      <c r="J144" s="698"/>
      <c r="K144" s="699"/>
      <c r="L144" s="459"/>
    </row>
    <row r="145" spans="1:12" ht="15" thickBot="1">
      <c r="A145" s="459"/>
      <c r="B145" s="480"/>
      <c r="C145" s="489"/>
      <c r="D145" s="489"/>
      <c r="E145" s="472"/>
      <c r="F145" s="532"/>
      <c r="G145" s="472"/>
      <c r="H145" s="472"/>
      <c r="I145" s="472"/>
      <c r="J145" s="516"/>
      <c r="K145" s="474"/>
      <c r="L145" s="459"/>
    </row>
    <row r="146" spans="1:12">
      <c r="A146" s="459"/>
      <c r="B146" s="467" t="s">
        <v>596</v>
      </c>
      <c r="C146" s="533"/>
      <c r="D146" s="533"/>
      <c r="E146" s="534"/>
      <c r="F146" s="535"/>
      <c r="G146" s="534"/>
      <c r="H146" s="534"/>
      <c r="I146" s="534"/>
      <c r="J146" s="536"/>
      <c r="K146" s="469"/>
      <c r="L146" s="459"/>
    </row>
    <row r="147" spans="1:12">
      <c r="A147" s="459"/>
      <c r="B147" s="480"/>
      <c r="C147" s="690" t="s">
        <v>657</v>
      </c>
      <c r="D147" s="690"/>
      <c r="E147" s="472"/>
      <c r="F147" s="532" t="s">
        <v>658</v>
      </c>
      <c r="G147" s="472"/>
      <c r="H147" s="472"/>
      <c r="I147" s="472"/>
      <c r="J147" s="700" t="s">
        <v>659</v>
      </c>
      <c r="K147" s="701"/>
      <c r="L147" s="459"/>
    </row>
    <row r="148" spans="1:12">
      <c r="A148" s="459"/>
      <c r="B148" s="480"/>
      <c r="C148" s="689">
        <v>52.869</v>
      </c>
      <c r="D148" s="689"/>
      <c r="E148" s="472" t="s">
        <v>21</v>
      </c>
      <c r="F148" s="537">
        <v>133685008</v>
      </c>
      <c r="G148" s="538" t="s">
        <v>603</v>
      </c>
      <c r="H148" s="472">
        <v>1000</v>
      </c>
      <c r="I148" s="472" t="s">
        <v>602</v>
      </c>
      <c r="J148" s="690">
        <f>C148*(F148/1000)</f>
        <v>7067792.6879519997</v>
      </c>
      <c r="K148" s="691"/>
      <c r="L148" s="459"/>
    </row>
    <row r="149" spans="1:12" ht="15" thickBot="1">
      <c r="A149" s="459"/>
      <c r="B149" s="475"/>
      <c r="C149" s="517"/>
      <c r="D149" s="517"/>
      <c r="E149" s="496"/>
      <c r="F149" s="518"/>
      <c r="G149" s="496"/>
      <c r="H149" s="496"/>
      <c r="I149" s="496"/>
      <c r="J149" s="519"/>
      <c r="K149" s="477"/>
      <c r="L149" s="459"/>
    </row>
    <row r="150" spans="1:12" ht="15" thickBot="1">
      <c r="A150" s="459"/>
      <c r="B150" s="475"/>
      <c r="C150" s="476"/>
      <c r="D150" s="476"/>
      <c r="E150" s="476"/>
      <c r="F150" s="476"/>
      <c r="G150" s="476"/>
      <c r="H150" s="476"/>
      <c r="I150" s="476"/>
      <c r="J150" s="476"/>
      <c r="K150" s="477"/>
      <c r="L150" s="459"/>
    </row>
    <row r="151" spans="1:12">
      <c r="A151" s="459"/>
      <c r="B151" s="459"/>
      <c r="C151" s="459"/>
      <c r="D151" s="459"/>
      <c r="E151" s="459"/>
      <c r="F151" s="459"/>
      <c r="G151" s="459"/>
      <c r="H151" s="459"/>
      <c r="I151" s="459"/>
      <c r="J151" s="459"/>
      <c r="K151" s="459"/>
      <c r="L151" s="459"/>
    </row>
    <row r="152" spans="1:12">
      <c r="A152" s="459"/>
      <c r="B152" s="459"/>
      <c r="C152" s="459"/>
      <c r="D152" s="459"/>
      <c r="E152" s="459"/>
      <c r="F152" s="459"/>
      <c r="G152" s="459"/>
      <c r="H152" s="459"/>
      <c r="I152" s="459"/>
      <c r="J152" s="459"/>
      <c r="K152" s="459"/>
      <c r="L152" s="459"/>
    </row>
    <row r="153" spans="1:12">
      <c r="A153" s="459"/>
      <c r="B153" s="459"/>
      <c r="C153" s="459"/>
      <c r="D153" s="459"/>
      <c r="E153" s="459"/>
      <c r="F153" s="459"/>
      <c r="G153" s="459"/>
      <c r="H153" s="459"/>
      <c r="I153" s="459"/>
      <c r="J153" s="459"/>
      <c r="K153" s="459"/>
      <c r="L153" s="459"/>
    </row>
    <row r="154" spans="1:12">
      <c r="A154" s="539"/>
      <c r="B154" s="539"/>
      <c r="C154" s="539"/>
      <c r="D154" s="539"/>
      <c r="E154" s="539"/>
      <c r="F154" s="539"/>
      <c r="G154" s="539"/>
      <c r="H154" s="539"/>
      <c r="I154" s="539"/>
      <c r="J154" s="539"/>
      <c r="K154" s="539"/>
      <c r="L154" s="539"/>
    </row>
    <row r="155" spans="1:12">
      <c r="A155" s="539"/>
      <c r="B155" s="539"/>
      <c r="C155" s="539"/>
      <c r="D155" s="539"/>
      <c r="E155" s="539"/>
      <c r="F155" s="539"/>
      <c r="G155" s="539"/>
      <c r="H155" s="539"/>
      <c r="I155" s="539"/>
      <c r="J155" s="539"/>
      <c r="K155" s="539"/>
      <c r="L155" s="539"/>
    </row>
    <row r="156" spans="1:12">
      <c r="A156" s="539"/>
      <c r="B156" s="539"/>
      <c r="C156" s="539"/>
      <c r="D156" s="539"/>
      <c r="E156" s="539"/>
      <c r="F156" s="539"/>
      <c r="G156" s="539"/>
      <c r="H156" s="539"/>
      <c r="I156" s="539"/>
      <c r="J156" s="539"/>
      <c r="K156" s="539"/>
      <c r="L156" s="539"/>
    </row>
    <row r="157" spans="1:12">
      <c r="A157" s="539"/>
      <c r="B157" s="539"/>
      <c r="C157" s="539"/>
      <c r="D157" s="539"/>
      <c r="E157" s="539"/>
      <c r="F157" s="539"/>
      <c r="G157" s="539"/>
      <c r="H157" s="539"/>
      <c r="I157" s="539"/>
      <c r="J157" s="539"/>
      <c r="K157" s="539"/>
      <c r="L157" s="539"/>
    </row>
    <row r="158" spans="1:12">
      <c r="A158" s="539"/>
      <c r="B158" s="539"/>
      <c r="C158" s="539"/>
      <c r="D158" s="539"/>
      <c r="E158" s="539"/>
      <c r="F158" s="539"/>
      <c r="G158" s="539"/>
      <c r="H158" s="539"/>
      <c r="I158" s="539"/>
      <c r="J158" s="539"/>
      <c r="K158" s="539"/>
      <c r="L158" s="539"/>
    </row>
    <row r="159" spans="1:12">
      <c r="A159" s="539"/>
      <c r="B159" s="539"/>
      <c r="C159" s="539"/>
      <c r="D159" s="539"/>
      <c r="E159" s="539"/>
      <c r="F159" s="539"/>
      <c r="G159" s="539"/>
      <c r="H159" s="539"/>
      <c r="I159" s="539"/>
      <c r="J159" s="539"/>
      <c r="K159" s="539"/>
      <c r="L159" s="539"/>
    </row>
    <row r="160" spans="1:12">
      <c r="A160" s="539"/>
      <c r="B160" s="539"/>
      <c r="C160" s="539"/>
      <c r="D160" s="539"/>
      <c r="E160" s="539"/>
      <c r="F160" s="539"/>
      <c r="G160" s="539"/>
      <c r="H160" s="539"/>
      <c r="I160" s="539"/>
      <c r="J160" s="539"/>
      <c r="K160" s="539"/>
      <c r="L160" s="539"/>
    </row>
    <row r="161" spans="1:12">
      <c r="A161" s="539"/>
      <c r="B161" s="539"/>
      <c r="C161" s="539"/>
      <c r="D161" s="539"/>
      <c r="E161" s="539"/>
      <c r="F161" s="539"/>
      <c r="G161" s="539"/>
      <c r="H161" s="539"/>
      <c r="I161" s="539"/>
      <c r="J161" s="539"/>
      <c r="K161" s="539"/>
      <c r="L161" s="539"/>
    </row>
    <row r="162" spans="1:12">
      <c r="A162" s="539"/>
      <c r="B162" s="539"/>
      <c r="C162" s="539"/>
      <c r="D162" s="539"/>
      <c r="E162" s="539"/>
      <c r="F162" s="539"/>
      <c r="G162" s="539"/>
      <c r="H162" s="539"/>
      <c r="I162" s="539"/>
      <c r="J162" s="539"/>
      <c r="K162" s="539"/>
      <c r="L162" s="539"/>
    </row>
    <row r="163" spans="1:12">
      <c r="A163" s="539"/>
      <c r="B163" s="539"/>
      <c r="C163" s="539"/>
      <c r="D163" s="539"/>
      <c r="E163" s="539"/>
      <c r="F163" s="539"/>
      <c r="G163" s="539"/>
      <c r="H163" s="539"/>
      <c r="I163" s="539"/>
      <c r="J163" s="539"/>
      <c r="K163" s="539"/>
      <c r="L163" s="539"/>
    </row>
    <row r="164" spans="1:12">
      <c r="A164" s="539"/>
      <c r="B164" s="539"/>
      <c r="C164" s="539"/>
      <c r="D164" s="539"/>
      <c r="E164" s="539"/>
      <c r="F164" s="539"/>
      <c r="G164" s="539"/>
      <c r="H164" s="539"/>
      <c r="I164" s="539"/>
      <c r="J164" s="539"/>
      <c r="K164" s="539"/>
      <c r="L164" s="539"/>
    </row>
    <row r="165" spans="1:12">
      <c r="A165" s="539"/>
      <c r="B165" s="539"/>
      <c r="C165" s="539"/>
      <c r="D165" s="539"/>
      <c r="E165" s="539"/>
      <c r="F165" s="539"/>
      <c r="G165" s="539"/>
      <c r="H165" s="539"/>
      <c r="I165" s="539"/>
      <c r="J165" s="539"/>
      <c r="K165" s="539"/>
      <c r="L165" s="539"/>
    </row>
    <row r="166" spans="1:12">
      <c r="A166" s="539"/>
      <c r="B166" s="539"/>
      <c r="C166" s="539"/>
      <c r="D166" s="539"/>
      <c r="E166" s="539"/>
      <c r="F166" s="539"/>
      <c r="G166" s="539"/>
      <c r="H166" s="539"/>
      <c r="I166" s="539"/>
      <c r="J166" s="539"/>
      <c r="K166" s="539"/>
      <c r="L166" s="539"/>
    </row>
    <row r="167" spans="1:12">
      <c r="A167" s="539"/>
      <c r="B167" s="539"/>
      <c r="C167" s="539"/>
      <c r="D167" s="539"/>
      <c r="E167" s="539"/>
      <c r="F167" s="539"/>
      <c r="G167" s="539"/>
      <c r="H167" s="539"/>
      <c r="I167" s="539"/>
      <c r="J167" s="539"/>
      <c r="K167" s="539"/>
      <c r="L167" s="539"/>
    </row>
    <row r="168" spans="1:12">
      <c r="A168" s="539"/>
      <c r="B168" s="539"/>
      <c r="C168" s="539"/>
      <c r="D168" s="539"/>
      <c r="E168" s="539"/>
      <c r="F168" s="539"/>
      <c r="G168" s="539"/>
      <c r="H168" s="539"/>
      <c r="I168" s="539"/>
      <c r="J168" s="539"/>
      <c r="K168" s="539"/>
      <c r="L168" s="539"/>
    </row>
    <row r="169" spans="1:12">
      <c r="A169" s="539"/>
      <c r="B169" s="539"/>
      <c r="C169" s="539"/>
      <c r="D169" s="539"/>
      <c r="E169" s="539"/>
      <c r="F169" s="539"/>
      <c r="G169" s="539"/>
      <c r="H169" s="539"/>
      <c r="I169" s="539"/>
      <c r="J169" s="539"/>
      <c r="K169" s="539"/>
      <c r="L169" s="539"/>
    </row>
    <row r="170" spans="1:12">
      <c r="A170" s="539"/>
      <c r="B170" s="539"/>
      <c r="C170" s="539"/>
      <c r="D170" s="539"/>
      <c r="E170" s="539"/>
      <c r="F170" s="539"/>
      <c r="G170" s="539"/>
      <c r="H170" s="539"/>
      <c r="I170" s="539"/>
      <c r="J170" s="539"/>
      <c r="K170" s="539"/>
      <c r="L170" s="539"/>
    </row>
    <row r="171" spans="1:12">
      <c r="A171" s="539"/>
      <c r="B171" s="539"/>
      <c r="C171" s="539"/>
      <c r="D171" s="539"/>
      <c r="E171" s="539"/>
      <c r="F171" s="539"/>
      <c r="G171" s="539"/>
      <c r="H171" s="539"/>
      <c r="I171" s="539"/>
      <c r="J171" s="539"/>
      <c r="K171" s="539"/>
      <c r="L171" s="539"/>
    </row>
    <row r="172" spans="1:12">
      <c r="A172" s="539"/>
      <c r="B172" s="539"/>
      <c r="C172" s="539"/>
      <c r="D172" s="539"/>
      <c r="E172" s="539"/>
      <c r="F172" s="539"/>
      <c r="G172" s="539"/>
      <c r="H172" s="539"/>
      <c r="I172" s="539"/>
      <c r="J172" s="539"/>
      <c r="K172" s="539"/>
      <c r="L172" s="539"/>
    </row>
    <row r="173" spans="1:12">
      <c r="A173" s="539"/>
      <c r="B173" s="539"/>
      <c r="C173" s="539"/>
      <c r="D173" s="539"/>
      <c r="E173" s="539"/>
      <c r="F173" s="539"/>
      <c r="G173" s="539"/>
      <c r="H173" s="539"/>
      <c r="I173" s="539"/>
      <c r="J173" s="539"/>
      <c r="K173" s="539"/>
      <c r="L173" s="539"/>
    </row>
    <row r="174" spans="1:12">
      <c r="A174" s="539"/>
      <c r="B174" s="539"/>
      <c r="C174" s="539"/>
      <c r="D174" s="539"/>
      <c r="E174" s="539"/>
      <c r="F174" s="539"/>
      <c r="G174" s="539"/>
      <c r="H174" s="539"/>
      <c r="I174" s="539"/>
      <c r="J174" s="539"/>
      <c r="K174" s="539"/>
      <c r="L174" s="539"/>
    </row>
    <row r="175" spans="1:12">
      <c r="A175" s="539"/>
      <c r="B175" s="539"/>
      <c r="C175" s="539"/>
      <c r="D175" s="539"/>
      <c r="E175" s="539"/>
      <c r="F175" s="539"/>
      <c r="G175" s="539"/>
      <c r="H175" s="539"/>
      <c r="I175" s="539"/>
      <c r="J175" s="539"/>
      <c r="K175" s="539"/>
      <c r="L175" s="539"/>
    </row>
    <row r="176" spans="1:12">
      <c r="A176" s="539"/>
      <c r="B176" s="539"/>
      <c r="C176" s="539"/>
      <c r="D176" s="539"/>
      <c r="E176" s="539"/>
      <c r="F176" s="539"/>
      <c r="G176" s="539"/>
      <c r="H176" s="539"/>
      <c r="I176" s="539"/>
      <c r="J176" s="539"/>
      <c r="K176" s="539"/>
      <c r="L176" s="539"/>
    </row>
    <row r="177" spans="1:12">
      <c r="A177" s="539"/>
      <c r="B177" s="539"/>
      <c r="C177" s="539"/>
      <c r="D177" s="539"/>
      <c r="E177" s="539"/>
      <c r="F177" s="539"/>
      <c r="G177" s="539"/>
      <c r="H177" s="539"/>
      <c r="I177" s="539"/>
      <c r="J177" s="539"/>
      <c r="K177" s="539"/>
      <c r="L177" s="539"/>
    </row>
    <row r="178" spans="1:12">
      <c r="A178" s="539"/>
      <c r="B178" s="539"/>
      <c r="C178" s="539"/>
      <c r="D178" s="539"/>
      <c r="E178" s="539"/>
      <c r="F178" s="539"/>
      <c r="G178" s="539"/>
      <c r="H178" s="539"/>
      <c r="I178" s="539"/>
      <c r="J178" s="539"/>
      <c r="K178" s="539"/>
      <c r="L178" s="539"/>
    </row>
    <row r="179" spans="1:12">
      <c r="A179" s="539"/>
      <c r="B179" s="539"/>
      <c r="C179" s="539"/>
      <c r="D179" s="539"/>
      <c r="E179" s="539"/>
      <c r="F179" s="539"/>
      <c r="G179" s="539"/>
      <c r="H179" s="539"/>
      <c r="I179" s="539"/>
      <c r="J179" s="539"/>
      <c r="K179" s="539"/>
      <c r="L179" s="539"/>
    </row>
    <row r="180" spans="1:12">
      <c r="A180" s="539"/>
      <c r="B180" s="539"/>
      <c r="C180" s="539"/>
      <c r="D180" s="539"/>
      <c r="E180" s="539"/>
      <c r="F180" s="539"/>
      <c r="G180" s="539"/>
      <c r="H180" s="539"/>
      <c r="I180" s="539"/>
      <c r="J180" s="539"/>
      <c r="K180" s="539"/>
      <c r="L180" s="539"/>
    </row>
    <row r="181" spans="1:12">
      <c r="A181" s="539"/>
      <c r="B181" s="539"/>
      <c r="C181" s="539"/>
      <c r="D181" s="539"/>
      <c r="E181" s="539"/>
      <c r="F181" s="539"/>
      <c r="G181" s="539"/>
      <c r="H181" s="539"/>
      <c r="I181" s="539"/>
      <c r="J181" s="539"/>
      <c r="K181" s="539"/>
      <c r="L181" s="539"/>
    </row>
    <row r="182" spans="1:12">
      <c r="A182" s="539"/>
      <c r="B182" s="539"/>
      <c r="C182" s="539"/>
      <c r="D182" s="539"/>
      <c r="E182" s="539"/>
      <c r="F182" s="539"/>
      <c r="G182" s="539"/>
      <c r="H182" s="539"/>
      <c r="I182" s="539"/>
      <c r="J182" s="539"/>
      <c r="K182" s="539"/>
      <c r="L182" s="539"/>
    </row>
    <row r="183" spans="1:12">
      <c r="A183" s="539"/>
      <c r="B183" s="539"/>
      <c r="C183" s="539"/>
      <c r="D183" s="539"/>
      <c r="E183" s="539"/>
      <c r="F183" s="539"/>
      <c r="G183" s="539"/>
      <c r="H183" s="539"/>
      <c r="I183" s="539"/>
      <c r="J183" s="539"/>
      <c r="K183" s="539"/>
      <c r="L183" s="539"/>
    </row>
    <row r="184" spans="1:12">
      <c r="A184" s="539"/>
      <c r="B184" s="539"/>
      <c r="C184" s="539"/>
      <c r="D184" s="539"/>
      <c r="E184" s="539"/>
      <c r="F184" s="539"/>
      <c r="G184" s="539"/>
      <c r="H184" s="539"/>
      <c r="I184" s="539"/>
      <c r="J184" s="539"/>
      <c r="K184" s="539"/>
      <c r="L184" s="539"/>
    </row>
    <row r="185" spans="1:12">
      <c r="A185" s="539"/>
      <c r="B185" s="539"/>
      <c r="C185" s="539"/>
      <c r="D185" s="539"/>
      <c r="E185" s="539"/>
      <c r="F185" s="539"/>
      <c r="G185" s="539"/>
      <c r="H185" s="539"/>
      <c r="I185" s="539"/>
      <c r="J185" s="539"/>
      <c r="K185" s="539"/>
      <c r="L185" s="539"/>
    </row>
    <row r="186" spans="1:12">
      <c r="A186" s="539"/>
      <c r="B186" s="539"/>
      <c r="C186" s="539"/>
      <c r="D186" s="539"/>
      <c r="E186" s="539"/>
      <c r="F186" s="539"/>
      <c r="G186" s="539"/>
      <c r="H186" s="539"/>
      <c r="I186" s="539"/>
      <c r="J186" s="539"/>
      <c r="K186" s="539"/>
      <c r="L186" s="539"/>
    </row>
    <row r="187" spans="1:12">
      <c r="A187" s="539"/>
      <c r="B187" s="539"/>
      <c r="C187" s="539"/>
      <c r="D187" s="539"/>
      <c r="E187" s="539"/>
      <c r="F187" s="539"/>
      <c r="G187" s="539"/>
      <c r="H187" s="539"/>
      <c r="I187" s="539"/>
      <c r="J187" s="539"/>
      <c r="K187" s="539"/>
      <c r="L187" s="539"/>
    </row>
    <row r="188" spans="1:12">
      <c r="A188" s="539"/>
      <c r="B188" s="539"/>
      <c r="C188" s="539"/>
      <c r="D188" s="539"/>
      <c r="E188" s="539"/>
      <c r="F188" s="539"/>
      <c r="G188" s="539"/>
      <c r="H188" s="539"/>
      <c r="I188" s="539"/>
      <c r="J188" s="539"/>
      <c r="K188" s="539"/>
      <c r="L188" s="539"/>
    </row>
    <row r="189" spans="1:12">
      <c r="A189" s="539"/>
      <c r="B189" s="539"/>
      <c r="C189" s="539"/>
      <c r="D189" s="539"/>
      <c r="E189" s="539"/>
      <c r="F189" s="539"/>
      <c r="G189" s="539"/>
      <c r="H189" s="539"/>
      <c r="I189" s="539"/>
      <c r="J189" s="539"/>
      <c r="K189" s="539"/>
      <c r="L189" s="539"/>
    </row>
    <row r="190" spans="1:12">
      <c r="A190" s="539"/>
      <c r="B190" s="539"/>
      <c r="C190" s="539"/>
      <c r="D190" s="539"/>
      <c r="E190" s="539"/>
      <c r="F190" s="539"/>
      <c r="G190" s="539"/>
      <c r="H190" s="539"/>
      <c r="I190" s="539"/>
      <c r="J190" s="539"/>
      <c r="K190" s="539"/>
      <c r="L190" s="539"/>
    </row>
    <row r="191" spans="1:12">
      <c r="A191" s="539"/>
      <c r="B191" s="539"/>
      <c r="C191" s="539"/>
      <c r="D191" s="539"/>
      <c r="E191" s="539"/>
      <c r="F191" s="539"/>
      <c r="G191" s="539"/>
      <c r="H191" s="539"/>
      <c r="I191" s="539"/>
      <c r="J191" s="539"/>
      <c r="K191" s="539"/>
      <c r="L191" s="539"/>
    </row>
    <row r="192" spans="1:12">
      <c r="A192" s="539"/>
      <c r="B192" s="539"/>
      <c r="C192" s="539"/>
      <c r="D192" s="539"/>
      <c r="E192" s="539"/>
      <c r="F192" s="539"/>
      <c r="G192" s="539"/>
      <c r="H192" s="539"/>
      <c r="I192" s="539"/>
      <c r="J192" s="539"/>
      <c r="K192" s="539"/>
      <c r="L192" s="539"/>
    </row>
    <row r="193" spans="1:12">
      <c r="A193" s="539"/>
      <c r="B193" s="539"/>
      <c r="C193" s="539"/>
      <c r="D193" s="539"/>
      <c r="E193" s="539"/>
      <c r="F193" s="539"/>
      <c r="G193" s="539"/>
      <c r="H193" s="539"/>
      <c r="I193" s="539"/>
      <c r="J193" s="539"/>
      <c r="K193" s="539"/>
      <c r="L193" s="539"/>
    </row>
    <row r="194" spans="1:12">
      <c r="A194" s="539"/>
      <c r="B194" s="539"/>
      <c r="C194" s="539"/>
      <c r="D194" s="539"/>
      <c r="E194" s="539"/>
      <c r="F194" s="539"/>
      <c r="G194" s="539"/>
      <c r="H194" s="539"/>
      <c r="I194" s="539"/>
      <c r="J194" s="539"/>
      <c r="K194" s="539"/>
      <c r="L194" s="539"/>
    </row>
    <row r="195" spans="1:12">
      <c r="A195" s="539"/>
      <c r="B195" s="539"/>
      <c r="C195" s="539"/>
      <c r="D195" s="539"/>
      <c r="E195" s="539"/>
      <c r="F195" s="539"/>
      <c r="G195" s="539"/>
      <c r="H195" s="539"/>
      <c r="I195" s="539"/>
      <c r="J195" s="539"/>
      <c r="K195" s="539"/>
      <c r="L195" s="539"/>
    </row>
    <row r="196" spans="1:12">
      <c r="A196" s="539"/>
      <c r="B196" s="539"/>
      <c r="C196" s="539"/>
      <c r="D196" s="539"/>
      <c r="E196" s="539"/>
      <c r="F196" s="539"/>
      <c r="G196" s="539"/>
      <c r="H196" s="539"/>
      <c r="I196" s="539"/>
      <c r="J196" s="539"/>
      <c r="K196" s="539"/>
      <c r="L196" s="539"/>
    </row>
    <row r="197" spans="1:12">
      <c r="A197" s="539"/>
      <c r="B197" s="539"/>
      <c r="C197" s="539"/>
      <c r="D197" s="539"/>
      <c r="E197" s="539"/>
      <c r="F197" s="539"/>
      <c r="G197" s="539"/>
      <c r="H197" s="539"/>
      <c r="I197" s="539"/>
      <c r="J197" s="539"/>
      <c r="K197" s="539"/>
      <c r="L197" s="539"/>
    </row>
    <row r="198" spans="1:12">
      <c r="A198" s="539"/>
      <c r="B198" s="539"/>
      <c r="C198" s="539"/>
      <c r="D198" s="539"/>
      <c r="E198" s="539"/>
      <c r="F198" s="539"/>
      <c r="G198" s="539"/>
      <c r="H198" s="539"/>
      <c r="I198" s="539"/>
      <c r="J198" s="539"/>
      <c r="K198" s="539"/>
      <c r="L198" s="539"/>
    </row>
    <row r="199" spans="1:12">
      <c r="A199" s="539"/>
      <c r="B199" s="539"/>
      <c r="C199" s="539"/>
      <c r="D199" s="539"/>
      <c r="E199" s="539"/>
      <c r="F199" s="539"/>
      <c r="G199" s="539"/>
      <c r="H199" s="539"/>
      <c r="I199" s="539"/>
      <c r="J199" s="539"/>
      <c r="K199" s="539"/>
      <c r="L199" s="539"/>
    </row>
    <row r="200" spans="1:12">
      <c r="A200" s="539"/>
      <c r="B200" s="539"/>
      <c r="C200" s="539"/>
      <c r="D200" s="539"/>
      <c r="E200" s="539"/>
      <c r="F200" s="539"/>
      <c r="G200" s="539"/>
      <c r="H200" s="539"/>
      <c r="I200" s="539"/>
      <c r="J200" s="539"/>
      <c r="K200" s="539"/>
      <c r="L200" s="539"/>
    </row>
    <row r="201" spans="1:12">
      <c r="A201" s="539"/>
      <c r="B201" s="539"/>
      <c r="C201" s="539"/>
      <c r="D201" s="539"/>
      <c r="E201" s="539"/>
      <c r="F201" s="539"/>
      <c r="G201" s="539"/>
      <c r="H201" s="539"/>
      <c r="I201" s="539"/>
      <c r="J201" s="539"/>
      <c r="K201" s="539"/>
      <c r="L201" s="539"/>
    </row>
    <row r="202" spans="1:12">
      <c r="A202" s="539"/>
      <c r="B202" s="539"/>
      <c r="C202" s="539"/>
      <c r="D202" s="539"/>
      <c r="E202" s="539"/>
      <c r="F202" s="539"/>
      <c r="G202" s="539"/>
      <c r="H202" s="539"/>
      <c r="I202" s="539"/>
      <c r="J202" s="539"/>
      <c r="K202" s="539"/>
      <c r="L202" s="539"/>
    </row>
    <row r="203" spans="1:12">
      <c r="A203" s="539"/>
      <c r="B203" s="539"/>
      <c r="C203" s="539"/>
      <c r="D203" s="539"/>
      <c r="E203" s="539"/>
      <c r="F203" s="539"/>
      <c r="G203" s="539"/>
      <c r="H203" s="539"/>
      <c r="I203" s="539"/>
      <c r="J203" s="539"/>
      <c r="K203" s="539"/>
      <c r="L203" s="539"/>
    </row>
    <row r="204" spans="1:12">
      <c r="A204" s="539"/>
      <c r="B204" s="539"/>
      <c r="C204" s="539"/>
      <c r="D204" s="539"/>
      <c r="E204" s="539"/>
      <c r="F204" s="539"/>
      <c r="G204" s="539"/>
      <c r="H204" s="539"/>
      <c r="I204" s="539"/>
      <c r="J204" s="539"/>
      <c r="K204" s="539"/>
      <c r="L204" s="539"/>
    </row>
    <row r="205" spans="1:12">
      <c r="A205" s="539"/>
      <c r="B205" s="539"/>
      <c r="C205" s="539"/>
      <c r="D205" s="539"/>
      <c r="E205" s="539"/>
      <c r="F205" s="539"/>
      <c r="G205" s="539"/>
      <c r="H205" s="539"/>
      <c r="I205" s="539"/>
      <c r="J205" s="539"/>
      <c r="K205" s="539"/>
      <c r="L205" s="539"/>
    </row>
    <row r="206" spans="1:12">
      <c r="A206" s="539"/>
      <c r="B206" s="539"/>
      <c r="C206" s="539"/>
      <c r="D206" s="539"/>
      <c r="E206" s="539"/>
      <c r="F206" s="539"/>
      <c r="G206" s="539"/>
      <c r="H206" s="539"/>
      <c r="I206" s="539"/>
      <c r="J206" s="539"/>
      <c r="K206" s="539"/>
      <c r="L206" s="539"/>
    </row>
    <row r="207" spans="1:12">
      <c r="A207" s="539"/>
      <c r="B207" s="539"/>
      <c r="C207" s="539"/>
      <c r="D207" s="539"/>
      <c r="E207" s="539"/>
      <c r="F207" s="539"/>
      <c r="G207" s="539"/>
      <c r="H207" s="539"/>
      <c r="I207" s="539"/>
      <c r="J207" s="539"/>
      <c r="K207" s="539"/>
      <c r="L207" s="539"/>
    </row>
    <row r="208" spans="1:12">
      <c r="A208" s="539"/>
      <c r="B208" s="539"/>
      <c r="C208" s="539"/>
      <c r="D208" s="539"/>
      <c r="E208" s="539"/>
      <c r="F208" s="539"/>
      <c r="G208" s="539"/>
      <c r="H208" s="539"/>
      <c r="I208" s="539"/>
      <c r="J208" s="539"/>
      <c r="K208" s="539"/>
      <c r="L208" s="539"/>
    </row>
    <row r="209" spans="1:12">
      <c r="A209" s="539"/>
      <c r="B209" s="539"/>
      <c r="C209" s="539"/>
      <c r="D209" s="539"/>
      <c r="E209" s="539"/>
      <c r="F209" s="539"/>
      <c r="G209" s="539"/>
      <c r="H209" s="539"/>
      <c r="I209" s="539"/>
      <c r="J209" s="539"/>
      <c r="K209" s="539"/>
      <c r="L209" s="539"/>
    </row>
    <row r="210" spans="1:12">
      <c r="A210" s="539"/>
      <c r="B210" s="539"/>
      <c r="C210" s="539"/>
      <c r="D210" s="539"/>
      <c r="E210" s="539"/>
      <c r="F210" s="539"/>
      <c r="G210" s="539"/>
      <c r="H210" s="539"/>
      <c r="I210" s="539"/>
      <c r="J210" s="539"/>
      <c r="K210" s="539"/>
      <c r="L210" s="539"/>
    </row>
    <row r="211" spans="1:12">
      <c r="A211" s="539"/>
      <c r="B211" s="539"/>
      <c r="C211" s="539"/>
      <c r="D211" s="539"/>
      <c r="E211" s="539"/>
      <c r="F211" s="539"/>
      <c r="G211" s="539"/>
      <c r="H211" s="539"/>
      <c r="I211" s="539"/>
      <c r="J211" s="539"/>
      <c r="K211" s="539"/>
      <c r="L211" s="539"/>
    </row>
    <row r="212" spans="1:12">
      <c r="A212" s="539"/>
      <c r="B212" s="539"/>
      <c r="C212" s="539"/>
      <c r="D212" s="539"/>
      <c r="E212" s="539"/>
      <c r="F212" s="539"/>
      <c r="G212" s="539"/>
      <c r="H212" s="539"/>
      <c r="I212" s="539"/>
      <c r="J212" s="539"/>
      <c r="K212" s="539"/>
      <c r="L212" s="539"/>
    </row>
    <row r="213" spans="1:12">
      <c r="A213" s="539"/>
      <c r="B213" s="539"/>
      <c r="C213" s="539"/>
      <c r="D213" s="539"/>
      <c r="E213" s="539"/>
      <c r="F213" s="539"/>
      <c r="G213" s="539"/>
      <c r="H213" s="539"/>
      <c r="I213" s="539"/>
      <c r="J213" s="539"/>
      <c r="K213" s="539"/>
      <c r="L213" s="539"/>
    </row>
    <row r="214" spans="1:12">
      <c r="A214" s="539"/>
      <c r="B214" s="539"/>
      <c r="C214" s="539"/>
      <c r="D214" s="539"/>
      <c r="E214" s="539"/>
      <c r="F214" s="539"/>
      <c r="G214" s="539"/>
      <c r="H214" s="539"/>
      <c r="I214" s="539"/>
      <c r="J214" s="539"/>
      <c r="K214" s="539"/>
      <c r="L214" s="539"/>
    </row>
    <row r="215" spans="1:12">
      <c r="A215" s="539"/>
      <c r="B215" s="539"/>
      <c r="C215" s="539"/>
      <c r="D215" s="539"/>
      <c r="E215" s="539"/>
      <c r="F215" s="539"/>
      <c r="G215" s="539"/>
      <c r="H215" s="539"/>
      <c r="I215" s="539"/>
      <c r="J215" s="539"/>
      <c r="K215" s="539"/>
      <c r="L215" s="539"/>
    </row>
    <row r="216" spans="1:12">
      <c r="A216" s="539"/>
      <c r="B216" s="539"/>
      <c r="C216" s="539"/>
      <c r="D216" s="539"/>
      <c r="E216" s="539"/>
      <c r="F216" s="539"/>
      <c r="G216" s="539"/>
      <c r="H216" s="539"/>
      <c r="I216" s="539"/>
      <c r="J216" s="539"/>
      <c r="K216" s="539"/>
      <c r="L216" s="539"/>
    </row>
    <row r="217" spans="1:12">
      <c r="A217" s="539"/>
      <c r="B217" s="539"/>
      <c r="C217" s="539"/>
      <c r="D217" s="539"/>
      <c r="E217" s="539"/>
      <c r="F217" s="539"/>
      <c r="G217" s="539"/>
      <c r="H217" s="539"/>
      <c r="I217" s="539"/>
      <c r="J217" s="539"/>
      <c r="K217" s="539"/>
      <c r="L217" s="539"/>
    </row>
    <row r="218" spans="1:12">
      <c r="A218" s="539"/>
      <c r="B218" s="539"/>
      <c r="C218" s="539"/>
      <c r="D218" s="539"/>
      <c r="E218" s="539"/>
      <c r="F218" s="539"/>
      <c r="G218" s="539"/>
      <c r="H218" s="539"/>
      <c r="I218" s="539"/>
      <c r="J218" s="539"/>
      <c r="K218" s="539"/>
      <c r="L218" s="539"/>
    </row>
    <row r="219" spans="1:12">
      <c r="A219" s="539"/>
      <c r="B219" s="539"/>
      <c r="C219" s="539"/>
      <c r="D219" s="539"/>
      <c r="E219" s="539"/>
      <c r="F219" s="539"/>
      <c r="G219" s="539"/>
      <c r="H219" s="539"/>
      <c r="I219" s="539"/>
      <c r="J219" s="539"/>
      <c r="K219" s="539"/>
      <c r="L219" s="539"/>
    </row>
    <row r="220" spans="1:12">
      <c r="A220" s="539"/>
      <c r="B220" s="539"/>
      <c r="C220" s="539"/>
      <c r="D220" s="539"/>
      <c r="E220" s="539"/>
      <c r="F220" s="539"/>
      <c r="G220" s="539"/>
      <c r="H220" s="539"/>
      <c r="I220" s="539"/>
      <c r="J220" s="539"/>
      <c r="K220" s="539"/>
      <c r="L220" s="539"/>
    </row>
    <row r="221" spans="1:12">
      <c r="A221" s="539"/>
      <c r="B221" s="539"/>
      <c r="C221" s="539"/>
      <c r="D221" s="539"/>
      <c r="E221" s="539"/>
      <c r="F221" s="539"/>
      <c r="G221" s="539"/>
      <c r="H221" s="539"/>
      <c r="I221" s="539"/>
      <c r="J221" s="539"/>
      <c r="K221" s="539"/>
      <c r="L221" s="539"/>
    </row>
    <row r="222" spans="1:12">
      <c r="A222" s="539"/>
      <c r="B222" s="539"/>
      <c r="C222" s="539"/>
      <c r="D222" s="539"/>
      <c r="E222" s="539"/>
      <c r="F222" s="539"/>
      <c r="G222" s="539"/>
      <c r="H222" s="539"/>
      <c r="I222" s="539"/>
      <c r="J222" s="539"/>
      <c r="K222" s="539"/>
      <c r="L222" s="539"/>
    </row>
    <row r="223" spans="1:12">
      <c r="A223" s="539"/>
      <c r="B223" s="539"/>
      <c r="C223" s="539"/>
      <c r="D223" s="539"/>
      <c r="E223" s="539"/>
      <c r="F223" s="539"/>
      <c r="G223" s="539"/>
      <c r="H223" s="539"/>
      <c r="I223" s="539"/>
      <c r="J223" s="539"/>
      <c r="K223" s="539"/>
      <c r="L223" s="539"/>
    </row>
    <row r="224" spans="1:12">
      <c r="A224" s="539"/>
      <c r="B224" s="539"/>
      <c r="C224" s="539"/>
      <c r="D224" s="539"/>
      <c r="E224" s="539"/>
      <c r="F224" s="539"/>
      <c r="G224" s="539"/>
      <c r="H224" s="539"/>
      <c r="I224" s="539"/>
      <c r="J224" s="539"/>
      <c r="K224" s="539"/>
      <c r="L224" s="539"/>
    </row>
    <row r="225" spans="1:12">
      <c r="A225" s="539"/>
      <c r="B225" s="539"/>
      <c r="C225" s="539"/>
      <c r="D225" s="539"/>
      <c r="E225" s="539"/>
      <c r="F225" s="539"/>
      <c r="G225" s="539"/>
      <c r="H225" s="539"/>
      <c r="I225" s="539"/>
      <c r="J225" s="539"/>
      <c r="K225" s="539"/>
      <c r="L225" s="539"/>
    </row>
    <row r="226" spans="1:12">
      <c r="A226" s="539"/>
      <c r="B226" s="539"/>
      <c r="C226" s="539"/>
      <c r="D226" s="539"/>
      <c r="E226" s="539"/>
      <c r="F226" s="539"/>
      <c r="G226" s="539"/>
      <c r="H226" s="539"/>
      <c r="I226" s="539"/>
      <c r="J226" s="539"/>
      <c r="K226" s="539"/>
      <c r="L226" s="539"/>
    </row>
    <row r="227" spans="1:12">
      <c r="A227" s="539"/>
      <c r="B227" s="539"/>
      <c r="C227" s="539"/>
      <c r="D227" s="539"/>
      <c r="E227" s="539"/>
      <c r="F227" s="539"/>
      <c r="G227" s="539"/>
      <c r="H227" s="539"/>
      <c r="I227" s="539"/>
      <c r="J227" s="539"/>
      <c r="K227" s="539"/>
      <c r="L227" s="539"/>
    </row>
    <row r="228" spans="1:12">
      <c r="A228" s="539"/>
      <c r="B228" s="539"/>
      <c r="C228" s="539"/>
      <c r="D228" s="539"/>
      <c r="E228" s="539"/>
      <c r="F228" s="539"/>
      <c r="G228" s="539"/>
      <c r="H228" s="539"/>
      <c r="I228" s="539"/>
      <c r="J228" s="539"/>
      <c r="K228" s="539"/>
      <c r="L228" s="539"/>
    </row>
    <row r="229" spans="1:12">
      <c r="A229" s="539"/>
      <c r="B229" s="539"/>
      <c r="C229" s="539"/>
      <c r="D229" s="539"/>
      <c r="E229" s="539"/>
      <c r="F229" s="539"/>
      <c r="G229" s="539"/>
      <c r="H229" s="539"/>
      <c r="I229" s="539"/>
      <c r="J229" s="539"/>
      <c r="K229" s="539"/>
      <c r="L229" s="539"/>
    </row>
    <row r="230" spans="1:12">
      <c r="A230" s="539"/>
      <c r="B230" s="539"/>
      <c r="C230" s="539"/>
      <c r="D230" s="539"/>
      <c r="E230" s="539"/>
      <c r="F230" s="539"/>
      <c r="G230" s="539"/>
      <c r="H230" s="539"/>
      <c r="I230" s="539"/>
      <c r="J230" s="539"/>
      <c r="K230" s="539"/>
      <c r="L230" s="539"/>
    </row>
    <row r="231" spans="1:12">
      <c r="A231" s="539"/>
      <c r="B231" s="539"/>
      <c r="C231" s="539"/>
      <c r="D231" s="539"/>
      <c r="E231" s="539"/>
      <c r="F231" s="539"/>
      <c r="G231" s="539"/>
      <c r="H231" s="539"/>
      <c r="I231" s="539"/>
      <c r="J231" s="539"/>
      <c r="K231" s="539"/>
      <c r="L231" s="539"/>
    </row>
    <row r="232" spans="1:12">
      <c r="A232" s="539"/>
      <c r="B232" s="539"/>
      <c r="C232" s="539"/>
      <c r="D232" s="539"/>
      <c r="E232" s="539"/>
      <c r="F232" s="539"/>
      <c r="G232" s="539"/>
      <c r="H232" s="539"/>
      <c r="I232" s="539"/>
      <c r="J232" s="539"/>
      <c r="K232" s="539"/>
      <c r="L232" s="539"/>
    </row>
    <row r="233" spans="1:12">
      <c r="A233" s="539"/>
      <c r="B233" s="539"/>
      <c r="C233" s="539"/>
      <c r="D233" s="539"/>
      <c r="E233" s="539"/>
      <c r="F233" s="539"/>
      <c r="G233" s="539"/>
      <c r="H233" s="539"/>
      <c r="I233" s="539"/>
      <c r="J233" s="539"/>
      <c r="K233" s="539"/>
      <c r="L233" s="539"/>
    </row>
    <row r="234" spans="1:12">
      <c r="A234" s="539"/>
      <c r="B234" s="539"/>
      <c r="C234" s="539"/>
      <c r="D234" s="539"/>
      <c r="E234" s="539"/>
      <c r="F234" s="539"/>
      <c r="G234" s="539"/>
      <c r="H234" s="539"/>
      <c r="I234" s="539"/>
      <c r="J234" s="539"/>
      <c r="K234" s="539"/>
      <c r="L234" s="539"/>
    </row>
    <row r="235" spans="1:12">
      <c r="A235" s="539"/>
      <c r="B235" s="539"/>
      <c r="C235" s="539"/>
      <c r="D235" s="539"/>
      <c r="E235" s="539"/>
      <c r="F235" s="539"/>
      <c r="G235" s="539"/>
      <c r="H235" s="539"/>
      <c r="I235" s="539"/>
      <c r="J235" s="539"/>
      <c r="K235" s="539"/>
      <c r="L235" s="539"/>
    </row>
    <row r="236" spans="1:12">
      <c r="A236" s="539"/>
      <c r="B236" s="539"/>
      <c r="C236" s="539"/>
      <c r="D236" s="539"/>
      <c r="E236" s="539"/>
      <c r="F236" s="539"/>
      <c r="G236" s="539"/>
      <c r="H236" s="539"/>
      <c r="I236" s="539"/>
      <c r="J236" s="539"/>
      <c r="K236" s="539"/>
      <c r="L236" s="539"/>
    </row>
    <row r="237" spans="1:12">
      <c r="A237" s="539"/>
      <c r="B237" s="539"/>
      <c r="C237" s="539"/>
      <c r="D237" s="539"/>
      <c r="E237" s="539"/>
      <c r="F237" s="539"/>
      <c r="G237" s="539"/>
      <c r="H237" s="539"/>
      <c r="I237" s="539"/>
      <c r="J237" s="539"/>
      <c r="K237" s="539"/>
      <c r="L237" s="539"/>
    </row>
    <row r="238" spans="1:12">
      <c r="A238" s="539"/>
      <c r="B238" s="539"/>
      <c r="C238" s="539"/>
      <c r="D238" s="539"/>
      <c r="E238" s="539"/>
      <c r="F238" s="539"/>
      <c r="G238" s="539"/>
      <c r="H238" s="539"/>
      <c r="I238" s="539"/>
      <c r="J238" s="539"/>
      <c r="K238" s="539"/>
      <c r="L238" s="539"/>
    </row>
    <row r="239" spans="1:12">
      <c r="A239" s="539"/>
      <c r="B239" s="539"/>
      <c r="C239" s="539"/>
      <c r="D239" s="539"/>
      <c r="E239" s="539"/>
      <c r="F239" s="539"/>
      <c r="G239" s="539"/>
      <c r="H239" s="539"/>
      <c r="I239" s="539"/>
      <c r="J239" s="539"/>
      <c r="K239" s="539"/>
      <c r="L239" s="539"/>
    </row>
    <row r="240" spans="1:12">
      <c r="A240" s="539"/>
      <c r="B240" s="539"/>
      <c r="C240" s="539"/>
      <c r="D240" s="539"/>
      <c r="E240" s="539"/>
      <c r="F240" s="539"/>
      <c r="G240" s="539"/>
      <c r="H240" s="539"/>
      <c r="I240" s="539"/>
      <c r="J240" s="539"/>
      <c r="K240" s="539"/>
      <c r="L240" s="539"/>
    </row>
    <row r="241" spans="1:12">
      <c r="A241" s="539"/>
      <c r="B241" s="539"/>
      <c r="C241" s="539"/>
      <c r="D241" s="539"/>
      <c r="E241" s="539"/>
      <c r="F241" s="539"/>
      <c r="G241" s="539"/>
      <c r="H241" s="539"/>
      <c r="I241" s="539"/>
      <c r="J241" s="539"/>
      <c r="K241" s="539"/>
      <c r="L241" s="539"/>
    </row>
    <row r="242" spans="1:12">
      <c r="A242" s="539"/>
      <c r="B242" s="539"/>
      <c r="C242" s="539"/>
      <c r="D242" s="539"/>
      <c r="E242" s="539"/>
      <c r="F242" s="539"/>
      <c r="G242" s="539"/>
      <c r="H242" s="539"/>
      <c r="I242" s="539"/>
      <c r="J242" s="539"/>
      <c r="K242" s="539"/>
      <c r="L242" s="539"/>
    </row>
    <row r="243" spans="1:12">
      <c r="A243" s="539"/>
      <c r="B243" s="539"/>
      <c r="C243" s="539"/>
      <c r="D243" s="539"/>
      <c r="E243" s="539"/>
      <c r="F243" s="539"/>
      <c r="G243" s="539"/>
      <c r="H243" s="539"/>
      <c r="I243" s="539"/>
      <c r="J243" s="539"/>
      <c r="K243" s="539"/>
      <c r="L243" s="539"/>
    </row>
    <row r="244" spans="1:12">
      <c r="A244" s="539"/>
      <c r="B244" s="539"/>
      <c r="C244" s="539"/>
      <c r="D244" s="539"/>
      <c r="E244" s="539"/>
      <c r="F244" s="539"/>
      <c r="G244" s="539"/>
      <c r="H244" s="539"/>
      <c r="I244" s="539"/>
      <c r="J244" s="539"/>
      <c r="K244" s="539"/>
      <c r="L244" s="539"/>
    </row>
    <row r="245" spans="1:12">
      <c r="A245" s="539"/>
      <c r="B245" s="539"/>
      <c r="C245" s="539"/>
      <c r="D245" s="539"/>
      <c r="E245" s="539"/>
      <c r="F245" s="539"/>
      <c r="G245" s="539"/>
      <c r="H245" s="539"/>
      <c r="I245" s="539"/>
      <c r="J245" s="539"/>
      <c r="K245" s="539"/>
      <c r="L245" s="539"/>
    </row>
    <row r="246" spans="1:12">
      <c r="A246" s="539"/>
      <c r="B246" s="539"/>
      <c r="C246" s="539"/>
      <c r="D246" s="539"/>
      <c r="E246" s="539"/>
      <c r="F246" s="539"/>
      <c r="G246" s="539"/>
      <c r="H246" s="539"/>
      <c r="I246" s="539"/>
      <c r="J246" s="539"/>
      <c r="K246" s="539"/>
      <c r="L246" s="539"/>
    </row>
    <row r="247" spans="1:12">
      <c r="A247" s="539"/>
      <c r="B247" s="539"/>
      <c r="C247" s="539"/>
      <c r="D247" s="539"/>
      <c r="E247" s="539"/>
      <c r="F247" s="539"/>
      <c r="G247" s="539"/>
      <c r="H247" s="539"/>
      <c r="I247" s="539"/>
      <c r="J247" s="539"/>
      <c r="K247" s="539"/>
      <c r="L247" s="539"/>
    </row>
    <row r="248" spans="1:12">
      <c r="A248" s="539"/>
      <c r="B248" s="539"/>
      <c r="C248" s="539"/>
      <c r="D248" s="539"/>
      <c r="E248" s="539"/>
      <c r="F248" s="539"/>
      <c r="G248" s="539"/>
      <c r="H248" s="539"/>
      <c r="I248" s="539"/>
      <c r="J248" s="539"/>
      <c r="K248" s="539"/>
      <c r="L248" s="539"/>
    </row>
    <row r="249" spans="1:12">
      <c r="A249" s="539"/>
      <c r="B249" s="539"/>
      <c r="C249" s="539"/>
      <c r="D249" s="539"/>
      <c r="E249" s="539"/>
      <c r="F249" s="539"/>
      <c r="G249" s="539"/>
      <c r="H249" s="539"/>
      <c r="I249" s="539"/>
      <c r="J249" s="539"/>
      <c r="K249" s="539"/>
      <c r="L249" s="539"/>
    </row>
    <row r="250" spans="1:12">
      <c r="A250" s="539"/>
      <c r="B250" s="539"/>
      <c r="C250" s="539"/>
      <c r="D250" s="539"/>
      <c r="E250" s="539"/>
      <c r="F250" s="539"/>
      <c r="G250" s="539"/>
      <c r="H250" s="539"/>
      <c r="I250" s="539"/>
      <c r="J250" s="539"/>
      <c r="K250" s="539"/>
      <c r="L250" s="539"/>
    </row>
    <row r="251" spans="1:12">
      <c r="A251" s="539"/>
      <c r="B251" s="539"/>
      <c r="C251" s="539"/>
      <c r="D251" s="539"/>
      <c r="E251" s="539"/>
      <c r="F251" s="539"/>
      <c r="G251" s="539"/>
      <c r="H251" s="539"/>
      <c r="I251" s="539"/>
      <c r="J251" s="539"/>
      <c r="K251" s="539"/>
      <c r="L251" s="539"/>
    </row>
    <row r="252" spans="1:12">
      <c r="A252" s="539"/>
      <c r="B252" s="539"/>
      <c r="C252" s="539"/>
      <c r="D252" s="539"/>
      <c r="E252" s="539"/>
      <c r="F252" s="539"/>
      <c r="G252" s="539"/>
      <c r="H252" s="539"/>
      <c r="I252" s="539"/>
      <c r="J252" s="539"/>
      <c r="K252" s="539"/>
      <c r="L252" s="539"/>
    </row>
    <row r="253" spans="1:12">
      <c r="A253" s="539"/>
      <c r="B253" s="539"/>
      <c r="C253" s="539"/>
      <c r="D253" s="539"/>
      <c r="E253" s="539"/>
      <c r="F253" s="539"/>
      <c r="G253" s="539"/>
      <c r="H253" s="539"/>
      <c r="I253" s="539"/>
      <c r="J253" s="539"/>
      <c r="K253" s="539"/>
      <c r="L253" s="539"/>
    </row>
    <row r="254" spans="1:12">
      <c r="A254" s="539"/>
      <c r="B254" s="539"/>
      <c r="C254" s="539"/>
      <c r="D254" s="539"/>
      <c r="E254" s="539"/>
      <c r="F254" s="539"/>
      <c r="G254" s="539"/>
      <c r="H254" s="539"/>
      <c r="I254" s="539"/>
      <c r="J254" s="539"/>
      <c r="K254" s="539"/>
      <c r="L254" s="539"/>
    </row>
    <row r="255" spans="1:12">
      <c r="A255" s="539"/>
      <c r="B255" s="539"/>
      <c r="C255" s="539"/>
      <c r="D255" s="539"/>
      <c r="E255" s="539"/>
      <c r="F255" s="539"/>
      <c r="G255" s="539"/>
      <c r="H255" s="539"/>
      <c r="I255" s="539"/>
      <c r="J255" s="539"/>
      <c r="K255" s="539"/>
      <c r="L255" s="539"/>
    </row>
    <row r="256" spans="1:12">
      <c r="A256" s="539"/>
      <c r="B256" s="539"/>
      <c r="C256" s="539"/>
      <c r="D256" s="539"/>
      <c r="E256" s="539"/>
      <c r="F256" s="539"/>
      <c r="G256" s="539"/>
      <c r="H256" s="539"/>
      <c r="I256" s="539"/>
      <c r="J256" s="539"/>
      <c r="K256" s="539"/>
      <c r="L256" s="539"/>
    </row>
    <row r="257" spans="1:12">
      <c r="A257" s="539"/>
      <c r="B257" s="539"/>
      <c r="C257" s="539"/>
      <c r="D257" s="539"/>
      <c r="E257" s="539"/>
      <c r="F257" s="539"/>
      <c r="G257" s="539"/>
      <c r="H257" s="539"/>
      <c r="I257" s="539"/>
      <c r="J257" s="539"/>
      <c r="K257" s="539"/>
      <c r="L257" s="539"/>
    </row>
    <row r="258" spans="1:12">
      <c r="A258" s="539"/>
      <c r="B258" s="539"/>
      <c r="C258" s="539"/>
      <c r="D258" s="539"/>
      <c r="E258" s="539"/>
      <c r="F258" s="539"/>
      <c r="G258" s="539"/>
      <c r="H258" s="539"/>
      <c r="I258" s="539"/>
      <c r="J258" s="539"/>
      <c r="K258" s="539"/>
      <c r="L258" s="539"/>
    </row>
    <row r="259" spans="1:12">
      <c r="A259" s="539"/>
      <c r="B259" s="539"/>
      <c r="C259" s="539"/>
      <c r="D259" s="539"/>
      <c r="E259" s="539"/>
      <c r="F259" s="539"/>
      <c r="G259" s="539"/>
      <c r="H259" s="539"/>
      <c r="I259" s="539"/>
      <c r="J259" s="539"/>
      <c r="K259" s="539"/>
      <c r="L259" s="539"/>
    </row>
    <row r="260" spans="1:12">
      <c r="A260" s="539"/>
      <c r="B260" s="539"/>
      <c r="C260" s="539"/>
      <c r="D260" s="539"/>
      <c r="E260" s="539"/>
      <c r="F260" s="539"/>
      <c r="G260" s="539"/>
      <c r="H260" s="539"/>
      <c r="I260" s="539"/>
      <c r="J260" s="539"/>
      <c r="K260" s="539"/>
      <c r="L260" s="539"/>
    </row>
    <row r="261" spans="1:12">
      <c r="A261" s="539"/>
      <c r="B261" s="539"/>
      <c r="C261" s="539"/>
      <c r="D261" s="539"/>
      <c r="E261" s="539"/>
      <c r="F261" s="539"/>
      <c r="G261" s="539"/>
      <c r="H261" s="539"/>
      <c r="I261" s="539"/>
      <c r="J261" s="539"/>
      <c r="K261" s="539"/>
      <c r="L261" s="539"/>
    </row>
    <row r="262" spans="1:12">
      <c r="A262" s="539"/>
      <c r="B262" s="539"/>
      <c r="C262" s="539"/>
      <c r="D262" s="539"/>
      <c r="E262" s="539"/>
      <c r="F262" s="539"/>
      <c r="G262" s="539"/>
      <c r="H262" s="539"/>
      <c r="I262" s="539"/>
      <c r="J262" s="539"/>
      <c r="K262" s="539"/>
      <c r="L262" s="539"/>
    </row>
    <row r="263" spans="1:12">
      <c r="A263" s="539"/>
      <c r="B263" s="539"/>
      <c r="C263" s="539"/>
      <c r="D263" s="539"/>
      <c r="E263" s="539"/>
      <c r="F263" s="539"/>
      <c r="G263" s="539"/>
      <c r="H263" s="539"/>
      <c r="I263" s="539"/>
      <c r="J263" s="539"/>
      <c r="K263" s="539"/>
      <c r="L263" s="539"/>
    </row>
    <row r="264" spans="1:12">
      <c r="A264" s="539"/>
      <c r="B264" s="539"/>
      <c r="C264" s="539"/>
      <c r="D264" s="539"/>
      <c r="E264" s="539"/>
      <c r="F264" s="539"/>
      <c r="G264" s="539"/>
      <c r="H264" s="539"/>
      <c r="I264" s="539"/>
      <c r="J264" s="539"/>
      <c r="K264" s="539"/>
      <c r="L264" s="539"/>
    </row>
    <row r="265" spans="1:12">
      <c r="A265" s="539"/>
      <c r="B265" s="539"/>
      <c r="C265" s="539"/>
      <c r="D265" s="539"/>
      <c r="E265" s="539"/>
      <c r="F265" s="539"/>
      <c r="G265" s="539"/>
      <c r="H265" s="539"/>
      <c r="I265" s="539"/>
      <c r="J265" s="539"/>
      <c r="K265" s="539"/>
      <c r="L265" s="539"/>
    </row>
    <row r="266" spans="1:12">
      <c r="A266" s="539"/>
      <c r="B266" s="539"/>
      <c r="C266" s="539"/>
      <c r="D266" s="539"/>
      <c r="E266" s="539"/>
      <c r="F266" s="539"/>
      <c r="G266" s="539"/>
      <c r="H266" s="539"/>
      <c r="I266" s="539"/>
      <c r="J266" s="539"/>
      <c r="K266" s="539"/>
      <c r="L266" s="539"/>
    </row>
    <row r="267" spans="1:12">
      <c r="A267" s="539"/>
      <c r="B267" s="539"/>
      <c r="C267" s="539"/>
      <c r="D267" s="539"/>
      <c r="E267" s="539"/>
      <c r="F267" s="539"/>
      <c r="G267" s="539"/>
      <c r="H267" s="539"/>
      <c r="I267" s="539"/>
      <c r="J267" s="539"/>
      <c r="K267" s="539"/>
      <c r="L267" s="539"/>
    </row>
    <row r="268" spans="1:12">
      <c r="A268" s="539"/>
      <c r="B268" s="539"/>
      <c r="C268" s="539"/>
      <c r="D268" s="539"/>
      <c r="E268" s="539"/>
      <c r="F268" s="539"/>
      <c r="G268" s="539"/>
      <c r="H268" s="539"/>
      <c r="I268" s="539"/>
      <c r="J268" s="539"/>
      <c r="K268" s="539"/>
      <c r="L268" s="539"/>
    </row>
    <row r="269" spans="1:12">
      <c r="A269" s="539"/>
      <c r="B269" s="539"/>
      <c r="C269" s="539"/>
      <c r="D269" s="539"/>
      <c r="E269" s="539"/>
      <c r="F269" s="539"/>
      <c r="G269" s="539"/>
      <c r="H269" s="539"/>
      <c r="I269" s="539"/>
      <c r="J269" s="539"/>
      <c r="K269" s="539"/>
      <c r="L269" s="539"/>
    </row>
    <row r="270" spans="1:12">
      <c r="A270" s="539"/>
      <c r="B270" s="539"/>
      <c r="C270" s="539"/>
      <c r="D270" s="539"/>
      <c r="E270" s="539"/>
      <c r="F270" s="539"/>
      <c r="G270" s="539"/>
      <c r="H270" s="539"/>
      <c r="I270" s="539"/>
      <c r="J270" s="539"/>
      <c r="K270" s="539"/>
      <c r="L270" s="539"/>
    </row>
    <row r="271" spans="1:12">
      <c r="A271" s="539"/>
      <c r="B271" s="539"/>
      <c r="C271" s="539"/>
      <c r="D271" s="539"/>
      <c r="E271" s="539"/>
      <c r="F271" s="539"/>
      <c r="G271" s="539"/>
      <c r="H271" s="539"/>
      <c r="I271" s="539"/>
      <c r="J271" s="539"/>
      <c r="K271" s="539"/>
      <c r="L271" s="539"/>
    </row>
    <row r="272" spans="1:12">
      <c r="A272" s="539"/>
      <c r="B272" s="539"/>
      <c r="C272" s="539"/>
      <c r="D272" s="539"/>
      <c r="E272" s="539"/>
      <c r="F272" s="539"/>
      <c r="G272" s="539"/>
      <c r="H272" s="539"/>
      <c r="I272" s="539"/>
      <c r="J272" s="539"/>
      <c r="K272" s="539"/>
      <c r="L272" s="539"/>
    </row>
    <row r="273" spans="1:12">
      <c r="A273" s="539"/>
      <c r="B273" s="539"/>
      <c r="C273" s="539"/>
      <c r="D273" s="539"/>
      <c r="E273" s="539"/>
      <c r="F273" s="539"/>
      <c r="G273" s="539"/>
      <c r="H273" s="539"/>
      <c r="I273" s="539"/>
      <c r="J273" s="539"/>
      <c r="K273" s="539"/>
      <c r="L273" s="539"/>
    </row>
    <row r="274" spans="1:12">
      <c r="A274" s="539"/>
      <c r="B274" s="539"/>
      <c r="C274" s="539"/>
      <c r="D274" s="539"/>
      <c r="E274" s="539"/>
      <c r="F274" s="539"/>
      <c r="G274" s="539"/>
      <c r="H274" s="539"/>
      <c r="I274" s="539"/>
      <c r="J274" s="539"/>
      <c r="K274" s="539"/>
      <c r="L274" s="539"/>
    </row>
    <row r="275" spans="1:12">
      <c r="A275" s="539"/>
      <c r="B275" s="539"/>
      <c r="C275" s="539"/>
      <c r="D275" s="539"/>
      <c r="E275" s="539"/>
      <c r="F275" s="539"/>
      <c r="G275" s="539"/>
      <c r="H275" s="539"/>
      <c r="I275" s="539"/>
      <c r="J275" s="539"/>
      <c r="K275" s="539"/>
      <c r="L275" s="539"/>
    </row>
    <row r="276" spans="1:12">
      <c r="A276" s="539"/>
      <c r="B276" s="539"/>
      <c r="C276" s="539"/>
      <c r="D276" s="539"/>
      <c r="E276" s="539"/>
      <c r="F276" s="539"/>
      <c r="G276" s="539"/>
      <c r="H276" s="539"/>
      <c r="I276" s="539"/>
      <c r="J276" s="539"/>
      <c r="K276" s="539"/>
      <c r="L276" s="539"/>
    </row>
    <row r="277" spans="1:12">
      <c r="A277" s="539"/>
      <c r="B277" s="539"/>
      <c r="C277" s="539"/>
      <c r="D277" s="539"/>
      <c r="E277" s="539"/>
      <c r="F277" s="539"/>
      <c r="G277" s="539"/>
      <c r="H277" s="539"/>
      <c r="I277" s="539"/>
      <c r="J277" s="539"/>
      <c r="K277" s="539"/>
      <c r="L277" s="539"/>
    </row>
    <row r="278" spans="1:12">
      <c r="A278" s="539"/>
      <c r="B278" s="539"/>
      <c r="C278" s="539"/>
      <c r="D278" s="539"/>
      <c r="E278" s="539"/>
      <c r="F278" s="539"/>
      <c r="G278" s="539"/>
      <c r="H278" s="539"/>
      <c r="I278" s="539"/>
      <c r="J278" s="539"/>
      <c r="K278" s="539"/>
      <c r="L278" s="539"/>
    </row>
    <row r="279" spans="1:12">
      <c r="A279" s="539"/>
      <c r="B279" s="539"/>
      <c r="C279" s="539"/>
      <c r="D279" s="539"/>
      <c r="E279" s="539"/>
      <c r="F279" s="539"/>
      <c r="G279" s="539"/>
      <c r="H279" s="539"/>
      <c r="I279" s="539"/>
      <c r="J279" s="539"/>
      <c r="K279" s="539"/>
      <c r="L279" s="539"/>
    </row>
    <row r="280" spans="1:12">
      <c r="A280" s="539"/>
      <c r="B280" s="539"/>
      <c r="C280" s="539"/>
      <c r="D280" s="539"/>
      <c r="E280" s="539"/>
      <c r="F280" s="539"/>
      <c r="G280" s="539"/>
      <c r="H280" s="539"/>
      <c r="I280" s="539"/>
      <c r="J280" s="539"/>
      <c r="K280" s="539"/>
      <c r="L280" s="539"/>
    </row>
    <row r="281" spans="1:12">
      <c r="A281" s="539"/>
      <c r="B281" s="539"/>
      <c r="C281" s="539"/>
      <c r="D281" s="539"/>
      <c r="E281" s="539"/>
      <c r="F281" s="539"/>
      <c r="G281" s="539"/>
      <c r="H281" s="539"/>
      <c r="I281" s="539"/>
      <c r="J281" s="539"/>
      <c r="K281" s="539"/>
      <c r="L281" s="539"/>
    </row>
    <row r="282" spans="1:12">
      <c r="A282" s="539"/>
      <c r="B282" s="539"/>
      <c r="C282" s="539"/>
      <c r="D282" s="539"/>
      <c r="E282" s="539"/>
      <c r="F282" s="539"/>
      <c r="G282" s="539"/>
      <c r="H282" s="539"/>
      <c r="I282" s="539"/>
      <c r="J282" s="539"/>
      <c r="K282" s="539"/>
      <c r="L282" s="539"/>
    </row>
    <row r="283" spans="1:12">
      <c r="A283" s="539"/>
      <c r="B283" s="539"/>
      <c r="C283" s="539"/>
      <c r="D283" s="539"/>
      <c r="E283" s="539"/>
      <c r="F283" s="539"/>
      <c r="G283" s="539"/>
      <c r="H283" s="539"/>
      <c r="I283" s="539"/>
      <c r="J283" s="539"/>
      <c r="K283" s="539"/>
      <c r="L283" s="539"/>
    </row>
    <row r="284" spans="1:12">
      <c r="A284" s="539"/>
      <c r="B284" s="539"/>
      <c r="C284" s="539"/>
      <c r="D284" s="539"/>
      <c r="E284" s="539"/>
      <c r="F284" s="539"/>
      <c r="G284" s="539"/>
      <c r="H284" s="539"/>
      <c r="I284" s="539"/>
      <c r="J284" s="539"/>
      <c r="K284" s="539"/>
      <c r="L284" s="539"/>
    </row>
    <row r="285" spans="1:12">
      <c r="A285" s="539"/>
      <c r="B285" s="539"/>
      <c r="C285" s="539"/>
      <c r="D285" s="539"/>
      <c r="E285" s="539"/>
      <c r="F285" s="539"/>
      <c r="G285" s="539"/>
      <c r="H285" s="539"/>
      <c r="I285" s="539"/>
      <c r="J285" s="539"/>
      <c r="K285" s="539"/>
      <c r="L285" s="539"/>
    </row>
    <row r="286" spans="1:12">
      <c r="A286" s="539"/>
      <c r="B286" s="539"/>
      <c r="C286" s="539"/>
      <c r="D286" s="539"/>
      <c r="E286" s="539"/>
      <c r="F286" s="539"/>
      <c r="G286" s="539"/>
      <c r="H286" s="539"/>
      <c r="I286" s="539"/>
      <c r="J286" s="539"/>
      <c r="K286" s="539"/>
      <c r="L286" s="539"/>
    </row>
    <row r="287" spans="1:12">
      <c r="A287" s="539"/>
      <c r="B287" s="539"/>
      <c r="C287" s="539"/>
      <c r="D287" s="539"/>
      <c r="E287" s="539"/>
      <c r="F287" s="539"/>
      <c r="G287" s="539"/>
      <c r="H287" s="539"/>
      <c r="I287" s="539"/>
      <c r="J287" s="539"/>
      <c r="K287" s="539"/>
      <c r="L287" s="539"/>
    </row>
    <row r="288" spans="1:12">
      <c r="A288" s="539"/>
      <c r="B288" s="539"/>
      <c r="C288" s="539"/>
      <c r="D288" s="539"/>
      <c r="E288" s="539"/>
      <c r="F288" s="539"/>
      <c r="G288" s="539"/>
      <c r="H288" s="539"/>
      <c r="I288" s="539"/>
      <c r="J288" s="539"/>
      <c r="K288" s="539"/>
      <c r="L288" s="539"/>
    </row>
    <row r="289" spans="1:12">
      <c r="A289" s="539"/>
      <c r="B289" s="539"/>
      <c r="C289" s="539"/>
      <c r="D289" s="539"/>
      <c r="E289" s="539"/>
      <c r="F289" s="539"/>
      <c r="G289" s="539"/>
      <c r="H289" s="539"/>
      <c r="I289" s="539"/>
      <c r="J289" s="539"/>
      <c r="K289" s="539"/>
      <c r="L289" s="539"/>
    </row>
    <row r="290" spans="1:12">
      <c r="A290" s="539"/>
      <c r="B290" s="539"/>
      <c r="C290" s="539"/>
      <c r="D290" s="539"/>
      <c r="E290" s="539"/>
      <c r="F290" s="539"/>
      <c r="G290" s="539"/>
      <c r="H290" s="539"/>
      <c r="I290" s="539"/>
      <c r="J290" s="539"/>
      <c r="K290" s="539"/>
      <c r="L290" s="539"/>
    </row>
    <row r="291" spans="1:12">
      <c r="A291" s="539"/>
      <c r="B291" s="539"/>
      <c r="C291" s="539"/>
      <c r="D291" s="539"/>
      <c r="E291" s="539"/>
      <c r="F291" s="539"/>
      <c r="G291" s="539"/>
      <c r="H291" s="539"/>
      <c r="I291" s="539"/>
      <c r="J291" s="539"/>
      <c r="K291" s="539"/>
      <c r="L291" s="539"/>
    </row>
    <row r="292" spans="1:12">
      <c r="A292" s="539"/>
      <c r="B292" s="539"/>
      <c r="C292" s="539"/>
      <c r="D292" s="539"/>
      <c r="E292" s="539"/>
      <c r="F292" s="539"/>
      <c r="G292" s="539"/>
      <c r="H292" s="539"/>
      <c r="I292" s="539"/>
      <c r="J292" s="539"/>
      <c r="K292" s="539"/>
      <c r="L292" s="539"/>
    </row>
    <row r="293" spans="1:12">
      <c r="A293" s="539"/>
      <c r="B293" s="539"/>
      <c r="C293" s="539"/>
      <c r="D293" s="539"/>
      <c r="E293" s="539"/>
      <c r="F293" s="539"/>
      <c r="G293" s="539"/>
      <c r="H293" s="539"/>
      <c r="I293" s="539"/>
      <c r="J293" s="539"/>
      <c r="K293" s="539"/>
      <c r="L293" s="539"/>
    </row>
    <row r="294" spans="1:12">
      <c r="A294" s="539"/>
      <c r="B294" s="539"/>
      <c r="C294" s="539"/>
      <c r="D294" s="539"/>
      <c r="E294" s="539"/>
      <c r="F294" s="539"/>
      <c r="G294" s="539"/>
      <c r="H294" s="539"/>
      <c r="I294" s="539"/>
      <c r="J294" s="539"/>
      <c r="K294" s="539"/>
      <c r="L294" s="539"/>
    </row>
    <row r="295" spans="1:12">
      <c r="A295" s="539"/>
      <c r="B295" s="539"/>
      <c r="C295" s="539"/>
      <c r="D295" s="539"/>
      <c r="E295" s="539"/>
      <c r="F295" s="539"/>
      <c r="G295" s="539"/>
      <c r="H295" s="539"/>
      <c r="I295" s="539"/>
      <c r="J295" s="539"/>
      <c r="K295" s="539"/>
      <c r="L295" s="539"/>
    </row>
    <row r="296" spans="1:12">
      <c r="A296" s="539"/>
      <c r="B296" s="539"/>
      <c r="C296" s="539"/>
      <c r="D296" s="539"/>
      <c r="E296" s="539"/>
      <c r="F296" s="539"/>
      <c r="G296" s="539"/>
      <c r="H296" s="539"/>
      <c r="I296" s="539"/>
      <c r="J296" s="539"/>
      <c r="K296" s="539"/>
      <c r="L296" s="539"/>
    </row>
    <row r="297" spans="1:12">
      <c r="A297" s="539"/>
      <c r="B297" s="539"/>
      <c r="C297" s="539"/>
      <c r="D297" s="539"/>
      <c r="E297" s="539"/>
      <c r="F297" s="539"/>
      <c r="G297" s="539"/>
      <c r="H297" s="539"/>
      <c r="I297" s="539"/>
      <c r="J297" s="539"/>
      <c r="K297" s="539"/>
      <c r="L297" s="539"/>
    </row>
    <row r="298" spans="1:12">
      <c r="A298" s="539"/>
      <c r="B298" s="539"/>
      <c r="C298" s="539"/>
      <c r="D298" s="539"/>
      <c r="E298" s="539"/>
      <c r="F298" s="539"/>
      <c r="G298" s="539"/>
      <c r="H298" s="539"/>
      <c r="I298" s="539"/>
      <c r="J298" s="539"/>
      <c r="K298" s="539"/>
      <c r="L298" s="539"/>
    </row>
    <row r="299" spans="1:12">
      <c r="A299" s="539"/>
      <c r="B299" s="539"/>
      <c r="C299" s="539"/>
      <c r="D299" s="539"/>
      <c r="E299" s="539"/>
      <c r="F299" s="539"/>
      <c r="G299" s="539"/>
      <c r="H299" s="539"/>
      <c r="I299" s="539"/>
      <c r="J299" s="539"/>
      <c r="K299" s="539"/>
      <c r="L299" s="539"/>
    </row>
    <row r="300" spans="1:12">
      <c r="A300" s="539"/>
      <c r="B300" s="539"/>
      <c r="C300" s="539"/>
      <c r="D300" s="539"/>
      <c r="E300" s="539"/>
      <c r="F300" s="539"/>
      <c r="G300" s="539"/>
      <c r="H300" s="539"/>
      <c r="I300" s="539"/>
      <c r="J300" s="539"/>
      <c r="K300" s="539"/>
      <c r="L300" s="539"/>
    </row>
    <row r="301" spans="1:12">
      <c r="A301" s="539"/>
      <c r="B301" s="539"/>
      <c r="C301" s="539"/>
      <c r="D301" s="539"/>
      <c r="E301" s="539"/>
      <c r="F301" s="539"/>
      <c r="G301" s="539"/>
      <c r="H301" s="539"/>
      <c r="I301" s="539"/>
      <c r="J301" s="539"/>
      <c r="K301" s="539"/>
      <c r="L301" s="539"/>
    </row>
    <row r="302" spans="1:12">
      <c r="A302" s="539"/>
      <c r="B302" s="539"/>
      <c r="C302" s="539"/>
      <c r="D302" s="539"/>
      <c r="E302" s="539"/>
      <c r="F302" s="539"/>
      <c r="G302" s="539"/>
      <c r="H302" s="539"/>
      <c r="I302" s="539"/>
      <c r="J302" s="539"/>
      <c r="K302" s="539"/>
      <c r="L302" s="539"/>
    </row>
    <row r="303" spans="1:12">
      <c r="A303" s="539"/>
      <c r="B303" s="539"/>
      <c r="C303" s="539"/>
      <c r="D303" s="539"/>
      <c r="E303" s="539"/>
      <c r="F303" s="539"/>
      <c r="G303" s="539"/>
      <c r="H303" s="539"/>
      <c r="I303" s="539"/>
      <c r="J303" s="539"/>
      <c r="K303" s="539"/>
      <c r="L303" s="539"/>
    </row>
    <row r="304" spans="1:12">
      <c r="A304" s="539"/>
      <c r="B304" s="539"/>
      <c r="C304" s="539"/>
      <c r="D304" s="539"/>
      <c r="E304" s="539"/>
      <c r="F304" s="539"/>
      <c r="G304" s="539"/>
      <c r="H304" s="539"/>
      <c r="I304" s="539"/>
      <c r="J304" s="539"/>
      <c r="K304" s="539"/>
      <c r="L304" s="539"/>
    </row>
    <row r="305" spans="1:12">
      <c r="A305" s="539"/>
      <c r="B305" s="539"/>
      <c r="C305" s="539"/>
      <c r="D305" s="539"/>
      <c r="E305" s="539"/>
      <c r="F305" s="539"/>
      <c r="G305" s="539"/>
      <c r="H305" s="539"/>
      <c r="I305" s="539"/>
      <c r="J305" s="539"/>
      <c r="K305" s="539"/>
      <c r="L305" s="539"/>
    </row>
    <row r="306" spans="1:12">
      <c r="A306" s="539"/>
      <c r="B306" s="539"/>
      <c r="C306" s="539"/>
      <c r="D306" s="539"/>
      <c r="E306" s="539"/>
      <c r="F306" s="539"/>
      <c r="G306" s="539"/>
      <c r="H306" s="539"/>
      <c r="I306" s="539"/>
      <c r="J306" s="539"/>
      <c r="K306" s="539"/>
      <c r="L306" s="539"/>
    </row>
    <row r="307" spans="1:12">
      <c r="A307" s="539"/>
      <c r="B307" s="539"/>
      <c r="C307" s="539"/>
      <c r="D307" s="539"/>
      <c r="E307" s="539"/>
      <c r="F307" s="539"/>
      <c r="G307" s="539"/>
      <c r="H307" s="539"/>
      <c r="I307" s="539"/>
      <c r="J307" s="539"/>
      <c r="K307" s="539"/>
      <c r="L307" s="539"/>
    </row>
    <row r="308" spans="1:12">
      <c r="A308" s="539"/>
      <c r="B308" s="539"/>
      <c r="C308" s="539"/>
      <c r="D308" s="539"/>
      <c r="E308" s="539"/>
      <c r="F308" s="539"/>
      <c r="G308" s="539"/>
      <c r="H308" s="539"/>
      <c r="I308" s="539"/>
      <c r="J308" s="539"/>
      <c r="K308" s="539"/>
      <c r="L308" s="539"/>
    </row>
    <row r="309" spans="1:12">
      <c r="A309" s="539"/>
      <c r="B309" s="539"/>
      <c r="C309" s="539"/>
      <c r="D309" s="539"/>
      <c r="E309" s="539"/>
      <c r="F309" s="539"/>
      <c r="G309" s="539"/>
      <c r="H309" s="539"/>
      <c r="I309" s="539"/>
      <c r="J309" s="539"/>
      <c r="K309" s="539"/>
      <c r="L309" s="539"/>
    </row>
    <row r="310" spans="1:12">
      <c r="A310" s="539"/>
      <c r="B310" s="539"/>
      <c r="C310" s="539"/>
      <c r="D310" s="539"/>
      <c r="E310" s="539"/>
      <c r="F310" s="539"/>
      <c r="G310" s="539"/>
      <c r="H310" s="539"/>
      <c r="I310" s="539"/>
      <c r="J310" s="539"/>
      <c r="K310" s="539"/>
      <c r="L310" s="539"/>
    </row>
    <row r="311" spans="1:12">
      <c r="A311" s="539"/>
      <c r="B311" s="539"/>
      <c r="C311" s="539"/>
      <c r="D311" s="539"/>
      <c r="E311" s="539"/>
      <c r="F311" s="539"/>
      <c r="G311" s="539"/>
      <c r="H311" s="539"/>
      <c r="I311" s="539"/>
      <c r="J311" s="539"/>
      <c r="K311" s="539"/>
      <c r="L311" s="539"/>
    </row>
    <row r="312" spans="1:12">
      <c r="A312" s="539"/>
      <c r="B312" s="539"/>
      <c r="C312" s="539"/>
      <c r="D312" s="539"/>
      <c r="E312" s="539"/>
      <c r="F312" s="539"/>
      <c r="G312" s="539"/>
      <c r="H312" s="539"/>
      <c r="I312" s="539"/>
      <c r="J312" s="539"/>
      <c r="K312" s="539"/>
      <c r="L312" s="539"/>
    </row>
    <row r="313" spans="1:12">
      <c r="A313" s="539"/>
      <c r="B313" s="539"/>
      <c r="C313" s="539"/>
      <c r="D313" s="539"/>
      <c r="E313" s="539"/>
      <c r="F313" s="539"/>
      <c r="G313" s="539"/>
      <c r="H313" s="539"/>
      <c r="I313" s="539"/>
      <c r="J313" s="539"/>
      <c r="K313" s="539"/>
      <c r="L313" s="539"/>
    </row>
    <row r="314" spans="1:12">
      <c r="A314" s="539"/>
      <c r="B314" s="539"/>
      <c r="C314" s="539"/>
      <c r="D314" s="539"/>
      <c r="E314" s="539"/>
      <c r="F314" s="539"/>
      <c r="G314" s="539"/>
      <c r="H314" s="539"/>
      <c r="I314" s="539"/>
      <c r="J314" s="539"/>
      <c r="K314" s="539"/>
      <c r="L314" s="539"/>
    </row>
    <row r="315" spans="1:12">
      <c r="A315" s="539"/>
      <c r="B315" s="539"/>
      <c r="C315" s="539"/>
      <c r="D315" s="539"/>
      <c r="E315" s="539"/>
      <c r="F315" s="539"/>
      <c r="G315" s="539"/>
      <c r="H315" s="539"/>
      <c r="I315" s="539"/>
      <c r="J315" s="539"/>
      <c r="K315" s="539"/>
      <c r="L315" s="539"/>
    </row>
    <row r="316" spans="1:12">
      <c r="A316" s="539"/>
      <c r="B316" s="539"/>
      <c r="C316" s="539"/>
      <c r="D316" s="539"/>
      <c r="E316" s="539"/>
      <c r="F316" s="539"/>
      <c r="G316" s="539"/>
      <c r="H316" s="539"/>
      <c r="I316" s="539"/>
      <c r="J316" s="539"/>
      <c r="K316" s="539"/>
      <c r="L316" s="539"/>
    </row>
    <row r="317" spans="1:12">
      <c r="A317" s="539"/>
      <c r="B317" s="539"/>
      <c r="C317" s="539"/>
      <c r="D317" s="539"/>
      <c r="E317" s="539"/>
      <c r="F317" s="539"/>
      <c r="G317" s="539"/>
      <c r="H317" s="539"/>
      <c r="I317" s="539"/>
      <c r="J317" s="539"/>
      <c r="K317" s="539"/>
      <c r="L317" s="539"/>
    </row>
    <row r="318" spans="1:12">
      <c r="A318" s="539"/>
      <c r="B318" s="539"/>
      <c r="C318" s="539"/>
      <c r="D318" s="539"/>
      <c r="E318" s="539"/>
      <c r="F318" s="539"/>
      <c r="G318" s="539"/>
      <c r="H318" s="539"/>
      <c r="I318" s="539"/>
      <c r="J318" s="539"/>
      <c r="K318" s="539"/>
      <c r="L318" s="539"/>
    </row>
    <row r="319" spans="1:12">
      <c r="A319" s="539"/>
      <c r="B319" s="539"/>
      <c r="C319" s="539"/>
      <c r="D319" s="539"/>
      <c r="E319" s="539"/>
      <c r="F319" s="539"/>
      <c r="G319" s="539"/>
      <c r="H319" s="539"/>
      <c r="I319" s="539"/>
      <c r="J319" s="539"/>
      <c r="K319" s="539"/>
      <c r="L319" s="539"/>
    </row>
    <row r="320" spans="1:12">
      <c r="A320" s="539"/>
      <c r="B320" s="539"/>
      <c r="C320" s="539"/>
      <c r="D320" s="539"/>
      <c r="E320" s="539"/>
      <c r="F320" s="539"/>
      <c r="G320" s="539"/>
      <c r="H320" s="539"/>
      <c r="I320" s="539"/>
      <c r="J320" s="539"/>
      <c r="K320" s="539"/>
      <c r="L320" s="539"/>
    </row>
    <row r="321" spans="1:12">
      <c r="A321" s="539"/>
      <c r="B321" s="539"/>
      <c r="C321" s="539"/>
      <c r="D321" s="539"/>
      <c r="E321" s="539"/>
      <c r="F321" s="539"/>
      <c r="G321" s="539"/>
      <c r="H321" s="539"/>
      <c r="I321" s="539"/>
      <c r="J321" s="539"/>
      <c r="K321" s="539"/>
      <c r="L321" s="539"/>
    </row>
    <row r="322" spans="1:12">
      <c r="A322" s="539"/>
      <c r="B322" s="539"/>
      <c r="C322" s="539"/>
      <c r="D322" s="539"/>
      <c r="E322" s="539"/>
      <c r="F322" s="539"/>
      <c r="G322" s="539"/>
      <c r="H322" s="539"/>
      <c r="I322" s="539"/>
      <c r="J322" s="539"/>
      <c r="K322" s="539"/>
      <c r="L322" s="539"/>
    </row>
    <row r="323" spans="1:12">
      <c r="A323" s="539"/>
      <c r="B323" s="539"/>
      <c r="C323" s="539"/>
      <c r="D323" s="539"/>
      <c r="E323" s="539"/>
      <c r="F323" s="539"/>
      <c r="G323" s="539"/>
      <c r="H323" s="539"/>
      <c r="I323" s="539"/>
      <c r="J323" s="539"/>
      <c r="K323" s="539"/>
      <c r="L323" s="539"/>
    </row>
    <row r="324" spans="1:12">
      <c r="A324" s="539"/>
      <c r="B324" s="539"/>
      <c r="C324" s="539"/>
      <c r="D324" s="539"/>
      <c r="E324" s="539"/>
      <c r="F324" s="539"/>
      <c r="G324" s="539"/>
      <c r="H324" s="539"/>
      <c r="I324" s="539"/>
      <c r="J324" s="539"/>
      <c r="K324" s="539"/>
      <c r="L324" s="539"/>
    </row>
    <row r="325" spans="1:12">
      <c r="A325" s="539"/>
      <c r="B325" s="539"/>
      <c r="C325" s="539"/>
      <c r="D325" s="539"/>
      <c r="E325" s="539"/>
      <c r="F325" s="539"/>
      <c r="G325" s="539"/>
      <c r="H325" s="539"/>
      <c r="I325" s="539"/>
      <c r="J325" s="539"/>
      <c r="K325" s="539"/>
      <c r="L325" s="539"/>
    </row>
    <row r="326" spans="1:12">
      <c r="A326" s="539"/>
      <c r="B326" s="539"/>
      <c r="C326" s="539"/>
      <c r="D326" s="539"/>
      <c r="E326" s="539"/>
      <c r="F326" s="539"/>
      <c r="G326" s="539"/>
      <c r="H326" s="539"/>
      <c r="I326" s="539"/>
      <c r="J326" s="539"/>
      <c r="K326" s="539"/>
      <c r="L326" s="539"/>
    </row>
    <row r="327" spans="1:12">
      <c r="A327" s="539"/>
      <c r="B327" s="539"/>
      <c r="C327" s="539"/>
      <c r="D327" s="539"/>
      <c r="E327" s="539"/>
      <c r="F327" s="539"/>
      <c r="G327" s="539"/>
      <c r="H327" s="539"/>
      <c r="I327" s="539"/>
      <c r="J327" s="539"/>
      <c r="K327" s="539"/>
      <c r="L327" s="539"/>
    </row>
    <row r="328" spans="1:12">
      <c r="A328" s="539"/>
      <c r="B328" s="539"/>
      <c r="C328" s="539"/>
      <c r="D328" s="539"/>
      <c r="E328" s="539"/>
      <c r="F328" s="539"/>
      <c r="G328" s="539"/>
      <c r="H328" s="539"/>
      <c r="I328" s="539"/>
      <c r="J328" s="539"/>
      <c r="K328" s="539"/>
      <c r="L328" s="539"/>
    </row>
    <row r="329" spans="1:12">
      <c r="A329" s="539"/>
      <c r="B329" s="539"/>
      <c r="C329" s="539"/>
      <c r="D329" s="539"/>
      <c r="E329" s="539"/>
      <c r="F329" s="539"/>
      <c r="G329" s="539"/>
      <c r="H329" s="539"/>
      <c r="I329" s="539"/>
      <c r="J329" s="539"/>
      <c r="K329" s="539"/>
      <c r="L329" s="539"/>
    </row>
    <row r="330" spans="1:12">
      <c r="A330" s="539"/>
      <c r="B330" s="539"/>
      <c r="C330" s="539"/>
      <c r="D330" s="539"/>
      <c r="E330" s="539"/>
      <c r="F330" s="539"/>
      <c r="G330" s="539"/>
      <c r="H330" s="539"/>
      <c r="I330" s="539"/>
      <c r="J330" s="539"/>
      <c r="K330" s="539"/>
      <c r="L330" s="539"/>
    </row>
    <row r="331" spans="1:12">
      <c r="A331" s="539"/>
      <c r="B331" s="539"/>
      <c r="C331" s="539"/>
      <c r="D331" s="539"/>
      <c r="E331" s="539"/>
      <c r="F331" s="539"/>
      <c r="G331" s="539"/>
      <c r="H331" s="539"/>
      <c r="I331" s="539"/>
      <c r="J331" s="539"/>
      <c r="K331" s="539"/>
      <c r="L331" s="539"/>
    </row>
    <row r="332" spans="1:12">
      <c r="A332" s="539"/>
      <c r="B332" s="539"/>
      <c r="C332" s="539"/>
      <c r="D332" s="539"/>
      <c r="E332" s="539"/>
      <c r="F332" s="539"/>
      <c r="G332" s="539"/>
      <c r="H332" s="539"/>
      <c r="I332" s="539"/>
      <c r="J332" s="539"/>
      <c r="K332" s="539"/>
      <c r="L332" s="539"/>
    </row>
    <row r="333" spans="1:12">
      <c r="A333" s="539"/>
      <c r="B333" s="539"/>
      <c r="C333" s="539"/>
      <c r="D333" s="539"/>
      <c r="E333" s="539"/>
      <c r="F333" s="539"/>
      <c r="G333" s="539"/>
      <c r="H333" s="539"/>
      <c r="I333" s="539"/>
      <c r="J333" s="539"/>
      <c r="K333" s="539"/>
      <c r="L333" s="539"/>
    </row>
    <row r="334" spans="1:12">
      <c r="A334" s="539"/>
      <c r="B334" s="539"/>
      <c r="C334" s="539"/>
      <c r="D334" s="539"/>
      <c r="E334" s="539"/>
      <c r="F334" s="539"/>
      <c r="G334" s="539"/>
      <c r="H334" s="539"/>
      <c r="I334" s="539"/>
      <c r="J334" s="539"/>
      <c r="K334" s="539"/>
      <c r="L334" s="539"/>
    </row>
    <row r="335" spans="1:12">
      <c r="A335" s="539"/>
      <c r="B335" s="539"/>
      <c r="C335" s="539"/>
      <c r="D335" s="539"/>
      <c r="E335" s="539"/>
      <c r="F335" s="539"/>
      <c r="G335" s="539"/>
      <c r="H335" s="539"/>
      <c r="I335" s="539"/>
      <c r="J335" s="539"/>
      <c r="K335" s="539"/>
      <c r="L335" s="539"/>
    </row>
    <row r="336" spans="1:12">
      <c r="A336" s="539"/>
      <c r="B336" s="539"/>
      <c r="C336" s="539"/>
      <c r="D336" s="539"/>
      <c r="E336" s="539"/>
      <c r="F336" s="539"/>
      <c r="G336" s="539"/>
      <c r="H336" s="539"/>
      <c r="I336" s="539"/>
      <c r="J336" s="539"/>
      <c r="K336" s="539"/>
      <c r="L336" s="539"/>
    </row>
    <row r="337" spans="1:12">
      <c r="A337" s="539"/>
      <c r="B337" s="539"/>
      <c r="C337" s="539"/>
      <c r="D337" s="539"/>
      <c r="E337" s="539"/>
      <c r="F337" s="539"/>
      <c r="G337" s="539"/>
      <c r="H337" s="539"/>
      <c r="I337" s="539"/>
      <c r="J337" s="539"/>
      <c r="K337" s="539"/>
      <c r="L337" s="539"/>
    </row>
    <row r="338" spans="1:12">
      <c r="A338" s="539"/>
      <c r="B338" s="539"/>
      <c r="C338" s="539"/>
      <c r="D338" s="539"/>
      <c r="E338" s="539"/>
      <c r="F338" s="539"/>
      <c r="G338" s="539"/>
      <c r="H338" s="539"/>
      <c r="I338" s="539"/>
      <c r="J338" s="539"/>
      <c r="K338" s="539"/>
      <c r="L338" s="539"/>
    </row>
    <row r="339" spans="1:12">
      <c r="A339" s="539"/>
      <c r="B339" s="539"/>
      <c r="C339" s="539"/>
      <c r="D339" s="539"/>
      <c r="E339" s="539"/>
      <c r="F339" s="539"/>
      <c r="G339" s="539"/>
      <c r="H339" s="539"/>
      <c r="I339" s="539"/>
      <c r="J339" s="539"/>
      <c r="K339" s="539"/>
      <c r="L339" s="539"/>
    </row>
    <row r="340" spans="1:12">
      <c r="A340" s="539"/>
      <c r="B340" s="539"/>
      <c r="C340" s="539"/>
      <c r="D340" s="539"/>
      <c r="E340" s="539"/>
      <c r="F340" s="539"/>
      <c r="G340" s="539"/>
      <c r="H340" s="539"/>
      <c r="I340" s="539"/>
      <c r="J340" s="539"/>
      <c r="K340" s="539"/>
      <c r="L340" s="539"/>
    </row>
    <row r="341" spans="1:12">
      <c r="A341" s="539"/>
      <c r="B341" s="539"/>
      <c r="C341" s="539"/>
      <c r="D341" s="539"/>
      <c r="E341" s="539"/>
      <c r="F341" s="539"/>
      <c r="G341" s="539"/>
      <c r="H341" s="539"/>
      <c r="I341" s="539"/>
      <c r="J341" s="539"/>
      <c r="K341" s="539"/>
      <c r="L341" s="539"/>
    </row>
    <row r="342" spans="1:12">
      <c r="A342" s="539"/>
      <c r="B342" s="539"/>
      <c r="C342" s="539"/>
      <c r="D342" s="539"/>
      <c r="E342" s="539"/>
      <c r="F342" s="539"/>
      <c r="G342" s="539"/>
      <c r="H342" s="539"/>
      <c r="I342" s="539"/>
      <c r="J342" s="539"/>
      <c r="K342" s="539"/>
      <c r="L342" s="539"/>
    </row>
    <row r="343" spans="1:12">
      <c r="A343" s="539"/>
      <c r="B343" s="539"/>
      <c r="C343" s="539"/>
      <c r="D343" s="539"/>
      <c r="E343" s="539"/>
      <c r="F343" s="539"/>
      <c r="G343" s="539"/>
      <c r="H343" s="539"/>
      <c r="I343" s="539"/>
      <c r="J343" s="539"/>
      <c r="K343" s="539"/>
      <c r="L343" s="539"/>
    </row>
    <row r="344" spans="1:12">
      <c r="A344" s="539"/>
      <c r="B344" s="539"/>
      <c r="C344" s="539"/>
      <c r="D344" s="539"/>
      <c r="E344" s="539"/>
      <c r="F344" s="539"/>
      <c r="G344" s="539"/>
      <c r="H344" s="539"/>
      <c r="I344" s="539"/>
      <c r="J344" s="539"/>
      <c r="K344" s="539"/>
      <c r="L344" s="539"/>
    </row>
    <row r="345" spans="1:12">
      <c r="A345" s="539"/>
      <c r="B345" s="539"/>
      <c r="C345" s="539"/>
      <c r="D345" s="539"/>
      <c r="E345" s="539"/>
      <c r="F345" s="539"/>
      <c r="G345" s="539"/>
      <c r="H345" s="539"/>
      <c r="I345" s="539"/>
      <c r="J345" s="539"/>
      <c r="K345" s="539"/>
      <c r="L345" s="539"/>
    </row>
    <row r="346" spans="1:12">
      <c r="A346" s="539"/>
      <c r="B346" s="539"/>
      <c r="C346" s="539"/>
      <c r="D346" s="539"/>
      <c r="E346" s="539"/>
      <c r="F346" s="539"/>
      <c r="G346" s="539"/>
      <c r="H346" s="539"/>
      <c r="I346" s="539"/>
      <c r="J346" s="539"/>
      <c r="K346" s="539"/>
      <c r="L346" s="539"/>
    </row>
    <row r="347" spans="1:12">
      <c r="A347" s="539"/>
      <c r="B347" s="539"/>
      <c r="C347" s="539"/>
      <c r="D347" s="539"/>
      <c r="E347" s="539"/>
      <c r="F347" s="539"/>
      <c r="G347" s="539"/>
      <c r="H347" s="539"/>
      <c r="I347" s="539"/>
      <c r="J347" s="539"/>
      <c r="K347" s="539"/>
      <c r="L347" s="539"/>
    </row>
    <row r="348" spans="1:12">
      <c r="A348" s="539"/>
      <c r="B348" s="539"/>
      <c r="C348" s="539"/>
      <c r="D348" s="539"/>
      <c r="E348" s="539"/>
      <c r="F348" s="539"/>
      <c r="G348" s="539"/>
      <c r="H348" s="539"/>
      <c r="I348" s="539"/>
      <c r="J348" s="539"/>
      <c r="K348" s="539"/>
      <c r="L348" s="539"/>
    </row>
    <row r="349" spans="1:12">
      <c r="A349" s="539"/>
      <c r="B349" s="539"/>
      <c r="C349" s="539"/>
      <c r="D349" s="539"/>
      <c r="E349" s="539"/>
      <c r="F349" s="539"/>
      <c r="G349" s="539"/>
      <c r="H349" s="539"/>
      <c r="I349" s="539"/>
      <c r="J349" s="539"/>
      <c r="K349" s="539"/>
      <c r="L349" s="539"/>
    </row>
    <row r="350" spans="1:12">
      <c r="A350" s="539"/>
      <c r="B350" s="539"/>
      <c r="C350" s="539"/>
      <c r="D350" s="539"/>
      <c r="E350" s="539"/>
      <c r="F350" s="539"/>
      <c r="G350" s="539"/>
      <c r="H350" s="539"/>
      <c r="I350" s="539"/>
      <c r="J350" s="539"/>
      <c r="K350" s="539"/>
      <c r="L350" s="539"/>
    </row>
    <row r="351" spans="1:12">
      <c r="A351" s="539"/>
      <c r="B351" s="539"/>
      <c r="C351" s="539"/>
      <c r="D351" s="539"/>
      <c r="E351" s="539"/>
      <c r="F351" s="539"/>
      <c r="G351" s="539"/>
      <c r="H351" s="539"/>
      <c r="I351" s="539"/>
      <c r="J351" s="539"/>
      <c r="K351" s="539"/>
      <c r="L351" s="539"/>
    </row>
    <row r="352" spans="1:12">
      <c r="A352" s="539"/>
      <c r="B352" s="539"/>
      <c r="C352" s="539"/>
      <c r="D352" s="539"/>
      <c r="E352" s="539"/>
      <c r="F352" s="539"/>
      <c r="G352" s="539"/>
      <c r="H352" s="539"/>
      <c r="I352" s="539"/>
      <c r="J352" s="539"/>
      <c r="K352" s="539"/>
      <c r="L352" s="539"/>
    </row>
    <row r="353" spans="1:12">
      <c r="A353" s="539"/>
      <c r="B353" s="539"/>
      <c r="C353" s="539"/>
      <c r="D353" s="539"/>
      <c r="E353" s="539"/>
      <c r="F353" s="539"/>
      <c r="G353" s="539"/>
      <c r="H353" s="539"/>
      <c r="I353" s="539"/>
      <c r="J353" s="539"/>
      <c r="K353" s="539"/>
      <c r="L353" s="539"/>
    </row>
    <row r="354" spans="1:12">
      <c r="A354" s="539"/>
      <c r="B354" s="539"/>
      <c r="C354" s="539"/>
      <c r="D354" s="539"/>
      <c r="E354" s="539"/>
      <c r="F354" s="539"/>
      <c r="G354" s="539"/>
      <c r="H354" s="539"/>
      <c r="I354" s="539"/>
      <c r="J354" s="539"/>
      <c r="K354" s="539"/>
      <c r="L354" s="539"/>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40" t="s">
        <v>660</v>
      </c>
    </row>
    <row r="3" spans="1:1" ht="31.5">
      <c r="A3" s="541" t="s">
        <v>661</v>
      </c>
    </row>
    <row r="4" spans="1:1" ht="15.75">
      <c r="A4" s="542" t="s">
        <v>662</v>
      </c>
    </row>
    <row r="7" spans="1:1" ht="31.5">
      <c r="A7" s="541" t="s">
        <v>663</v>
      </c>
    </row>
    <row r="8" spans="1:1" ht="15.75">
      <c r="A8" s="542" t="s">
        <v>664</v>
      </c>
    </row>
    <row r="11" spans="1:1" ht="15.75">
      <c r="A11" s="543" t="s">
        <v>665</v>
      </c>
    </row>
    <row r="12" spans="1:1" ht="15.75">
      <c r="A12" s="542" t="s">
        <v>666</v>
      </c>
    </row>
    <row r="15" spans="1:1" ht="15.75">
      <c r="A15" s="543" t="s">
        <v>667</v>
      </c>
    </row>
    <row r="16" spans="1:1" ht="15.75">
      <c r="A16" s="542" t="s">
        <v>668</v>
      </c>
    </row>
    <row r="19" spans="1:1" ht="15.75">
      <c r="A19" s="543" t="s">
        <v>669</v>
      </c>
    </row>
    <row r="20" spans="1:1" ht="15.75">
      <c r="A20" s="542" t="s">
        <v>670</v>
      </c>
    </row>
    <row r="23" spans="1:1" ht="15.75">
      <c r="A23" s="543" t="s">
        <v>671</v>
      </c>
    </row>
    <row r="24" spans="1:1" ht="15.75">
      <c r="A24" s="542" t="s">
        <v>672</v>
      </c>
    </row>
    <row r="27" spans="1:1" ht="15.75">
      <c r="A27" s="543" t="s">
        <v>673</v>
      </c>
    </row>
    <row r="28" spans="1:1" ht="15.75">
      <c r="A28" s="542" t="s">
        <v>674</v>
      </c>
    </row>
    <row r="31" spans="1:1" ht="15.75">
      <c r="A31" s="543" t="s">
        <v>675</v>
      </c>
    </row>
    <row r="32" spans="1:1" ht="15.75">
      <c r="A32" s="542" t="s">
        <v>676</v>
      </c>
    </row>
    <row r="35" spans="1:1" ht="15.75">
      <c r="A35" s="543" t="s">
        <v>677</v>
      </c>
    </row>
    <row r="36" spans="1:1" ht="15.75">
      <c r="A36" s="542" t="s">
        <v>678</v>
      </c>
    </row>
    <row r="39" spans="1:1" ht="15.75">
      <c r="A39" s="543" t="s">
        <v>679</v>
      </c>
    </row>
    <row r="40" spans="1:1" ht="15.75">
      <c r="A40" s="542" t="s">
        <v>680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heetViews>
  <sheetFormatPr defaultRowHeight="15.75"/>
  <cols>
    <col min="1" max="1" width="67.21875" style="1" customWidth="1"/>
    <col min="2" max="2" width="14.5546875" style="1" customWidth="1"/>
    <col min="3" max="3" width="14.21875" style="1" customWidth="1"/>
    <col min="4" max="16384" width="8.88671875" style="1"/>
  </cols>
  <sheetData>
    <row r="1" spans="1:1">
      <c r="A1" s="420" t="s">
        <v>681</v>
      </c>
    </row>
    <row r="2" spans="1:1">
      <c r="A2" s="599" t="s">
        <v>693</v>
      </c>
    </row>
    <row r="3" spans="1:1">
      <c r="A3" s="599" t="s">
        <v>694</v>
      </c>
    </row>
    <row r="4" spans="1:1" ht="31.5">
      <c r="A4" s="600" t="s">
        <v>695</v>
      </c>
    </row>
    <row r="5" spans="1:1">
      <c r="A5" s="599" t="s">
        <v>696</v>
      </c>
    </row>
    <row r="6" spans="1:1">
      <c r="A6" s="599" t="s">
        <v>697</v>
      </c>
    </row>
    <row r="7" spans="1:1">
      <c r="A7" s="599" t="s">
        <v>698</v>
      </c>
    </row>
    <row r="8" spans="1:1">
      <c r="A8" s="599" t="s">
        <v>699</v>
      </c>
    </row>
    <row r="9" spans="1:1">
      <c r="A9" s="599" t="s">
        <v>700</v>
      </c>
    </row>
    <row r="10" spans="1:1">
      <c r="A10" s="599" t="s">
        <v>701</v>
      </c>
    </row>
    <row r="11" spans="1:1">
      <c r="A11" s="599" t="s">
        <v>702</v>
      </c>
    </row>
    <row r="12" spans="1:1">
      <c r="A12" s="599" t="s">
        <v>703</v>
      </c>
    </row>
    <row r="13" spans="1:1">
      <c r="A13" s="599" t="s">
        <v>704</v>
      </c>
    </row>
    <row r="14" spans="1:1">
      <c r="A14" s="599" t="s">
        <v>705</v>
      </c>
    </row>
    <row r="15" spans="1:1">
      <c r="A15" s="599" t="s">
        <v>706</v>
      </c>
    </row>
    <row r="16" spans="1:1">
      <c r="A16" s="599" t="s">
        <v>707</v>
      </c>
    </row>
    <row r="17" spans="1:1">
      <c r="A17" s="599" t="s">
        <v>708</v>
      </c>
    </row>
    <row r="18" spans="1:1">
      <c r="A18" s="599" t="s">
        <v>709</v>
      </c>
    </row>
    <row r="19" spans="1:1">
      <c r="A19" s="599" t="s">
        <v>710</v>
      </c>
    </row>
    <row r="20" spans="1:1">
      <c r="A20" s="599" t="s">
        <v>711</v>
      </c>
    </row>
    <row r="21" spans="1:1">
      <c r="A21" s="599" t="s">
        <v>712</v>
      </c>
    </row>
    <row r="22" spans="1:1">
      <c r="A22" s="599" t="s">
        <v>713</v>
      </c>
    </row>
    <row r="23" spans="1:1">
      <c r="A23" s="599" t="s">
        <v>714</v>
      </c>
    </row>
    <row r="24" spans="1:1">
      <c r="A24" s="599" t="s">
        <v>715</v>
      </c>
    </row>
    <row r="25" spans="1:1">
      <c r="A25" s="599"/>
    </row>
    <row r="26" spans="1:1">
      <c r="A26" s="420" t="s">
        <v>576</v>
      </c>
    </row>
    <row r="27" spans="1:1">
      <c r="A27" s="142" t="s">
        <v>579</v>
      </c>
    </row>
    <row r="28" spans="1:1">
      <c r="A28" s="142" t="s">
        <v>577</v>
      </c>
    </row>
    <row r="29" spans="1:1">
      <c r="A29" s="142" t="s">
        <v>578</v>
      </c>
    </row>
    <row r="31" spans="1:1">
      <c r="A31" s="429" t="s">
        <v>568</v>
      </c>
    </row>
    <row r="32" spans="1:1">
      <c r="A32" s="142" t="s">
        <v>575</v>
      </c>
    </row>
    <row r="34" spans="1:1">
      <c r="A34" s="420" t="s">
        <v>561</v>
      </c>
    </row>
    <row r="35" spans="1:1">
      <c r="A35" s="421" t="s">
        <v>562</v>
      </c>
    </row>
    <row r="36" spans="1:1">
      <c r="A36" s="421" t="s">
        <v>563</v>
      </c>
    </row>
    <row r="37" spans="1:1">
      <c r="A37" s="421" t="s">
        <v>564</v>
      </c>
    </row>
    <row r="38" spans="1:1">
      <c r="A38" s="142" t="s">
        <v>565</v>
      </c>
    </row>
    <row r="40" spans="1:1">
      <c r="A40" s="385" t="s">
        <v>310</v>
      </c>
    </row>
    <row r="41" spans="1:1">
      <c r="A41" s="393" t="s">
        <v>324</v>
      </c>
    </row>
    <row r="42" spans="1:1">
      <c r="A42" s="393" t="s">
        <v>325</v>
      </c>
    </row>
    <row r="43" spans="1:1">
      <c r="A43" s="393" t="s">
        <v>326</v>
      </c>
    </row>
    <row r="44" spans="1:1">
      <c r="A44" s="393" t="s">
        <v>327</v>
      </c>
    </row>
    <row r="45" spans="1:1">
      <c r="A45" s="393" t="s">
        <v>328</v>
      </c>
    </row>
    <row r="46" spans="1:1">
      <c r="A46" s="393" t="s">
        <v>329</v>
      </c>
    </row>
    <row r="47" spans="1:1">
      <c r="A47" s="395" t="s">
        <v>331</v>
      </c>
    </row>
    <row r="49" spans="1:1">
      <c r="A49" s="385" t="s">
        <v>291</v>
      </c>
    </row>
    <row r="50" spans="1:1">
      <c r="A50" s="1" t="s">
        <v>292</v>
      </c>
    </row>
    <row r="51" spans="1:1">
      <c r="A51" s="1" t="s">
        <v>295</v>
      </c>
    </row>
    <row r="52" spans="1:1">
      <c r="A52" s="1" t="s">
        <v>297</v>
      </c>
    </row>
    <row r="53" spans="1:1">
      <c r="A53" s="1" t="s">
        <v>296</v>
      </c>
    </row>
    <row r="55" spans="1:1">
      <c r="A55" s="385" t="s">
        <v>289</v>
      </c>
    </row>
    <row r="56" spans="1:1">
      <c r="A56" s="1" t="s">
        <v>290</v>
      </c>
    </row>
    <row r="58" spans="1:1">
      <c r="A58" s="385" t="s">
        <v>285</v>
      </c>
    </row>
    <row r="59" spans="1:1">
      <c r="A59" s="1" t="s">
        <v>286</v>
      </c>
    </row>
    <row r="60" spans="1:1">
      <c r="A60" s="1" t="s">
        <v>287</v>
      </c>
    </row>
    <row r="61" spans="1:1">
      <c r="A61" s="1" t="s">
        <v>288</v>
      </c>
    </row>
    <row r="63" spans="1:1">
      <c r="A63" s="386" t="s">
        <v>281</v>
      </c>
    </row>
    <row r="64" spans="1:1">
      <c r="A64" s="1" t="s">
        <v>282</v>
      </c>
    </row>
    <row r="65" spans="1:1">
      <c r="A65" s="1" t="s">
        <v>283</v>
      </c>
    </row>
    <row r="67" spans="1:1">
      <c r="A67" s="386" t="s">
        <v>260</v>
      </c>
    </row>
    <row r="68" spans="1:1">
      <c r="A68" s="1" t="s">
        <v>244</v>
      </c>
    </row>
    <row r="69" spans="1:1" ht="33" customHeight="1">
      <c r="A69" s="4" t="s">
        <v>245</v>
      </c>
    </row>
    <row r="70" spans="1:1">
      <c r="A70" s="1" t="s">
        <v>246</v>
      </c>
    </row>
    <row r="71" spans="1:1">
      <c r="A71" s="1" t="s">
        <v>247</v>
      </c>
    </row>
    <row r="72" spans="1:1">
      <c r="A72" s="1" t="s">
        <v>248</v>
      </c>
    </row>
    <row r="73" spans="1:1">
      <c r="A73" s="1" t="s">
        <v>249</v>
      </c>
    </row>
    <row r="74" spans="1:1" ht="36" customHeight="1">
      <c r="A74" s="4" t="s">
        <v>250</v>
      </c>
    </row>
    <row r="75" spans="1:1" ht="35.25" customHeight="1">
      <c r="A75" s="4" t="s">
        <v>251</v>
      </c>
    </row>
    <row r="76" spans="1:1" ht="33" customHeight="1">
      <c r="A76" s="4" t="s">
        <v>252</v>
      </c>
    </row>
    <row r="77" spans="1:1" ht="24" customHeight="1">
      <c r="A77" s="4" t="s">
        <v>253</v>
      </c>
    </row>
    <row r="78" spans="1:1" ht="35.25" customHeight="1">
      <c r="A78" s="4" t="s">
        <v>254</v>
      </c>
    </row>
    <row r="79" spans="1:1">
      <c r="A79" s="1" t="s">
        <v>255</v>
      </c>
    </row>
    <row r="80" spans="1:1">
      <c r="A80" s="1" t="s">
        <v>256</v>
      </c>
    </row>
    <row r="81" spans="1:1">
      <c r="A81" s="1" t="s">
        <v>257</v>
      </c>
    </row>
    <row r="82" spans="1:1">
      <c r="A82" s="1" t="s">
        <v>258</v>
      </c>
    </row>
    <row r="83" spans="1:1">
      <c r="A83" s="1" t="s">
        <v>259</v>
      </c>
    </row>
    <row r="86" spans="1:1">
      <c r="A86" s="1" t="s">
        <v>183</v>
      </c>
    </row>
    <row r="87" spans="1:1">
      <c r="A87" s="1" t="s">
        <v>184</v>
      </c>
    </row>
    <row r="88" spans="1:1">
      <c r="A88" s="1" t="s">
        <v>185</v>
      </c>
    </row>
    <row r="89" spans="1:1">
      <c r="A89" s="1" t="s">
        <v>186</v>
      </c>
    </row>
    <row r="90" spans="1:1">
      <c r="A90" s="1" t="s">
        <v>187</v>
      </c>
    </row>
    <row r="91" spans="1:1">
      <c r="A91" s="1" t="s">
        <v>188</v>
      </c>
    </row>
    <row r="92" spans="1:1">
      <c r="A92" s="1" t="s">
        <v>189</v>
      </c>
    </row>
    <row r="93" spans="1:1">
      <c r="A93" s="1" t="s">
        <v>190</v>
      </c>
    </row>
    <row r="94" spans="1:1">
      <c r="A94" s="1" t="s">
        <v>191</v>
      </c>
    </row>
    <row r="95" spans="1:1">
      <c r="A95" s="1" t="s">
        <v>192</v>
      </c>
    </row>
    <row r="96" spans="1:1">
      <c r="A96" s="1" t="s">
        <v>193</v>
      </c>
    </row>
    <row r="97" spans="1:1">
      <c r="A97" s="1" t="s">
        <v>194</v>
      </c>
    </row>
    <row r="98" spans="1:1">
      <c r="A98" s="1" t="s">
        <v>195</v>
      </c>
    </row>
    <row r="99" spans="1:1">
      <c r="A99" s="1" t="s">
        <v>196</v>
      </c>
    </row>
    <row r="100" spans="1:1">
      <c r="A100" s="1" t="s">
        <v>197</v>
      </c>
    </row>
    <row r="101" spans="1:1">
      <c r="A101" s="1" t="s">
        <v>202</v>
      </c>
    </row>
    <row r="102" spans="1:1">
      <c r="A102" s="1" t="s">
        <v>208</v>
      </c>
    </row>
    <row r="103" spans="1:1">
      <c r="A103" s="1" t="s">
        <v>209</v>
      </c>
    </row>
    <row r="104" spans="1:1">
      <c r="A104" s="1" t="s">
        <v>225</v>
      </c>
    </row>
    <row r="105" spans="1:1">
      <c r="A105" s="1" t="s">
        <v>226</v>
      </c>
    </row>
    <row r="106" spans="1:1">
      <c r="A106" s="1" t="s">
        <v>227</v>
      </c>
    </row>
    <row r="107" spans="1:1">
      <c r="A107" s="1" t="s">
        <v>220</v>
      </c>
    </row>
    <row r="108" spans="1:1">
      <c r="A108" s="1" t="s">
        <v>221</v>
      </c>
    </row>
    <row r="109" spans="1:1">
      <c r="A109" s="1" t="s">
        <v>228</v>
      </c>
    </row>
    <row r="110" spans="1:1">
      <c r="A110" s="1" t="s">
        <v>229</v>
      </c>
    </row>
    <row r="111" spans="1:1">
      <c r="A111" s="1" t="s">
        <v>238</v>
      </c>
    </row>
    <row r="112" spans="1:1">
      <c r="A112" s="1" t="s">
        <v>239</v>
      </c>
    </row>
    <row r="113" spans="1:1">
      <c r="A113" s="1" t="s">
        <v>243</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114"/>
  <sheetViews>
    <sheetView workbookViewId="0">
      <selection activeCell="D7" sqref="D7"/>
    </sheetView>
  </sheetViews>
  <sheetFormatPr defaultRowHeight="15"/>
  <cols>
    <col min="1" max="1" width="15.77734375" customWidth="1"/>
    <col min="2" max="2" width="20.77734375" customWidth="1"/>
    <col min="3" max="3" width="11.5546875" customWidth="1"/>
    <col min="4" max="4" width="15.6640625" customWidth="1"/>
    <col min="5" max="5" width="14.21875" customWidth="1"/>
  </cols>
  <sheetData>
    <row r="1" spans="1:5" ht="15.75">
      <c r="A1" s="15" t="str">
        <f>inputPrYr!D3</f>
        <v>Tauy Watershed</v>
      </c>
      <c r="B1" s="37"/>
      <c r="C1" s="37"/>
      <c r="D1" s="37"/>
      <c r="E1" s="15">
        <f>inputPrYr!D11</f>
        <v>2013</v>
      </c>
    </row>
    <row r="2" spans="1:5">
      <c r="A2" s="37"/>
      <c r="B2" s="37"/>
      <c r="C2" s="37"/>
      <c r="D2" s="37"/>
      <c r="E2" s="37"/>
    </row>
    <row r="3" spans="1:5">
      <c r="A3" s="617" t="s">
        <v>154</v>
      </c>
      <c r="B3" s="618"/>
      <c r="C3" s="618"/>
      <c r="D3" s="618"/>
      <c r="E3" s="618"/>
    </row>
    <row r="4" spans="1:5" ht="15.75">
      <c r="A4" s="55"/>
      <c r="B4" s="55"/>
      <c r="C4" s="55"/>
      <c r="D4" s="55"/>
      <c r="E4" s="55"/>
    </row>
    <row r="5" spans="1:5" ht="15.75">
      <c r="A5" s="38" t="str">
        <f>CONCATENATE("From the County Clerks ",E1," Budget Information:")</f>
        <v>From the County Clerks 2013 Budget Information:</v>
      </c>
      <c r="B5" s="32"/>
      <c r="C5" s="32"/>
      <c r="D5" s="15"/>
      <c r="E5" s="24"/>
    </row>
    <row r="6" spans="1:5" ht="15.75">
      <c r="A6" s="63" t="str">
        <f>CONCATENATE("Assessed Valuation for ",inputPrYr!D11-1,":")</f>
        <v>Assessed Valuation for 2012:</v>
      </c>
      <c r="B6" s="21"/>
      <c r="C6" s="21"/>
      <c r="D6" s="21"/>
      <c r="E6" s="54"/>
    </row>
    <row r="7" spans="1:5" ht="15.75">
      <c r="A7" s="28" t="str">
        <f>inputPrYr!$D$4</f>
        <v>Franklin County</v>
      </c>
      <c r="B7" s="21"/>
      <c r="C7" s="21"/>
      <c r="D7" s="12">
        <v>6028265</v>
      </c>
      <c r="E7" s="25"/>
    </row>
    <row r="8" spans="1:5" ht="15.75">
      <c r="A8" s="28" t="str">
        <f>inputPrYr!$D$6</f>
        <v>Douglas</v>
      </c>
      <c r="B8" s="21"/>
      <c r="C8" s="21"/>
      <c r="D8" s="12">
        <v>16089345</v>
      </c>
      <c r="E8" s="25"/>
    </row>
    <row r="9" spans="1:5" ht="15.75">
      <c r="A9" s="28">
        <f>inputPrYr!$D$7</f>
        <v>0</v>
      </c>
      <c r="B9" s="21"/>
      <c r="C9" s="21"/>
      <c r="D9" s="12"/>
      <c r="E9" s="25"/>
    </row>
    <row r="10" spans="1:5" ht="15.75">
      <c r="A10" s="28">
        <f>inputPrYr!$D$8</f>
        <v>0</v>
      </c>
      <c r="B10" s="21"/>
      <c r="C10" s="21"/>
      <c r="D10" s="12"/>
      <c r="E10" s="25"/>
    </row>
    <row r="11" spans="1:5" ht="15.75">
      <c r="A11" s="28">
        <f>inputPrYr!$D$9</f>
        <v>0</v>
      </c>
      <c r="B11" s="21"/>
      <c r="C11" s="21"/>
      <c r="D11" s="12"/>
      <c r="E11" s="25"/>
    </row>
    <row r="12" spans="1:5" ht="16.5" thickBot="1">
      <c r="A12" s="28" t="str">
        <f>CONCATENATE("Total Assessed Valuation for ",inputPrYr!D11-1,"")</f>
        <v>Total Assessed Valuation for 2012</v>
      </c>
      <c r="B12" s="21"/>
      <c r="C12" s="21"/>
      <c r="D12" s="21"/>
      <c r="E12" s="71">
        <f>SUM(D7:D11)</f>
        <v>22117610</v>
      </c>
    </row>
    <row r="13" spans="1:5" ht="16.5" thickTop="1">
      <c r="A13" s="63" t="str">
        <f>CONCATENATE("New Improvements for ",inputPrYr!D11-1,":")</f>
        <v>New Improvements for 2012:</v>
      </c>
      <c r="B13" s="21"/>
      <c r="C13" s="21"/>
      <c r="D13" s="21"/>
      <c r="E13" s="60"/>
    </row>
    <row r="14" spans="1:5" ht="15.75">
      <c r="A14" s="28" t="str">
        <f>inputPrYr!$D$4</f>
        <v>Franklin County</v>
      </c>
      <c r="B14" s="21"/>
      <c r="C14" s="21"/>
      <c r="D14" s="51">
        <v>104397</v>
      </c>
      <c r="E14" s="15"/>
    </row>
    <row r="15" spans="1:5" ht="15.75">
      <c r="A15" s="28" t="str">
        <f>inputPrYr!$D$6</f>
        <v>Douglas</v>
      </c>
      <c r="B15" s="21"/>
      <c r="C15" s="21"/>
      <c r="D15" s="14">
        <v>135305</v>
      </c>
      <c r="E15" s="15"/>
    </row>
    <row r="16" spans="1:5" ht="15.75">
      <c r="A16" s="28">
        <f>inputPrYr!$D$7</f>
        <v>0</v>
      </c>
      <c r="B16" s="21"/>
      <c r="C16" s="21"/>
      <c r="D16" s="14"/>
      <c r="E16" s="15"/>
    </row>
    <row r="17" spans="1:5" ht="15.75">
      <c r="A17" s="28">
        <f>inputPrYr!$D$8</f>
        <v>0</v>
      </c>
      <c r="B17" s="21"/>
      <c r="C17" s="21"/>
      <c r="D17" s="14"/>
      <c r="E17" s="15"/>
    </row>
    <row r="18" spans="1:5" ht="15.75">
      <c r="A18" s="28">
        <f>inputPrYr!$D$9</f>
        <v>0</v>
      </c>
      <c r="B18" s="21"/>
      <c r="C18" s="21"/>
      <c r="D18" s="14"/>
      <c r="E18" s="21"/>
    </row>
    <row r="19" spans="1:5" ht="16.5" thickBot="1">
      <c r="A19" s="28" t="str">
        <f>CONCATENATE("Total New Improvements for ",inputPrYr!D11-1,"")</f>
        <v>Total New Improvements for 2012</v>
      </c>
      <c r="B19" s="21"/>
      <c r="C19" s="21"/>
      <c r="D19" s="21"/>
      <c r="E19" s="72">
        <f>SUM(D14:D18)</f>
        <v>239702</v>
      </c>
    </row>
    <row r="20" spans="1:5" ht="16.5" thickTop="1">
      <c r="A20" s="63" t="str">
        <f>CONCATENATE("Personal Property excluding oil, gas, and mobile homes - ",inputPrYr!D11-1,":")</f>
        <v>Personal Property excluding oil, gas, and mobile homes - 2012:</v>
      </c>
      <c r="B20" s="21"/>
      <c r="C20" s="21"/>
      <c r="D20" s="21"/>
      <c r="E20" s="60"/>
    </row>
    <row r="21" spans="1:5" ht="15.75">
      <c r="A21" s="28" t="str">
        <f>inputPrYr!$D$4</f>
        <v>Franklin County</v>
      </c>
      <c r="B21" s="21"/>
      <c r="C21" s="21"/>
      <c r="D21" s="51">
        <v>78959</v>
      </c>
      <c r="E21" s="15"/>
    </row>
    <row r="22" spans="1:5" ht="15.75">
      <c r="A22" s="28" t="str">
        <f>inputPrYr!$D$6</f>
        <v>Douglas</v>
      </c>
      <c r="B22" s="21"/>
      <c r="C22" s="21"/>
      <c r="D22" s="51">
        <v>579990</v>
      </c>
      <c r="E22" s="15"/>
    </row>
    <row r="23" spans="1:5" ht="15.75">
      <c r="A23" s="28">
        <f>inputPrYr!$D$7</f>
        <v>0</v>
      </c>
      <c r="B23" s="21"/>
      <c r="C23" s="21"/>
      <c r="D23" s="51"/>
      <c r="E23" s="15"/>
    </row>
    <row r="24" spans="1:5" ht="15.75">
      <c r="A24" s="28">
        <f>inputPrYr!$D$8</f>
        <v>0</v>
      </c>
      <c r="B24" s="21"/>
      <c r="C24" s="21"/>
      <c r="D24" s="51"/>
      <c r="E24" s="15"/>
    </row>
    <row r="25" spans="1:5" ht="15.75">
      <c r="A25" s="28">
        <f>inputPrYr!$D$9</f>
        <v>0</v>
      </c>
      <c r="B25" s="21"/>
      <c r="C25" s="21"/>
      <c r="D25" s="51"/>
      <c r="E25" s="15"/>
    </row>
    <row r="26" spans="1:5" ht="16.5" thickBot="1">
      <c r="A26" s="28" t="str">
        <f>CONCATENATE("Total Personal Property - ",inputPrYr!D11-1,"")</f>
        <v>Total Personal Property - 2012</v>
      </c>
      <c r="B26" s="21"/>
      <c r="C26" s="21"/>
      <c r="D26" s="21"/>
      <c r="E26" s="72">
        <f>SUM(D21:D25)</f>
        <v>658949</v>
      </c>
    </row>
    <row r="27" spans="1:5" ht="16.5" thickTop="1">
      <c r="A27" s="63" t="str">
        <f>CONCATENATE("Property that has changed in use for ",inputPrYr!D11-1,":")</f>
        <v>Property that has changed in use for 2012:</v>
      </c>
      <c r="B27" s="21"/>
      <c r="C27" s="21"/>
      <c r="D27" s="21"/>
      <c r="E27" s="60"/>
    </row>
    <row r="28" spans="1:5" ht="15.75">
      <c r="A28" s="28" t="str">
        <f>inputPrYr!$D$4</f>
        <v>Franklin County</v>
      </c>
      <c r="B28" s="21"/>
      <c r="C28" s="21"/>
      <c r="D28" s="51">
        <v>32481</v>
      </c>
      <c r="E28" s="15"/>
    </row>
    <row r="29" spans="1:5" ht="15.75">
      <c r="A29" s="28" t="str">
        <f>inputPrYr!$D$6</f>
        <v>Douglas</v>
      </c>
      <c r="B29" s="21"/>
      <c r="C29" s="21"/>
      <c r="D29" s="51">
        <v>61743</v>
      </c>
      <c r="E29" s="15"/>
    </row>
    <row r="30" spans="1:5" ht="15.75">
      <c r="A30" s="28">
        <f>inputPrYr!$D$7</f>
        <v>0</v>
      </c>
      <c r="B30" s="21"/>
      <c r="C30" s="21"/>
      <c r="D30" s="51"/>
      <c r="E30" s="15"/>
    </row>
    <row r="31" spans="1:5" ht="15.75">
      <c r="A31" s="28">
        <f>inputPrYr!$D$8</f>
        <v>0</v>
      </c>
      <c r="B31" s="21"/>
      <c r="C31" s="21"/>
      <c r="D31" s="51"/>
      <c r="E31" s="15"/>
    </row>
    <row r="32" spans="1:5" ht="15.75">
      <c r="A32" s="28">
        <f>inputPrYr!$D$9</f>
        <v>0</v>
      </c>
      <c r="B32" s="21"/>
      <c r="C32" s="21"/>
      <c r="D32" s="51"/>
      <c r="E32" s="15"/>
    </row>
    <row r="33" spans="1:5" ht="16.5" thickBot="1">
      <c r="A33" s="28" t="str">
        <f>CONCATENATE("Total Property that has changed in use for ",inputPrYr!D11-1,"")</f>
        <v>Total Property that has changed in use for 2012</v>
      </c>
      <c r="B33" s="21"/>
      <c r="C33" s="21"/>
      <c r="D33" s="21"/>
      <c r="E33" s="72">
        <f>SUM(D28:D32)</f>
        <v>94224</v>
      </c>
    </row>
    <row r="34" spans="1:5" ht="16.5" thickTop="1">
      <c r="A34" s="63" t="str">
        <f>CONCATENATE("Personal Property excludes oil, gas, and mobile homes- ",inputPrYr!D11-2,":")</f>
        <v>Personal Property excludes oil, gas, and mobile homes- 2011:</v>
      </c>
      <c r="B34" s="21"/>
      <c r="C34" s="21"/>
      <c r="D34" s="21"/>
      <c r="E34" s="60"/>
    </row>
    <row r="35" spans="1:5" ht="15.75">
      <c r="A35" s="28" t="str">
        <f>inputPrYr!$D$4</f>
        <v>Franklin County</v>
      </c>
      <c r="B35" s="21"/>
      <c r="C35" s="21"/>
      <c r="D35" s="81">
        <v>87086</v>
      </c>
      <c r="E35" s="60"/>
    </row>
    <row r="36" spans="1:5" ht="15.75">
      <c r="A36" s="28" t="str">
        <f>inputPrYr!$D$6</f>
        <v>Douglas</v>
      </c>
      <c r="B36" s="21"/>
      <c r="C36" s="21"/>
      <c r="D36" s="82">
        <v>534026</v>
      </c>
      <c r="E36" s="60"/>
    </row>
    <row r="37" spans="1:5" ht="15.75">
      <c r="A37" s="28">
        <f>inputPrYr!$D$7</f>
        <v>0</v>
      </c>
      <c r="B37" s="21"/>
      <c r="C37" s="21"/>
      <c r="D37" s="82"/>
      <c r="E37" s="60"/>
    </row>
    <row r="38" spans="1:5" ht="15.75">
      <c r="A38" s="28">
        <f>inputPrYr!$D$8</f>
        <v>0</v>
      </c>
      <c r="B38" s="21"/>
      <c r="C38" s="21"/>
      <c r="D38" s="82"/>
      <c r="E38" s="60"/>
    </row>
    <row r="39" spans="1:5" ht="15.75">
      <c r="A39" s="28">
        <f>inputPrYr!$D$9</f>
        <v>0</v>
      </c>
      <c r="B39" s="21"/>
      <c r="C39" s="21"/>
      <c r="D39" s="82"/>
      <c r="E39" s="60"/>
    </row>
    <row r="40" spans="1:5" ht="16.5" thickBot="1">
      <c r="A40" s="28" t="str">
        <f>CONCATENATE("Total Personal Property - ",inputPrYr!D11-2,"")</f>
        <v>Total Personal Property - 2011</v>
      </c>
      <c r="B40" s="15"/>
      <c r="C40" s="15"/>
      <c r="D40" s="15"/>
      <c r="E40" s="71">
        <f>SUM(D35:D39)</f>
        <v>621112</v>
      </c>
    </row>
    <row r="41" spans="1:5" ht="16.5" thickTop="1">
      <c r="A41" s="27"/>
      <c r="B41" s="15"/>
      <c r="C41" s="15"/>
      <c r="D41" s="15"/>
      <c r="E41" s="54"/>
    </row>
    <row r="42" spans="1:5" ht="15.75">
      <c r="A42" s="80" t="str">
        <f>CONCATENATE("Neighborhood Revitalization - ",E1,":")</f>
        <v>Neighborhood Revitalization - 2013:</v>
      </c>
      <c r="B42" s="15"/>
      <c r="C42" s="15"/>
      <c r="D42" s="81"/>
      <c r="E42" s="54"/>
    </row>
    <row r="43" spans="1:5" ht="15.75">
      <c r="A43" s="27"/>
      <c r="B43" s="15"/>
      <c r="C43" s="15"/>
      <c r="D43" s="15"/>
      <c r="E43" s="54"/>
    </row>
    <row r="44" spans="1:5" ht="15.75">
      <c r="A44" s="70" t="str">
        <f>CONCATENATE("Actual Tax Rates for the ",E1-1," Budget:")</f>
        <v>Actual Tax Rates for the 2012 Budget:</v>
      </c>
      <c r="B44" s="21"/>
      <c r="C44" s="21"/>
      <c r="D44" s="21"/>
      <c r="E44" s="50"/>
    </row>
    <row r="45" spans="1:5" ht="15.75">
      <c r="A45" s="619" t="s">
        <v>19</v>
      </c>
      <c r="B45" s="620"/>
      <c r="C45" s="37"/>
      <c r="D45" s="56" t="s">
        <v>53</v>
      </c>
      <c r="E45" s="50"/>
    </row>
    <row r="46" spans="1:5" ht="15.75">
      <c r="A46" s="57" t="s">
        <v>5</v>
      </c>
      <c r="B46" s="18"/>
      <c r="C46" s="21"/>
      <c r="D46" s="77">
        <v>3.4849999999999999</v>
      </c>
      <c r="E46" s="50"/>
    </row>
    <row r="47" spans="1:5" ht="15.75">
      <c r="A47" s="58"/>
      <c r="B47" s="59"/>
      <c r="C47" s="21"/>
      <c r="D47" s="78"/>
      <c r="E47" s="50"/>
    </row>
    <row r="48" spans="1:5" ht="15.75">
      <c r="A48" s="58"/>
      <c r="B48" s="59"/>
      <c r="C48" s="21"/>
      <c r="D48" s="78"/>
      <c r="E48" s="50"/>
    </row>
    <row r="49" spans="1:5" ht="15.75">
      <c r="A49" s="58"/>
      <c r="B49" s="59"/>
      <c r="C49" s="21"/>
      <c r="D49" s="78"/>
      <c r="E49" s="50"/>
    </row>
    <row r="50" spans="1:5" ht="15.75">
      <c r="A50" s="58"/>
      <c r="B50" s="59"/>
      <c r="C50" s="21"/>
      <c r="D50" s="78"/>
      <c r="E50" s="50"/>
    </row>
    <row r="51" spans="1:5" ht="15.75">
      <c r="A51" s="58"/>
      <c r="B51" s="59"/>
      <c r="C51" s="21"/>
      <c r="D51" s="79"/>
      <c r="E51" s="50"/>
    </row>
    <row r="52" spans="1:5" ht="15.75">
      <c r="A52" s="37"/>
      <c r="B52" s="18" t="s">
        <v>203</v>
      </c>
      <c r="C52" s="69"/>
      <c r="D52" s="73">
        <f>SUM(D46:D51)</f>
        <v>3.4849999999999999</v>
      </c>
      <c r="E52" s="37"/>
    </row>
    <row r="53" spans="1:5">
      <c r="A53" s="37"/>
      <c r="B53" s="37"/>
      <c r="C53" s="37"/>
      <c r="D53" s="37"/>
      <c r="E53" s="37"/>
    </row>
    <row r="54" spans="1:5" ht="15.75">
      <c r="A54" s="75" t="str">
        <f>CONCATENATE("Final Assessed Valuation from the November 1, ",E1-2," Abstract:")</f>
        <v>Final Assessed Valuation from the November 1, 2011 Abstract:</v>
      </c>
      <c r="B54" s="74"/>
      <c r="C54" s="74"/>
      <c r="D54" s="74"/>
      <c r="E54" s="76"/>
    </row>
    <row r="55" spans="1:5" ht="15.75">
      <c r="A55" s="28" t="str">
        <f>inputPrYr!$D$4</f>
        <v>Franklin County</v>
      </c>
      <c r="B55" s="37"/>
      <c r="C55" s="37"/>
      <c r="D55" s="81">
        <v>5342763</v>
      </c>
      <c r="E55" s="37"/>
    </row>
    <row r="56" spans="1:5" ht="15.75">
      <c r="A56" s="28" t="str">
        <f>inputPrYr!$D$6</f>
        <v>Douglas</v>
      </c>
      <c r="B56" s="37"/>
      <c r="C56" s="37"/>
      <c r="D56" s="82">
        <v>15781765</v>
      </c>
      <c r="E56" s="37"/>
    </row>
    <row r="57" spans="1:5" ht="15.75">
      <c r="A57" s="28">
        <f>inputPrYr!$D$7</f>
        <v>0</v>
      </c>
      <c r="B57" s="37"/>
      <c r="C57" s="37"/>
      <c r="D57" s="82"/>
      <c r="E57" s="37"/>
    </row>
    <row r="58" spans="1:5" ht="15.75">
      <c r="A58" s="28">
        <f>inputPrYr!$D$8</f>
        <v>0</v>
      </c>
      <c r="B58" s="37"/>
      <c r="C58" s="37"/>
      <c r="D58" s="82"/>
      <c r="E58" s="37"/>
    </row>
    <row r="59" spans="1:5" ht="15.75">
      <c r="A59" s="28">
        <f>inputPrYr!$D$9</f>
        <v>0</v>
      </c>
      <c r="B59" s="37"/>
      <c r="C59" s="37"/>
      <c r="D59" s="82"/>
      <c r="E59" s="37"/>
    </row>
    <row r="60" spans="1:5" ht="16.5" thickBot="1">
      <c r="A60" s="15" t="str">
        <f>CONCATENATE("Total Assessed Valuation from November 1, ",E1-2," Abstract")</f>
        <v>Total Assessed Valuation from November 1, 2011 Abstract</v>
      </c>
      <c r="B60" s="37"/>
      <c r="C60" s="37"/>
      <c r="D60" s="37"/>
      <c r="E60" s="71">
        <f>SUM(D55:D59)</f>
        <v>21124528</v>
      </c>
    </row>
    <row r="61" spans="1:5" ht="15.75" thickTop="1">
      <c r="A61" s="37"/>
      <c r="B61" s="37"/>
      <c r="C61" s="37"/>
      <c r="D61" s="37"/>
      <c r="E61" s="37"/>
    </row>
    <row r="62" spans="1:5" ht="15.75">
      <c r="A62" s="33" t="str">
        <f>CONCATENATE("From the County Treasurer's Budget Information - ",E1," Budget Year Estimates:")</f>
        <v>From the County Treasurer's Budget Information - 2013 Budget Year Estimates:</v>
      </c>
      <c r="B62" s="34"/>
      <c r="C62" s="34"/>
      <c r="D62" s="34"/>
      <c r="E62" s="24"/>
    </row>
    <row r="63" spans="1:5" ht="15.75">
      <c r="A63" s="64" t="s">
        <v>144</v>
      </c>
      <c r="B63" s="15"/>
      <c r="C63" s="15"/>
      <c r="D63" s="15"/>
      <c r="E63" s="50"/>
    </row>
    <row r="64" spans="1:5" ht="15.75">
      <c r="A64" s="28" t="str">
        <f>inputPrYr!$D$4</f>
        <v>Franklin County</v>
      </c>
      <c r="B64" s="15"/>
      <c r="C64" s="15"/>
      <c r="D64" s="12">
        <v>2071</v>
      </c>
      <c r="E64" s="25"/>
    </row>
    <row r="65" spans="1:5" ht="15.75">
      <c r="A65" s="28" t="str">
        <f>inputPrYr!$D$6</f>
        <v>Douglas</v>
      </c>
      <c r="B65" s="15"/>
      <c r="C65" s="15"/>
      <c r="D65" s="12">
        <v>5930</v>
      </c>
      <c r="E65" s="25"/>
    </row>
    <row r="66" spans="1:5" ht="15.75">
      <c r="A66" s="28">
        <f>inputPrYr!$D$7</f>
        <v>0</v>
      </c>
      <c r="B66" s="15"/>
      <c r="C66" s="15"/>
      <c r="D66" s="12"/>
      <c r="E66" s="25"/>
    </row>
    <row r="67" spans="1:5" ht="15.75">
      <c r="A67" s="28">
        <f>inputPrYr!$D$8</f>
        <v>0</v>
      </c>
      <c r="B67" s="15"/>
      <c r="C67" s="15"/>
      <c r="D67" s="12"/>
      <c r="E67" s="25"/>
    </row>
    <row r="68" spans="1:5" ht="15.75">
      <c r="A68" s="28">
        <f>inputPrYr!$D$9</f>
        <v>0</v>
      </c>
      <c r="B68" s="15"/>
      <c r="C68" s="15"/>
      <c r="D68" s="12"/>
      <c r="E68" s="25"/>
    </row>
    <row r="69" spans="1:5" ht="16.5" thickBot="1">
      <c r="A69" s="17" t="s">
        <v>143</v>
      </c>
      <c r="B69" s="15"/>
      <c r="C69" s="15"/>
      <c r="D69" s="15"/>
      <c r="E69" s="68">
        <f>SUM(D64:D68)</f>
        <v>8001</v>
      </c>
    </row>
    <row r="70" spans="1:5" ht="16.5" thickTop="1">
      <c r="A70" s="64" t="s">
        <v>145</v>
      </c>
      <c r="B70" s="15"/>
      <c r="C70" s="15"/>
      <c r="D70" s="15"/>
      <c r="E70" s="50"/>
    </row>
    <row r="71" spans="1:5" ht="15.75">
      <c r="A71" s="28" t="str">
        <f>inputPrYr!$D$4</f>
        <v>Franklin County</v>
      </c>
      <c r="B71" s="15"/>
      <c r="C71" s="15"/>
      <c r="D71" s="12">
        <v>86</v>
      </c>
      <c r="E71" s="25"/>
    </row>
    <row r="72" spans="1:5" ht="15.75">
      <c r="A72" s="28" t="str">
        <f>inputPrYr!$D$6</f>
        <v>Douglas</v>
      </c>
      <c r="B72" s="15"/>
      <c r="C72" s="15"/>
      <c r="D72" s="13">
        <v>175</v>
      </c>
      <c r="E72" s="25"/>
    </row>
    <row r="73" spans="1:5" ht="15.75">
      <c r="A73" s="28">
        <f>inputPrYr!$D$7</f>
        <v>0</v>
      </c>
      <c r="B73" s="15"/>
      <c r="C73" s="15"/>
      <c r="D73" s="13"/>
      <c r="E73" s="25"/>
    </row>
    <row r="74" spans="1:5" ht="15.75">
      <c r="A74" s="28">
        <f>inputPrYr!$D$8</f>
        <v>0</v>
      </c>
      <c r="B74" s="15"/>
      <c r="C74" s="15"/>
      <c r="D74" s="13"/>
      <c r="E74" s="25"/>
    </row>
    <row r="75" spans="1:5" ht="15.75">
      <c r="A75" s="28">
        <f>inputPrYr!$D$9</f>
        <v>0</v>
      </c>
      <c r="B75" s="15"/>
      <c r="C75" s="15"/>
      <c r="D75" s="13"/>
      <c r="E75" s="26"/>
    </row>
    <row r="76" spans="1:5" ht="16.5" thickBot="1">
      <c r="A76" s="17" t="s">
        <v>142</v>
      </c>
      <c r="B76" s="15"/>
      <c r="C76" s="15"/>
      <c r="D76" s="15"/>
      <c r="E76" s="68">
        <f>SUM(D71:D75)</f>
        <v>261</v>
      </c>
    </row>
    <row r="77" spans="1:5" ht="16.5" thickTop="1">
      <c r="A77" s="64" t="s">
        <v>141</v>
      </c>
      <c r="B77" s="15"/>
      <c r="C77" s="15"/>
      <c r="D77" s="15"/>
      <c r="E77" s="50"/>
    </row>
    <row r="78" spans="1:5" ht="15.75">
      <c r="A78" s="28" t="str">
        <f>inputPrYr!$D$4</f>
        <v>Franklin County</v>
      </c>
      <c r="B78" s="15"/>
      <c r="C78" s="15"/>
      <c r="D78" s="12">
        <v>78</v>
      </c>
      <c r="E78" s="25"/>
    </row>
    <row r="79" spans="1:5" ht="15.75">
      <c r="A79" s="28" t="str">
        <f>inputPrYr!$D$6</f>
        <v>Douglas</v>
      </c>
      <c r="B79" s="15"/>
      <c r="C79" s="15"/>
      <c r="D79" s="13">
        <v>437</v>
      </c>
      <c r="E79" s="25"/>
    </row>
    <row r="80" spans="1:5" ht="15.75">
      <c r="A80" s="28">
        <f>inputPrYr!$D$7</f>
        <v>0</v>
      </c>
      <c r="B80" s="15"/>
      <c r="C80" s="15"/>
      <c r="D80" s="13"/>
      <c r="E80" s="25"/>
    </row>
    <row r="81" spans="1:5" ht="15.75">
      <c r="A81" s="28">
        <f>inputPrYr!$D$8</f>
        <v>0</v>
      </c>
      <c r="B81" s="15"/>
      <c r="C81" s="15"/>
      <c r="D81" s="13"/>
      <c r="E81" s="25"/>
    </row>
    <row r="82" spans="1:5" ht="15.75">
      <c r="A82" s="28">
        <f>inputPrYr!$D$9</f>
        <v>0</v>
      </c>
      <c r="B82" s="15"/>
      <c r="C82" s="15"/>
      <c r="D82" s="13"/>
      <c r="E82" s="26"/>
    </row>
    <row r="83" spans="1:5" ht="16.5" thickBot="1">
      <c r="A83" s="17" t="s">
        <v>140</v>
      </c>
      <c r="B83" s="15"/>
      <c r="C83" s="15"/>
      <c r="D83" s="15"/>
      <c r="E83" s="68">
        <f>SUM(D78:D82)</f>
        <v>515</v>
      </c>
    </row>
    <row r="84" spans="1:5" ht="16.5" thickTop="1">
      <c r="A84" s="64" t="s">
        <v>240</v>
      </c>
      <c r="B84" s="15"/>
      <c r="C84" s="15"/>
      <c r="D84" s="50"/>
      <c r="E84" s="50"/>
    </row>
    <row r="85" spans="1:5" ht="15.75">
      <c r="A85" s="28" t="str">
        <f>inputPrYr!$D$4</f>
        <v>Franklin County</v>
      </c>
      <c r="B85" s="15"/>
      <c r="C85" s="15"/>
      <c r="D85" s="81"/>
      <c r="E85" s="50"/>
    </row>
    <row r="86" spans="1:5" ht="15.75">
      <c r="A86" s="28" t="str">
        <f>inputPrYr!$D$6</f>
        <v>Douglas</v>
      </c>
      <c r="B86" s="15"/>
      <c r="C86" s="15"/>
      <c r="D86" s="81"/>
      <c r="E86" s="50"/>
    </row>
    <row r="87" spans="1:5" ht="15.75">
      <c r="A87" s="28">
        <f>inputPrYr!$D$7</f>
        <v>0</v>
      </c>
      <c r="B87" s="15"/>
      <c r="C87" s="15"/>
      <c r="D87" s="81"/>
      <c r="E87" s="50"/>
    </row>
    <row r="88" spans="1:5" ht="15.75">
      <c r="A88" s="28">
        <f>inputPrYr!$D$8</f>
        <v>0</v>
      </c>
      <c r="B88" s="15"/>
      <c r="C88" s="15"/>
      <c r="D88" s="81"/>
      <c r="E88" s="50"/>
    </row>
    <row r="89" spans="1:5" ht="15.75">
      <c r="A89" s="28">
        <f>inputPrYr!$D$9</f>
        <v>0</v>
      </c>
      <c r="B89" s="15"/>
      <c r="C89" s="15"/>
      <c r="D89" s="82"/>
      <c r="E89" s="50"/>
    </row>
    <row r="90" spans="1:5" ht="16.5" thickBot="1">
      <c r="A90" s="17" t="s">
        <v>241</v>
      </c>
      <c r="B90" s="15"/>
      <c r="C90" s="15"/>
      <c r="D90" s="50"/>
      <c r="E90" s="68">
        <f>SUM(D85:D89)</f>
        <v>0</v>
      </c>
    </row>
    <row r="91" spans="1:5" ht="16.5" thickTop="1">
      <c r="A91" s="64" t="s">
        <v>169</v>
      </c>
      <c r="B91" s="15"/>
      <c r="C91" s="15"/>
      <c r="D91" s="62"/>
      <c r="E91" s="50"/>
    </row>
    <row r="92" spans="1:5" ht="15.75">
      <c r="A92" s="15"/>
      <c r="B92" s="15"/>
      <c r="C92" s="15"/>
      <c r="D92" s="15"/>
      <c r="E92" s="15"/>
    </row>
    <row r="93" spans="1:5" ht="15.75">
      <c r="A93" s="33" t="s">
        <v>211</v>
      </c>
      <c r="B93" s="35"/>
      <c r="C93" s="16"/>
      <c r="D93" s="15"/>
      <c r="E93" s="15"/>
    </row>
    <row r="94" spans="1:5" ht="15.75">
      <c r="A94" s="83" t="str">
        <f>CONCATENATE("Delinquency Rate for ",E1-3," Uncollected Taxes")</f>
        <v>Delinquency Rate for 2010 Uncollected Taxes</v>
      </c>
      <c r="B94" s="20"/>
      <c r="C94" s="19" t="s">
        <v>25</v>
      </c>
      <c r="D94" s="19" t="s">
        <v>25</v>
      </c>
      <c r="E94" s="52"/>
    </row>
    <row r="95" spans="1:5" ht="15.75">
      <c r="A95" s="84" t="str">
        <f>CONCATENATE("and ",E1-2," Ad Valorem Levied:")</f>
        <v>and 2011 Ad Valorem Levied:</v>
      </c>
      <c r="B95" s="23"/>
      <c r="C95" s="29" t="s">
        <v>212</v>
      </c>
      <c r="D95" s="29" t="s">
        <v>213</v>
      </c>
      <c r="E95" s="52"/>
    </row>
    <row r="96" spans="1:5" ht="15.75">
      <c r="A96" s="28" t="str">
        <f>inputPrYr!$D$4</f>
        <v>Franklin County</v>
      </c>
      <c r="B96" s="22"/>
      <c r="C96" s="92"/>
      <c r="D96" s="62"/>
      <c r="E96" s="52"/>
    </row>
    <row r="97" spans="1:5" ht="15.75">
      <c r="A97" s="28" t="str">
        <f>inputPrYr!$D$6</f>
        <v>Douglas</v>
      </c>
      <c r="B97" s="22"/>
      <c r="C97" s="93"/>
      <c r="D97" s="94"/>
      <c r="E97" s="25"/>
    </row>
    <row r="98" spans="1:5" ht="15.75">
      <c r="A98" s="28">
        <f>inputPrYr!$D$7</f>
        <v>0</v>
      </c>
      <c r="B98" s="22"/>
      <c r="C98" s="93"/>
      <c r="D98" s="94"/>
      <c r="E98" s="25"/>
    </row>
    <row r="99" spans="1:5" ht="15.75">
      <c r="A99" s="28">
        <f>inputPrYr!$D$8</f>
        <v>0</v>
      </c>
      <c r="B99" s="22"/>
      <c r="C99" s="93"/>
      <c r="D99" s="94"/>
      <c r="E99" s="25"/>
    </row>
    <row r="100" spans="1:5" ht="15.75">
      <c r="A100" s="28">
        <f>inputPrYr!$D$9</f>
        <v>0</v>
      </c>
      <c r="B100" s="22"/>
      <c r="C100" s="93"/>
      <c r="D100" s="94"/>
      <c r="E100" s="25"/>
    </row>
    <row r="101" spans="1:5" ht="16.5" thickBot="1">
      <c r="A101" s="30" t="s">
        <v>8</v>
      </c>
      <c r="B101" s="22"/>
      <c r="C101" s="95">
        <f>SUM(C96:C100)</f>
        <v>0</v>
      </c>
      <c r="D101" s="95">
        <f>SUM(D96:D100)</f>
        <v>0</v>
      </c>
      <c r="E101" s="25"/>
    </row>
    <row r="102" spans="1:5" ht="17.25" thickTop="1" thickBot="1">
      <c r="A102" s="30" t="s">
        <v>146</v>
      </c>
      <c r="B102" s="21"/>
      <c r="C102" s="15"/>
      <c r="D102" s="15"/>
      <c r="E102" s="97">
        <f>IF(C101=0,0,C101/D101)</f>
        <v>0</v>
      </c>
    </row>
    <row r="103" spans="1:5" ht="16.5" thickTop="1">
      <c r="A103" s="30" t="s">
        <v>204</v>
      </c>
      <c r="B103" s="30"/>
      <c r="C103" s="21"/>
      <c r="D103" s="21"/>
      <c r="E103" s="448"/>
    </row>
    <row r="104" spans="1:5" ht="15.75">
      <c r="A104" s="65" t="s">
        <v>198</v>
      </c>
      <c r="B104" s="66"/>
      <c r="C104" s="66"/>
      <c r="D104" s="66"/>
      <c r="E104" s="66"/>
    </row>
    <row r="105" spans="1:5">
      <c r="A105" s="86"/>
      <c r="B105" s="86"/>
      <c r="C105" s="86"/>
      <c r="D105" s="86"/>
      <c r="E105" s="86"/>
    </row>
    <row r="106" spans="1:5" ht="15.75">
      <c r="A106" s="621" t="str">
        <f>CONCATENATE("From the ",E1-2," Budget Certificate Page")</f>
        <v>From the 2011 Budget Certificate Page</v>
      </c>
      <c r="B106" s="622"/>
      <c r="C106" s="86"/>
      <c r="D106" s="86"/>
      <c r="E106" s="86"/>
    </row>
    <row r="107" spans="1:5" ht="15.75">
      <c r="A107" s="87"/>
      <c r="B107" s="87" t="str">
        <f>CONCATENATE("",E1-2," Expenditure Amounts")</f>
        <v>2011 Expenditure Amounts</v>
      </c>
      <c r="C107" s="623" t="str">
        <f>CONCATENATE("Note: If the ",E1-2," budget was amended, then the")</f>
        <v>Note: If the 2011 budget was amended, then the</v>
      </c>
      <c r="D107" s="624"/>
      <c r="E107" s="624"/>
    </row>
    <row r="108" spans="1:5" ht="15.75">
      <c r="A108" s="88" t="s">
        <v>216</v>
      </c>
      <c r="B108" s="88" t="s">
        <v>217</v>
      </c>
      <c r="C108" s="85" t="s">
        <v>218</v>
      </c>
      <c r="D108" s="89"/>
      <c r="E108" s="89"/>
    </row>
    <row r="109" spans="1:5" ht="15.75">
      <c r="A109" s="90" t="str">
        <f>inputPrYr!B24</f>
        <v>General</v>
      </c>
      <c r="B109" s="62">
        <v>194031</v>
      </c>
      <c r="C109" s="85" t="s">
        <v>219</v>
      </c>
      <c r="D109" s="91"/>
      <c r="E109" s="91"/>
    </row>
    <row r="110" spans="1:5" ht="15.75">
      <c r="A110" s="90" t="str">
        <f>inputPrYr!B25</f>
        <v>Debt Service</v>
      </c>
      <c r="B110" s="62"/>
      <c r="C110" s="85"/>
      <c r="D110" s="91"/>
      <c r="E110" s="91"/>
    </row>
    <row r="111" spans="1:5" ht="15.75">
      <c r="A111" s="90">
        <f>inputPrYr!B27</f>
        <v>0</v>
      </c>
      <c r="B111" s="62"/>
      <c r="C111" s="86"/>
      <c r="D111" s="86"/>
      <c r="E111" s="86"/>
    </row>
    <row r="112" spans="1:5" ht="15.75">
      <c r="A112" s="90">
        <f>inputPrYr!B28</f>
        <v>0</v>
      </c>
      <c r="B112" s="62"/>
      <c r="C112" s="86"/>
      <c r="D112" s="86"/>
      <c r="E112" s="86"/>
    </row>
    <row r="113" spans="1:5" ht="15.75">
      <c r="A113" s="90">
        <f>inputPrYr!B31</f>
        <v>0</v>
      </c>
      <c r="B113" s="62"/>
      <c r="C113" s="86"/>
      <c r="D113" s="86"/>
      <c r="E113" s="86"/>
    </row>
    <row r="114" spans="1:5" ht="15.75">
      <c r="A114" s="90">
        <f>inputPrYr!B32</f>
        <v>0</v>
      </c>
      <c r="B114" s="62"/>
      <c r="C114" s="86"/>
      <c r="D114" s="86"/>
      <c r="E114" s="86"/>
    </row>
  </sheetData>
  <sheetProtection sheet="1" objects="1" scenarios="1"/>
  <mergeCells count="4">
    <mergeCell ref="A3:E3"/>
    <mergeCell ref="A45:B45"/>
    <mergeCell ref="A106:B106"/>
    <mergeCell ref="C107:E107"/>
  </mergeCells>
  <phoneticPr fontId="15" type="noConversion"/>
  <pageMargins left="0.75" right="0.75" top="1" bottom="1" header="0.5" footer="0.5"/>
  <pageSetup scale="38"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9" sqref="B9"/>
    </sheetView>
  </sheetViews>
  <sheetFormatPr defaultRowHeight="15"/>
  <cols>
    <col min="1" max="1" width="13.77734375" customWidth="1"/>
    <col min="2" max="2" width="16.109375" customWidth="1"/>
  </cols>
  <sheetData>
    <row r="2" spans="1:6" ht="54" customHeight="1">
      <c r="A2" s="625" t="s">
        <v>752</v>
      </c>
      <c r="B2" s="626"/>
      <c r="C2" s="626"/>
      <c r="D2" s="626"/>
      <c r="E2" s="626"/>
      <c r="F2" s="626"/>
    </row>
    <row r="4" spans="1:6" ht="15.75">
      <c r="A4" s="396"/>
      <c r="B4" s="396"/>
      <c r="C4" s="396"/>
      <c r="D4" s="397"/>
      <c r="E4" s="396"/>
      <c r="F4" s="396"/>
    </row>
    <row r="5" spans="1:6" ht="15.75">
      <c r="A5" s="398" t="s">
        <v>334</v>
      </c>
      <c r="B5" s="399" t="s">
        <v>762</v>
      </c>
      <c r="C5" s="400"/>
      <c r="D5" s="398" t="s">
        <v>742</v>
      </c>
      <c r="E5" s="396"/>
      <c r="F5" s="396"/>
    </row>
    <row r="6" spans="1:6" ht="15.75">
      <c r="A6" s="398"/>
      <c r="B6" s="401"/>
      <c r="C6" s="402"/>
      <c r="D6" s="398" t="s">
        <v>741</v>
      </c>
      <c r="E6" s="396"/>
      <c r="F6" s="396"/>
    </row>
    <row r="7" spans="1:6" ht="15.75">
      <c r="A7" s="398" t="s">
        <v>335</v>
      </c>
      <c r="B7" s="399" t="s">
        <v>750</v>
      </c>
      <c r="C7" s="403"/>
      <c r="D7" s="398"/>
      <c r="E7" s="396"/>
      <c r="F7" s="396"/>
    </row>
    <row r="8" spans="1:6" ht="15.75">
      <c r="A8" s="398"/>
      <c r="B8" s="398"/>
      <c r="C8" s="398"/>
      <c r="D8" s="398"/>
      <c r="E8" s="396"/>
      <c r="F8" s="396"/>
    </row>
    <row r="9" spans="1:6" ht="15.75">
      <c r="A9" s="398" t="s">
        <v>336</v>
      </c>
      <c r="B9" s="404" t="s">
        <v>751</v>
      </c>
      <c r="C9" s="404"/>
      <c r="D9" s="404"/>
      <c r="E9" s="405"/>
      <c r="F9" s="396"/>
    </row>
    <row r="10" spans="1:6" ht="15.75">
      <c r="A10" s="398"/>
      <c r="B10" s="398"/>
      <c r="C10" s="398"/>
      <c r="D10" s="398"/>
      <c r="E10" s="396"/>
      <c r="F10" s="396"/>
    </row>
    <row r="11" spans="1:6" ht="15.75">
      <c r="A11" s="398"/>
      <c r="B11" s="398"/>
      <c r="C11" s="398"/>
      <c r="D11" s="398"/>
      <c r="E11" s="396"/>
      <c r="F11" s="396"/>
    </row>
    <row r="12" spans="1:6" ht="15.75">
      <c r="A12" s="398" t="s">
        <v>337</v>
      </c>
      <c r="B12" s="404" t="s">
        <v>743</v>
      </c>
      <c r="C12" s="404"/>
      <c r="D12" s="404"/>
      <c r="E12" s="405"/>
      <c r="F12" s="396"/>
    </row>
    <row r="15" spans="1:6" ht="15.75">
      <c r="A15" s="627" t="s">
        <v>338</v>
      </c>
      <c r="B15" s="627"/>
      <c r="C15" s="398"/>
      <c r="D15" s="398"/>
      <c r="E15" s="398"/>
      <c r="F15" s="396"/>
    </row>
    <row r="16" spans="1:6" ht="15.75">
      <c r="A16" s="398"/>
      <c r="B16" s="398"/>
      <c r="C16" s="398"/>
      <c r="D16" s="398"/>
      <c r="E16" s="398"/>
      <c r="F16" s="396"/>
    </row>
    <row r="17" spans="1:5" ht="15.75">
      <c r="A17" s="398" t="s">
        <v>334</v>
      </c>
      <c r="B17" s="401" t="s">
        <v>339</v>
      </c>
      <c r="C17" s="398"/>
      <c r="D17" s="398"/>
      <c r="E17" s="398"/>
    </row>
    <row r="18" spans="1:5" ht="15.75">
      <c r="A18" s="398"/>
      <c r="B18" s="398"/>
      <c r="C18" s="398"/>
      <c r="D18" s="398"/>
      <c r="E18" s="398"/>
    </row>
    <row r="19" spans="1:5" ht="15.75">
      <c r="A19" s="398" t="s">
        <v>335</v>
      </c>
      <c r="B19" s="398" t="s">
        <v>340</v>
      </c>
      <c r="C19" s="398"/>
      <c r="D19" s="398"/>
      <c r="E19" s="398"/>
    </row>
    <row r="20" spans="1:5" ht="15.75">
      <c r="A20" s="398"/>
      <c r="B20" s="398"/>
      <c r="C20" s="398"/>
      <c r="D20" s="398"/>
      <c r="E20" s="398"/>
    </row>
    <row r="21" spans="1:5" ht="15.75">
      <c r="A21" s="398" t="s">
        <v>336</v>
      </c>
      <c r="B21" s="398" t="s">
        <v>341</v>
      </c>
      <c r="C21" s="398"/>
      <c r="D21" s="398"/>
      <c r="E21" s="398"/>
    </row>
    <row r="22" spans="1:5" ht="15.75">
      <c r="A22" s="398"/>
      <c r="B22" s="398"/>
      <c r="C22" s="398"/>
      <c r="D22" s="398"/>
      <c r="E22" s="398"/>
    </row>
    <row r="23" spans="1:5" ht="15.75">
      <c r="A23" s="398" t="s">
        <v>337</v>
      </c>
      <c r="B23" s="398" t="s">
        <v>342</v>
      </c>
      <c r="C23" s="398"/>
      <c r="D23" s="398"/>
      <c r="E23" s="398"/>
    </row>
  </sheetData>
  <sheetProtection sheet="1" objects="1" scenarios="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6"/>
  <sheetViews>
    <sheetView tabSelected="1" topLeftCell="A10" workbookViewId="0">
      <selection activeCell="G22" sqref="G22"/>
    </sheetView>
  </sheetViews>
  <sheetFormatPr defaultRowHeight="15.75"/>
  <cols>
    <col min="1" max="1" width="10.77734375" style="142" customWidth="1"/>
    <col min="2" max="3" width="9.77734375" style="142" customWidth="1"/>
    <col min="4" max="4" width="10.77734375" style="142" customWidth="1"/>
    <col min="5" max="5" width="15.77734375" style="142" customWidth="1"/>
    <col min="6" max="6" width="13" style="142" customWidth="1"/>
    <col min="7" max="7" width="9.77734375" style="142" customWidth="1"/>
    <col min="8" max="8" width="2.6640625" style="142" customWidth="1"/>
    <col min="9" max="9" width="3.21875" style="142" customWidth="1"/>
    <col min="10" max="16384" width="8.88671875" style="142"/>
  </cols>
  <sheetData>
    <row r="1" spans="1:8">
      <c r="A1" s="175"/>
      <c r="B1" s="175"/>
      <c r="C1" s="175"/>
      <c r="D1" s="175"/>
      <c r="E1" s="175"/>
      <c r="F1" s="175"/>
      <c r="G1" s="175"/>
    </row>
    <row r="2" spans="1:8">
      <c r="A2" s="631" t="s">
        <v>71</v>
      </c>
      <c r="B2" s="631"/>
      <c r="C2" s="631"/>
      <c r="D2" s="631"/>
      <c r="E2" s="631"/>
      <c r="F2" s="631"/>
      <c r="G2" s="631"/>
    </row>
    <row r="3" spans="1:8">
      <c r="A3" s="100"/>
      <c r="B3" s="100"/>
      <c r="C3" s="100"/>
      <c r="D3" s="100"/>
      <c r="E3" s="100"/>
      <c r="F3" s="100"/>
      <c r="G3" s="110">
        <f>inputPrYr!D11</f>
        <v>2013</v>
      </c>
    </row>
    <row r="4" spans="1:8">
      <c r="A4" s="634" t="str">
        <f>CONCATENATE("To the Clerk of ",inputPrYr!D4,", State of Kansas")</f>
        <v>To the Clerk of Franklin County, State of Kansas</v>
      </c>
      <c r="B4" s="634"/>
      <c r="C4" s="634"/>
      <c r="D4" s="634"/>
      <c r="E4" s="634"/>
      <c r="F4" s="634"/>
      <c r="G4" s="634"/>
    </row>
    <row r="5" spans="1:8">
      <c r="A5" s="144" t="s">
        <v>171</v>
      </c>
      <c r="B5" s="110"/>
      <c r="C5" s="110"/>
      <c r="D5" s="110"/>
      <c r="E5" s="110"/>
      <c r="F5" s="110"/>
      <c r="G5" s="110"/>
    </row>
    <row r="6" spans="1:8">
      <c r="A6" s="614" t="str">
        <f>inputPrYr!D3</f>
        <v>Tauy Watershed</v>
      </c>
      <c r="B6" s="614"/>
      <c r="C6" s="614"/>
      <c r="D6" s="614"/>
      <c r="E6" s="614"/>
      <c r="F6" s="614"/>
      <c r="G6" s="614"/>
    </row>
    <row r="7" spans="1:8">
      <c r="A7" s="144" t="s">
        <v>9</v>
      </c>
      <c r="B7" s="110"/>
      <c r="C7" s="110"/>
      <c r="D7" s="110"/>
      <c r="E7" s="110"/>
      <c r="F7" s="110"/>
      <c r="G7" s="110"/>
    </row>
    <row r="8" spans="1:8">
      <c r="A8" s="144" t="s">
        <v>10</v>
      </c>
      <c r="B8" s="110"/>
      <c r="C8" s="110"/>
      <c r="D8" s="110"/>
      <c r="E8" s="110"/>
      <c r="F8" s="110"/>
      <c r="G8" s="110"/>
    </row>
    <row r="9" spans="1:8">
      <c r="A9" s="144" t="str">
        <f>CONCATENATE("as the maximum expenditures for the various funds for the year ",G3,"; and")</f>
        <v>as the maximum expenditures for the various funds for the year 2013; and</v>
      </c>
      <c r="B9" s="110"/>
      <c r="C9" s="110"/>
      <c r="D9" s="110"/>
      <c r="E9" s="110"/>
      <c r="F9" s="110"/>
      <c r="G9" s="110"/>
    </row>
    <row r="10" spans="1:8">
      <c r="A10" s="144" t="str">
        <f>CONCATENATE("(3) the Amount(s) of  ",G3-1," Ad Valorem Tax are within statutory limitations for the ",G3," Budget.")</f>
        <v>(3) the Amount(s) of  2012 Ad Valorem Tax are within statutory limitations for the 2013 Budget.</v>
      </c>
      <c r="B10" s="110"/>
      <c r="C10" s="110"/>
      <c r="D10" s="110"/>
      <c r="E10" s="110"/>
      <c r="F10" s="110"/>
      <c r="G10" s="110"/>
    </row>
    <row r="11" spans="1:8">
      <c r="A11" s="99"/>
      <c r="B11" s="100"/>
      <c r="C11" s="100"/>
      <c r="D11" s="145"/>
      <c r="E11" s="177"/>
      <c r="F11" s="177"/>
      <c r="G11" s="177"/>
    </row>
    <row r="12" spans="1:8">
      <c r="A12" s="100"/>
      <c r="B12" s="100"/>
      <c r="C12" s="100"/>
      <c r="D12" s="100"/>
      <c r="E12" s="635" t="str">
        <f>CONCATENATE("",G3," Adopted Budget")</f>
        <v>2013 Adopted Budget</v>
      </c>
      <c r="F12" s="636"/>
      <c r="G12" s="637"/>
    </row>
    <row r="13" spans="1:8">
      <c r="A13" s="99"/>
      <c r="B13" s="100"/>
      <c r="C13" s="100"/>
      <c r="D13" s="127"/>
      <c r="E13" s="202" t="s">
        <v>11</v>
      </c>
      <c r="F13" s="632" t="str">
        <f>CONCATENATE("Amount of  ",G3-1," Ad Valorem Tax")</f>
        <v>Amount of  2012 Ad Valorem Tax</v>
      </c>
      <c r="G13" s="203" t="s">
        <v>12</v>
      </c>
      <c r="H13" s="204"/>
    </row>
    <row r="14" spans="1:8">
      <c r="A14" s="100"/>
      <c r="B14" s="100"/>
      <c r="C14" s="100"/>
      <c r="D14" s="205" t="s">
        <v>13</v>
      </c>
      <c r="E14" s="150" t="s">
        <v>217</v>
      </c>
      <c r="F14" s="633"/>
      <c r="G14" s="203" t="s">
        <v>14</v>
      </c>
    </row>
    <row r="15" spans="1:8">
      <c r="A15" s="101" t="s">
        <v>15</v>
      </c>
      <c r="B15" s="100"/>
      <c r="C15" s="100"/>
      <c r="D15" s="150" t="s">
        <v>16</v>
      </c>
      <c r="E15" s="150" t="s">
        <v>580</v>
      </c>
      <c r="F15" s="633"/>
      <c r="G15" s="203" t="s">
        <v>18</v>
      </c>
    </row>
    <row r="16" spans="1:8" ht="4.5" customHeight="1">
      <c r="A16" s="177"/>
      <c r="B16" s="177"/>
      <c r="C16" s="177"/>
      <c r="D16" s="206"/>
      <c r="E16" s="206"/>
      <c r="F16" s="207"/>
      <c r="G16" s="207"/>
    </row>
    <row r="17" spans="1:7">
      <c r="A17" s="208" t="str">
        <f>CONCATENATE("Computation to Determine Limit for ",G3,"")</f>
        <v>Computation to Determine Limit for 2013</v>
      </c>
      <c r="B17" s="177"/>
      <c r="C17" s="177"/>
      <c r="D17" s="209">
        <v>2</v>
      </c>
      <c r="E17" s="210"/>
      <c r="F17" s="210"/>
      <c r="G17" s="211"/>
    </row>
    <row r="18" spans="1:7">
      <c r="A18" s="212" t="s">
        <v>139</v>
      </c>
      <c r="B18" s="177"/>
      <c r="C18" s="177"/>
      <c r="D18" s="153">
        <v>3</v>
      </c>
      <c r="E18" s="210"/>
      <c r="F18" s="210"/>
      <c r="G18" s="213"/>
    </row>
    <row r="19" spans="1:7">
      <c r="A19" s="212" t="s">
        <v>136</v>
      </c>
      <c r="B19" s="177"/>
      <c r="C19" s="177"/>
      <c r="D19" s="153">
        <v>4</v>
      </c>
      <c r="E19" s="210"/>
      <c r="F19" s="210"/>
      <c r="G19" s="213"/>
    </row>
    <row r="20" spans="1:7">
      <c r="A20" s="208" t="s">
        <v>135</v>
      </c>
      <c r="B20" s="177"/>
      <c r="C20" s="177"/>
      <c r="D20" s="153">
        <v>5</v>
      </c>
      <c r="E20" s="210"/>
      <c r="F20" s="210"/>
      <c r="G20" s="213"/>
    </row>
    <row r="21" spans="1:7">
      <c r="A21" s="604" t="s">
        <v>19</v>
      </c>
      <c r="B21" s="214"/>
      <c r="C21" s="605" t="s">
        <v>20</v>
      </c>
      <c r="D21" s="209"/>
      <c r="E21" s="215"/>
      <c r="F21" s="127"/>
      <c r="G21" s="131"/>
    </row>
    <row r="22" spans="1:7">
      <c r="A22" s="216" t="s">
        <v>5</v>
      </c>
      <c r="B22" s="214"/>
      <c r="C22" s="217" t="str">
        <f>inputPrYr!C24</f>
        <v>24-1219</v>
      </c>
      <c r="D22" s="190">
        <v>6</v>
      </c>
      <c r="E22" s="218">
        <f>IF(gen!$E$61&lt;&gt;0,gen!$E$61,"  ")</f>
        <v>240404</v>
      </c>
      <c r="F22" s="218">
        <f>IF(gen!$E$68&lt;&gt;0,gen!$E$68,"  ")</f>
        <v>74866</v>
      </c>
      <c r="G22" s="219">
        <v>3.3839999999999999</v>
      </c>
    </row>
    <row r="23" spans="1:7">
      <c r="A23" s="216"/>
      <c r="B23" s="214"/>
      <c r="C23" s="217"/>
      <c r="D23" s="190" t="str">
        <f>IF('debt service'!C63&gt;0,'debt service'!C63,"")</f>
        <v/>
      </c>
      <c r="E23" s="157" t="str">
        <f>IF('debt service'!$E$54&lt;&gt;0,'debt service'!$E$54,"  ")</f>
        <v xml:space="preserve">  </v>
      </c>
      <c r="F23" s="157" t="str">
        <f>IF('debt service'!$E$61&lt;&gt;0,'debt service'!$E$61,"  ")</f>
        <v xml:space="preserve">  </v>
      </c>
      <c r="G23" s="156" t="str">
        <f>IF(AND('debt service'!E61=0,$F$39&gt;=0)," ",IF(AND(F23&gt;0,$F$39=0)," ",IF(AND(F23&gt;0,$F$39&gt;0),ROUND(F23/$F$39*1000,3))))</f>
        <v xml:space="preserve"> </v>
      </c>
    </row>
    <row r="24" spans="1:7">
      <c r="A24" s="220" t="str">
        <f>IF(inputPrYr!$B$27&gt;"  ",inputPrYr!$B$27,"  ")</f>
        <v xml:space="preserve">  </v>
      </c>
      <c r="B24" s="214"/>
      <c r="C24" s="217" t="str">
        <f>IF(inputPrYr!C27&gt;0,inputPrYr!C27,"  ")</f>
        <v xml:space="preserve">  </v>
      </c>
      <c r="D24" s="190" t="str">
        <f>IF(levypage8!C76&gt;0,levypage8!C76," ")</f>
        <v xml:space="preserve"> </v>
      </c>
      <c r="E24" s="157" t="str">
        <f>IF(levypage8!$E$31&lt;&gt;0,levypage8!$E$31,"  ")</f>
        <v xml:space="preserve">  </v>
      </c>
      <c r="F24" s="157" t="str">
        <f>IF(levypage8!$E$38&lt;&gt;0,levypage8!$E$38,"  ")</f>
        <v xml:space="preserve">  </v>
      </c>
      <c r="G24" s="156" t="str">
        <f>IF(AND(levypage8!E38=0,$F$39&gt;=0)," ",IF(AND(F24&gt;0,$F$39=0)," ",IF(AND(F24&gt;0,$F$39&gt;0),ROUND(F24/$F$39*1000,3))))</f>
        <v xml:space="preserve"> </v>
      </c>
    </row>
    <row r="25" spans="1:7">
      <c r="A25" s="220" t="str">
        <f>IF(inputPrYr!$B$28&gt;"  ",inputPrYr!$B$28,"  ")</f>
        <v xml:space="preserve">  </v>
      </c>
      <c r="B25" s="214"/>
      <c r="C25" s="217" t="str">
        <f>IF(inputPrYr!C28&gt;0,inputPrYr!C28,"  ")</f>
        <v xml:space="preserve">  </v>
      </c>
      <c r="D25" s="190" t="str">
        <f>IF(levypage8!C76&gt;0,levypage8!C76," ")</f>
        <v xml:space="preserve"> </v>
      </c>
      <c r="E25" s="157" t="str">
        <f>IF(levypage8!$E$67&lt;&gt;0,levypage8!$E$67,"  ")</f>
        <v xml:space="preserve">  </v>
      </c>
      <c r="F25" s="157" t="str">
        <f>IF(levypage8!$E$74&lt;&gt;0,levypage8!$E$74,"  ")</f>
        <v xml:space="preserve">  </v>
      </c>
      <c r="G25" s="156" t="str">
        <f>IF(AND(levypage8!E74=0,$F$39&gt;=0)," ",IF(AND(F25&gt;0,$F$39=0)," ",IF(AND(F25&gt;0,$F$39&gt;0),ROUND(F25/$F$39*1000,3))))</f>
        <v xml:space="preserve"> </v>
      </c>
    </row>
    <row r="26" spans="1:7">
      <c r="A26" s="220" t="str">
        <f>IF(inputPrYr!$B$31&gt;"  ",inputPrYr!$B$31,"  ")</f>
        <v xml:space="preserve">  </v>
      </c>
      <c r="B26" s="221"/>
      <c r="C26" s="222"/>
      <c r="D26" s="223" t="str">
        <f>IF(nolevypage9!C71&gt;0,nolevypage9!C71," ")</f>
        <v xml:space="preserve"> </v>
      </c>
      <c r="E26" s="157" t="str">
        <f>IF(nolevypage9!$E$31&lt;&gt;0,nolevypage9!$E$31,"  ")</f>
        <v xml:space="preserve">  </v>
      </c>
      <c r="F26" s="155"/>
      <c r="G26" s="156"/>
    </row>
    <row r="27" spans="1:7">
      <c r="A27" s="158" t="str">
        <f>IF(inputPrYr!$B$32&gt;"  ",inputPrYr!$B$32,"  ")</f>
        <v xml:space="preserve">  </v>
      </c>
      <c r="B27" s="224"/>
      <c r="C27" s="222"/>
      <c r="D27" s="223" t="str">
        <f>IF(nolevypage9!C71&gt;0,nolevypage9!C71," ")</f>
        <v xml:space="preserve"> </v>
      </c>
      <c r="E27" s="157" t="str">
        <f>IF(nolevypage9!$E$65&lt;&gt;0,nolevypage9!$E$65,"  ")</f>
        <v xml:space="preserve">  </v>
      </c>
      <c r="F27" s="155"/>
      <c r="G27" s="156"/>
    </row>
    <row r="28" spans="1:7">
      <c r="A28" s="158" t="str">
        <f>IF((inputPrYr!$B$35&gt;" "),(NonBud!$A$3),"")</f>
        <v/>
      </c>
      <c r="B28" s="224"/>
      <c r="C28" s="203"/>
      <c r="D28" s="190" t="str">
        <f>IF(NonBud!F33&gt;0,NonBud!F33,"")</f>
        <v/>
      </c>
      <c r="E28" s="225"/>
      <c r="F28" s="226"/>
      <c r="G28" s="161"/>
    </row>
    <row r="29" spans="1:7" ht="16.5" thickBot="1">
      <c r="A29" s="227" t="s">
        <v>126</v>
      </c>
      <c r="B29" s="221"/>
      <c r="C29" s="214"/>
      <c r="D29" s="228" t="s">
        <v>21</v>
      </c>
      <c r="E29" s="229">
        <f>SUM(E22:E27)</f>
        <v>240404</v>
      </c>
      <c r="F29" s="170">
        <f>SUM(F22:F27)</f>
        <v>74866</v>
      </c>
      <c r="G29" s="230">
        <v>3.3839999999999999</v>
      </c>
    </row>
    <row r="30" spans="1:7" ht="16.5" thickTop="1">
      <c r="A30" s="216" t="s">
        <v>199</v>
      </c>
      <c r="B30" s="221"/>
      <c r="C30" s="214"/>
      <c r="D30" s="231">
        <f>summ!E25</f>
        <v>7</v>
      </c>
      <c r="E30" s="232" t="s">
        <v>201</v>
      </c>
      <c r="F30" s="233" t="str">
        <f>IF(F29&gt;computation!J34,"Yes","No")</f>
        <v>No</v>
      </c>
      <c r="G30" s="100"/>
    </row>
    <row r="31" spans="1:7">
      <c r="A31" s="216" t="s">
        <v>222</v>
      </c>
      <c r="B31" s="221"/>
      <c r="C31" s="214"/>
      <c r="D31" s="231" t="str">
        <f>IF(Nhood!C35&gt;0,Nhood!C35,"")</f>
        <v/>
      </c>
      <c r="E31" s="100"/>
      <c r="F31" s="100"/>
      <c r="G31" s="99" t="s">
        <v>22</v>
      </c>
    </row>
    <row r="32" spans="1:7">
      <c r="A32" s="216" t="s">
        <v>200</v>
      </c>
      <c r="B32" s="221"/>
      <c r="C32" s="214"/>
      <c r="D32" s="231" t="str">
        <f>IF(Resolution!E45&gt;0,Resolution!E45,"")</f>
        <v/>
      </c>
      <c r="E32" s="606"/>
      <c r="F32" s="234"/>
      <c r="G32" s="99"/>
    </row>
    <row r="33" spans="1:7">
      <c r="A33" s="99" t="s">
        <v>22</v>
      </c>
      <c r="B33" s="99" t="s">
        <v>22</v>
      </c>
      <c r="C33" s="99" t="s">
        <v>22</v>
      </c>
      <c r="D33" s="235" t="s">
        <v>147</v>
      </c>
      <c r="E33" s="127"/>
      <c r="F33" s="640" t="s">
        <v>127</v>
      </c>
      <c r="G33" s="637"/>
    </row>
    <row r="34" spans="1:7">
      <c r="A34" s="100" t="s">
        <v>332</v>
      </c>
      <c r="B34" s="100"/>
      <c r="C34" s="99" t="s">
        <v>22</v>
      </c>
      <c r="D34" s="216" t="str">
        <f>inputPrYr!D4</f>
        <v>Franklin County</v>
      </c>
      <c r="E34" s="221"/>
      <c r="F34" s="641">
        <v>6035292</v>
      </c>
      <c r="G34" s="642"/>
    </row>
    <row r="35" spans="1:7">
      <c r="A35" s="236" t="s">
        <v>743</v>
      </c>
      <c r="B35" s="236"/>
      <c r="C35" s="99" t="s">
        <v>22</v>
      </c>
      <c r="D35" s="216" t="str">
        <f>inputPrYr!D6</f>
        <v>Douglas</v>
      </c>
      <c r="E35" s="221"/>
      <c r="F35" s="641">
        <v>16092458</v>
      </c>
      <c r="G35" s="642"/>
    </row>
    <row r="36" spans="1:7">
      <c r="A36" s="237"/>
      <c r="B36" s="237"/>
      <c r="C36" s="99" t="s">
        <v>22</v>
      </c>
      <c r="D36" s="216">
        <f>inputPrYr!D7</f>
        <v>0</v>
      </c>
      <c r="E36" s="221"/>
      <c r="F36" s="641"/>
      <c r="G36" s="642"/>
    </row>
    <row r="37" spans="1:7">
      <c r="A37" s="103" t="s">
        <v>333</v>
      </c>
      <c r="B37" s="210"/>
      <c r="C37" s="99" t="s">
        <v>22</v>
      </c>
      <c r="D37" s="216">
        <f>inputPrYr!D8</f>
        <v>0</v>
      </c>
      <c r="E37" s="221"/>
      <c r="F37" s="641"/>
      <c r="G37" s="642"/>
    </row>
    <row r="38" spans="1:7">
      <c r="A38" s="236" t="s">
        <v>744</v>
      </c>
      <c r="B38" s="236"/>
      <c r="C38" s="99" t="s">
        <v>22</v>
      </c>
      <c r="D38" s="216">
        <f>inputPrYr!D9</f>
        <v>0</v>
      </c>
      <c r="E38" s="221"/>
      <c r="F38" s="641"/>
      <c r="G38" s="642"/>
    </row>
    <row r="39" spans="1:7">
      <c r="A39" s="237" t="s">
        <v>745</v>
      </c>
      <c r="B39" s="237"/>
      <c r="C39" s="99" t="s">
        <v>22</v>
      </c>
      <c r="D39" s="216" t="s">
        <v>148</v>
      </c>
      <c r="E39" s="221"/>
      <c r="F39" s="643">
        <f>SUM(F34:F38)</f>
        <v>22127750</v>
      </c>
      <c r="G39" s="644"/>
    </row>
    <row r="40" spans="1:7">
      <c r="A40" s="237"/>
      <c r="B40" s="237"/>
      <c r="C40" s="99" t="s">
        <v>22</v>
      </c>
      <c r="D40" s="99" t="s">
        <v>22</v>
      </c>
      <c r="E40" s="107"/>
      <c r="F40" s="640" t="str">
        <f>CONCATENATE("November 1, ",G3-1," Valuation")</f>
        <v>November 1, 2012 Valuation</v>
      </c>
      <c r="G40" s="642"/>
    </row>
    <row r="41" spans="1:7">
      <c r="A41" s="99" t="s">
        <v>22</v>
      </c>
      <c r="B41" s="99" t="s">
        <v>22</v>
      </c>
      <c r="C41" s="99"/>
      <c r="D41" s="99"/>
      <c r="E41" s="100"/>
      <c r="F41" s="100"/>
      <c r="G41" s="100"/>
    </row>
    <row r="42" spans="1:7">
      <c r="A42" s="99" t="s">
        <v>22</v>
      </c>
      <c r="B42" s="99" t="s">
        <v>22</v>
      </c>
      <c r="C42" s="107"/>
      <c r="D42" s="394"/>
      <c r="E42" s="394"/>
      <c r="F42" s="176"/>
      <c r="G42" s="176"/>
    </row>
    <row r="43" spans="1:7">
      <c r="A43" s="99" t="s">
        <v>22</v>
      </c>
      <c r="B43" s="99" t="s">
        <v>22</v>
      </c>
      <c r="C43" s="99"/>
      <c r="D43" s="100"/>
      <c r="E43" s="100"/>
      <c r="F43" s="140"/>
      <c r="G43" s="140"/>
    </row>
    <row r="44" spans="1:7">
      <c r="A44" s="99" t="s">
        <v>22</v>
      </c>
      <c r="B44" s="99" t="s">
        <v>22</v>
      </c>
      <c r="C44" s="107"/>
      <c r="D44" s="127"/>
      <c r="E44" s="127"/>
      <c r="F44" s="176"/>
      <c r="G44" s="176"/>
    </row>
    <row r="45" spans="1:7">
      <c r="A45" s="99" t="s">
        <v>22</v>
      </c>
      <c r="B45" s="609" t="s">
        <v>22</v>
      </c>
      <c r="C45" s="107"/>
      <c r="D45" s="107"/>
      <c r="E45" s="107"/>
      <c r="F45" s="607"/>
      <c r="G45" s="607"/>
    </row>
    <row r="46" spans="1:7">
      <c r="A46" s="99" t="s">
        <v>22</v>
      </c>
      <c r="B46" s="99" t="s">
        <v>22</v>
      </c>
      <c r="C46" s="107"/>
      <c r="D46" s="107"/>
      <c r="E46" s="107"/>
      <c r="F46" s="607"/>
      <c r="G46" s="607"/>
    </row>
    <row r="47" spans="1:7">
      <c r="A47" s="99" t="s">
        <v>22</v>
      </c>
      <c r="B47" s="99" t="s">
        <v>22</v>
      </c>
      <c r="C47" s="107"/>
      <c r="D47" s="224"/>
      <c r="E47" s="224"/>
      <c r="F47" s="608"/>
      <c r="G47" s="608"/>
    </row>
    <row r="48" spans="1:7">
      <c r="A48" s="99" t="s">
        <v>172</v>
      </c>
      <c r="B48" s="107"/>
      <c r="C48" s="99">
        <f>G3-1</f>
        <v>2012</v>
      </c>
      <c r="D48" s="127"/>
      <c r="E48" s="127"/>
      <c r="F48" s="176"/>
      <c r="G48" s="176"/>
    </row>
    <row r="49" spans="1:7">
      <c r="A49" s="99" t="s">
        <v>22</v>
      </c>
      <c r="B49" s="99" t="s">
        <v>22</v>
      </c>
      <c r="C49" s="99" t="s">
        <v>22</v>
      </c>
      <c r="D49" s="100"/>
      <c r="E49" s="100"/>
      <c r="F49" s="110"/>
      <c r="G49" s="110"/>
    </row>
    <row r="50" spans="1:7">
      <c r="A50" s="628"/>
      <c r="B50" s="629"/>
      <c r="C50" s="100"/>
      <c r="D50" s="127"/>
      <c r="E50" s="127"/>
      <c r="F50" s="127"/>
      <c r="G50" s="127"/>
    </row>
    <row r="51" spans="1:7">
      <c r="A51" s="110" t="s">
        <v>24</v>
      </c>
      <c r="B51" s="110"/>
      <c r="C51" s="100"/>
      <c r="D51" s="638" t="s">
        <v>23</v>
      </c>
      <c r="E51" s="639"/>
      <c r="F51" s="639"/>
      <c r="G51" s="639"/>
    </row>
    <row r="52" spans="1:7">
      <c r="A52" s="98"/>
      <c r="B52" s="98"/>
      <c r="C52" s="98"/>
      <c r="D52" s="98"/>
      <c r="E52" s="98"/>
      <c r="F52" s="98"/>
      <c r="G52" s="98"/>
    </row>
    <row r="53" spans="1:7">
      <c r="A53" s="98"/>
      <c r="B53" s="98"/>
      <c r="C53" s="98"/>
      <c r="D53" s="98"/>
      <c r="E53" s="98"/>
      <c r="F53" s="98"/>
      <c r="G53" s="98"/>
    </row>
    <row r="54" spans="1:7">
      <c r="A54" s="98"/>
      <c r="B54" s="98"/>
      <c r="C54" s="98"/>
      <c r="D54" s="98"/>
      <c r="E54" s="98"/>
      <c r="F54" s="98"/>
      <c r="G54" s="630"/>
    </row>
    <row r="55" spans="1:7">
      <c r="A55" s="98"/>
      <c r="B55" s="98"/>
      <c r="C55" s="98"/>
      <c r="D55" s="98"/>
      <c r="E55" s="98"/>
      <c r="F55" s="98"/>
      <c r="G55" s="630"/>
    </row>
    <row r="56" spans="1:7">
      <c r="A56" s="98"/>
      <c r="B56" s="98"/>
      <c r="C56" s="98"/>
      <c r="D56" s="98"/>
      <c r="E56" s="98"/>
      <c r="F56" s="98"/>
      <c r="G56" s="630"/>
    </row>
    <row r="57" spans="1:7">
      <c r="A57" s="98"/>
      <c r="B57" s="98"/>
      <c r="C57" s="98"/>
      <c r="D57" s="98"/>
      <c r="E57" s="98"/>
      <c r="F57" s="98"/>
      <c r="G57" s="630"/>
    </row>
    <row r="58" spans="1:7">
      <c r="A58" s="98"/>
      <c r="B58" s="98"/>
      <c r="C58" s="98"/>
      <c r="D58" s="238"/>
      <c r="E58" s="98"/>
      <c r="F58" s="98"/>
      <c r="G58" s="630"/>
    </row>
    <row r="59" spans="1:7">
      <c r="G59" s="630"/>
    </row>
    <row r="60" spans="1:7">
      <c r="G60" s="630"/>
    </row>
    <row r="61" spans="1:7">
      <c r="G61" s="630"/>
    </row>
    <row r="62" spans="1:7">
      <c r="G62" s="630"/>
    </row>
    <row r="63" spans="1:7">
      <c r="G63" s="630"/>
    </row>
    <row r="64" spans="1:7">
      <c r="G64" s="630"/>
    </row>
    <row r="65" spans="7:7">
      <c r="G65" s="630"/>
    </row>
    <row r="66" spans="7:7">
      <c r="G66" s="630"/>
    </row>
  </sheetData>
  <sheetProtection sheet="1" objects="1" scenarios="1"/>
  <mergeCells count="16">
    <mergeCell ref="A50:B50"/>
    <mergeCell ref="G54:G66"/>
    <mergeCell ref="A2:G2"/>
    <mergeCell ref="F13:F15"/>
    <mergeCell ref="A4:G4"/>
    <mergeCell ref="A6:G6"/>
    <mergeCell ref="E12:G12"/>
    <mergeCell ref="D51:G51"/>
    <mergeCell ref="F33:G33"/>
    <mergeCell ref="F34:G34"/>
    <mergeCell ref="F35:G35"/>
    <mergeCell ref="F36:G36"/>
    <mergeCell ref="F37:G37"/>
    <mergeCell ref="F38:G38"/>
    <mergeCell ref="F39:G39"/>
    <mergeCell ref="F40:G40"/>
  </mergeCells>
  <phoneticPr fontId="0" type="noConversion"/>
  <pageMargins left="1.51" right="0.5" top="0.75" bottom="0.5" header="0.5" footer="0.5"/>
  <pageSetup scale="70"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239" customWidth="1"/>
    <col min="3" max="3" width="31.33203125" style="239" customWidth="1"/>
    <col min="4" max="4" width="2.33203125" style="239" customWidth="1"/>
    <col min="5" max="5" width="15.77734375" style="239" customWidth="1"/>
    <col min="6" max="6" width="2" style="239" customWidth="1"/>
    <col min="7" max="7" width="15.77734375" style="239" customWidth="1"/>
    <col min="8" max="8" width="1.88671875" style="239" customWidth="1"/>
    <col min="9" max="9" width="1.77734375" style="239" customWidth="1"/>
    <col min="10" max="10" width="15.77734375" style="239" customWidth="1"/>
    <col min="11" max="16384" width="8.88671875" style="239"/>
  </cols>
  <sheetData>
    <row r="1" spans="1:10" ht="15.95" customHeight="1">
      <c r="A1" s="100"/>
      <c r="B1" s="100"/>
      <c r="C1" s="100" t="str">
        <f>inputPrYr!D3</f>
        <v>Tauy Watershed</v>
      </c>
      <c r="D1" s="100"/>
      <c r="E1" s="100"/>
      <c r="F1" s="100"/>
      <c r="G1" s="100"/>
      <c r="H1" s="100"/>
      <c r="I1" s="100"/>
      <c r="J1" s="100">
        <f>inputPrYr!D11</f>
        <v>2013</v>
      </c>
    </row>
    <row r="2" spans="1:10" ht="15.95" customHeight="1">
      <c r="A2" s="100"/>
      <c r="B2" s="100"/>
      <c r="C2" s="100" t="str">
        <f>inputPrYr!D4</f>
        <v>Franklin County</v>
      </c>
      <c r="D2" s="100"/>
      <c r="E2" s="100"/>
      <c r="F2" s="100"/>
      <c r="G2" s="100"/>
      <c r="H2" s="100"/>
      <c r="I2" s="100"/>
      <c r="J2" s="100"/>
    </row>
    <row r="3" spans="1:10" ht="15.75">
      <c r="A3" s="645" t="str">
        <f>CONCATENATE("Computation to Determine Limit for ",J1,"")</f>
        <v>Computation to Determine Limit for 2013</v>
      </c>
      <c r="B3" s="631"/>
      <c r="C3" s="631"/>
      <c r="D3" s="631"/>
      <c r="E3" s="631"/>
      <c r="F3" s="631"/>
      <c r="G3" s="631"/>
      <c r="H3" s="631"/>
      <c r="I3" s="631"/>
      <c r="J3" s="631"/>
    </row>
    <row r="4" spans="1:10" ht="15.75">
      <c r="A4" s="100"/>
      <c r="B4" s="100"/>
      <c r="C4" s="100"/>
      <c r="D4" s="100"/>
      <c r="E4" s="631"/>
      <c r="F4" s="631"/>
      <c r="G4" s="631"/>
      <c r="H4" s="182"/>
      <c r="I4" s="100"/>
      <c r="J4" s="240" t="s">
        <v>82</v>
      </c>
    </row>
    <row r="5" spans="1:10" ht="15.75">
      <c r="A5" s="241" t="s">
        <v>83</v>
      </c>
      <c r="B5" s="100" t="str">
        <f>CONCATENATE("Total Tax Levy Amount in ",J1-1," Budget")</f>
        <v>Total Tax Levy Amount in 2012 Budget</v>
      </c>
      <c r="C5" s="100"/>
      <c r="D5" s="100"/>
      <c r="E5" s="124"/>
      <c r="F5" s="124"/>
      <c r="G5" s="124"/>
      <c r="H5" s="242" t="s">
        <v>84</v>
      </c>
      <c r="I5" s="124" t="s">
        <v>85</v>
      </c>
      <c r="J5" s="425">
        <f>inputPrYr!E29</f>
        <v>73608</v>
      </c>
    </row>
    <row r="6" spans="1:10" ht="15.75">
      <c r="A6" s="241" t="s">
        <v>86</v>
      </c>
      <c r="B6" s="100" t="str">
        <f>CONCATENATE("Debt Service Levy in ",J1-1," Budget")</f>
        <v>Debt Service Levy in 2012 Budget</v>
      </c>
      <c r="C6" s="100"/>
      <c r="D6" s="100"/>
      <c r="E6" s="124"/>
      <c r="F6" s="124"/>
      <c r="G6" s="124"/>
      <c r="H6" s="242" t="s">
        <v>87</v>
      </c>
      <c r="I6" s="124" t="s">
        <v>85</v>
      </c>
      <c r="J6" s="426">
        <f>inputPrYr!E25</f>
        <v>0</v>
      </c>
    </row>
    <row r="7" spans="1:10" ht="15.75">
      <c r="A7" s="241" t="s">
        <v>111</v>
      </c>
      <c r="B7" s="111" t="s">
        <v>105</v>
      </c>
      <c r="C7" s="100"/>
      <c r="D7" s="100"/>
      <c r="E7" s="124"/>
      <c r="F7" s="124"/>
      <c r="G7" s="124"/>
      <c r="H7" s="124"/>
      <c r="I7" s="124" t="s">
        <v>85</v>
      </c>
      <c r="J7" s="244">
        <f>J5-J6</f>
        <v>73608</v>
      </c>
    </row>
    <row r="8" spans="1:10" ht="15.75">
      <c r="A8" s="100"/>
      <c r="B8" s="100"/>
      <c r="C8" s="100"/>
      <c r="D8" s="100"/>
      <c r="E8" s="124"/>
      <c r="F8" s="124"/>
      <c r="G8" s="124"/>
      <c r="H8" s="124"/>
      <c r="I8" s="124"/>
      <c r="J8" s="124"/>
    </row>
    <row r="9" spans="1:10" ht="15.75">
      <c r="A9" s="100"/>
      <c r="B9" s="111" t="str">
        <f>CONCATENATE("",J1-1," Valuation Information for Valuation Adjustments:")</f>
        <v>2012 Valuation Information for Valuation Adjustments:</v>
      </c>
      <c r="C9" s="100"/>
      <c r="D9" s="100"/>
      <c r="E9" s="124"/>
      <c r="F9" s="124"/>
      <c r="G9" s="124"/>
      <c r="H9" s="124"/>
      <c r="I9" s="124"/>
      <c r="J9" s="124"/>
    </row>
    <row r="10" spans="1:10" ht="15.75">
      <c r="A10" s="100"/>
      <c r="B10" s="100"/>
      <c r="C10" s="111"/>
      <c r="D10" s="100"/>
      <c r="E10" s="124"/>
      <c r="F10" s="124"/>
      <c r="G10" s="124"/>
      <c r="H10" s="124"/>
      <c r="I10" s="124"/>
      <c r="J10" s="124"/>
    </row>
    <row r="11" spans="1:10" ht="15.75">
      <c r="A11" s="241" t="s">
        <v>88</v>
      </c>
      <c r="B11" s="111" t="str">
        <f>CONCATENATE("New Improvements for ",J1-1,":")</f>
        <v>New Improvements for 2012:</v>
      </c>
      <c r="C11" s="100"/>
      <c r="D11" s="100"/>
      <c r="E11" s="242"/>
      <c r="F11" s="242" t="s">
        <v>84</v>
      </c>
      <c r="G11" s="243">
        <f>inputOth!E19</f>
        <v>239702</v>
      </c>
      <c r="H11" s="245"/>
      <c r="I11" s="124"/>
      <c r="J11" s="124"/>
    </row>
    <row r="12" spans="1:10" ht="15.75">
      <c r="A12" s="241"/>
      <c r="B12" s="241"/>
      <c r="C12" s="100"/>
      <c r="D12" s="100"/>
      <c r="E12" s="242"/>
      <c r="F12" s="242"/>
      <c r="G12" s="245"/>
      <c r="H12" s="245"/>
      <c r="I12" s="124"/>
      <c r="J12" s="124"/>
    </row>
    <row r="13" spans="1:10" ht="15.75">
      <c r="A13" s="241" t="s">
        <v>89</v>
      </c>
      <c r="B13" s="111" t="str">
        <f>CONCATENATE("Increase in Personal Property for ",J1-1,":")</f>
        <v>Increase in Personal Property for 2012:</v>
      </c>
      <c r="C13" s="100"/>
      <c r="D13" s="100"/>
      <c r="E13" s="242"/>
      <c r="F13" s="242"/>
      <c r="G13" s="245"/>
      <c r="H13" s="245"/>
      <c r="I13" s="124"/>
      <c r="J13" s="124"/>
    </row>
    <row r="14" spans="1:10" ht="15.75">
      <c r="A14" s="100"/>
      <c r="B14" s="100" t="s">
        <v>90</v>
      </c>
      <c r="C14" s="100" t="str">
        <f>CONCATENATE("Personal Property ",J1-1,"")</f>
        <v>Personal Property 2012</v>
      </c>
      <c r="D14" s="241" t="s">
        <v>84</v>
      </c>
      <c r="E14" s="243">
        <f>inputOth!E26</f>
        <v>658949</v>
      </c>
      <c r="F14" s="242"/>
      <c r="G14" s="124"/>
      <c r="H14" s="124"/>
      <c r="I14" s="245"/>
      <c r="J14" s="124"/>
    </row>
    <row r="15" spans="1:10" ht="15.75">
      <c r="A15" s="241"/>
      <c r="B15" s="100" t="s">
        <v>91</v>
      </c>
      <c r="C15" s="100" t="str">
        <f>CONCATENATE("Personal Property ",J1-2,"")</f>
        <v>Personal Property 2011</v>
      </c>
      <c r="D15" s="241" t="s">
        <v>87</v>
      </c>
      <c r="E15" s="244">
        <f>inputOth!E40</f>
        <v>621112</v>
      </c>
      <c r="F15" s="242"/>
      <c r="G15" s="245"/>
      <c r="H15" s="245"/>
      <c r="I15" s="124"/>
      <c r="J15" s="124"/>
    </row>
    <row r="16" spans="1:10" ht="15.75">
      <c r="A16" s="241"/>
      <c r="B16" s="100" t="s">
        <v>92</v>
      </c>
      <c r="C16" s="100" t="s">
        <v>106</v>
      </c>
      <c r="D16" s="100"/>
      <c r="E16" s="124"/>
      <c r="F16" s="124" t="s">
        <v>84</v>
      </c>
      <c r="G16" s="243">
        <f>IF(E14&gt;E15,E14-E15,0)</f>
        <v>37837</v>
      </c>
      <c r="H16" s="245"/>
      <c r="I16" s="124"/>
      <c r="J16" s="124"/>
    </row>
    <row r="17" spans="1:10" ht="15.75">
      <c r="A17" s="241"/>
      <c r="B17" s="241"/>
      <c r="C17" s="100"/>
      <c r="D17" s="100"/>
      <c r="E17" s="124"/>
      <c r="F17" s="124"/>
      <c r="G17" s="245" t="s">
        <v>100</v>
      </c>
      <c r="H17" s="245"/>
      <c r="I17" s="124"/>
      <c r="J17" s="124"/>
    </row>
    <row r="18" spans="1:10" ht="15.75">
      <c r="A18" s="241" t="s">
        <v>93</v>
      </c>
      <c r="B18" s="111" t="str">
        <f>CONCATENATE("Valuation of Property that has Changed in Use during ",J1-1,":")</f>
        <v>Valuation of Property that has Changed in Use during 2012:</v>
      </c>
      <c r="C18" s="100"/>
      <c r="D18" s="241"/>
      <c r="E18" s="124"/>
      <c r="F18" s="124"/>
      <c r="G18" s="124">
        <f>inputOth!E33</f>
        <v>94224</v>
      </c>
      <c r="H18" s="124"/>
      <c r="I18" s="124"/>
      <c r="J18" s="124"/>
    </row>
    <row r="19" spans="1:10" ht="15.75">
      <c r="A19" s="100" t="s">
        <v>11</v>
      </c>
      <c r="B19" s="100"/>
      <c r="C19" s="100"/>
      <c r="D19" s="100"/>
      <c r="E19" s="245"/>
      <c r="F19" s="124"/>
      <c r="G19" s="246"/>
      <c r="H19" s="245"/>
      <c r="I19" s="124"/>
      <c r="J19" s="124"/>
    </row>
    <row r="20" spans="1:10" ht="15.75">
      <c r="A20" s="241" t="s">
        <v>94</v>
      </c>
      <c r="B20" s="111" t="s">
        <v>107</v>
      </c>
      <c r="C20" s="100"/>
      <c r="D20" s="241"/>
      <c r="E20" s="124"/>
      <c r="F20" s="124"/>
      <c r="G20" s="243">
        <f>G11+G16+G18</f>
        <v>371763</v>
      </c>
      <c r="H20" s="245"/>
      <c r="I20" s="124"/>
      <c r="J20" s="124"/>
    </row>
    <row r="21" spans="1:10" ht="15.75">
      <c r="A21" s="241"/>
      <c r="B21" s="241"/>
      <c r="C21" s="111"/>
      <c r="D21" s="100"/>
      <c r="E21" s="124"/>
      <c r="F21" s="124"/>
      <c r="G21" s="245"/>
      <c r="H21" s="245"/>
      <c r="I21" s="124"/>
      <c r="J21" s="124"/>
    </row>
    <row r="22" spans="1:10" ht="15.75">
      <c r="A22" s="241" t="s">
        <v>95</v>
      </c>
      <c r="B22" s="100" t="str">
        <f>CONCATENATE("Total Estimated Valuation July, 1,",J1-1,"")</f>
        <v>Total Estimated Valuation July, 1,2012</v>
      </c>
      <c r="C22" s="100"/>
      <c r="D22" s="100"/>
      <c r="E22" s="243">
        <f>inputOth!E12</f>
        <v>22117610</v>
      </c>
      <c r="F22" s="124"/>
      <c r="G22" s="124"/>
      <c r="H22" s="124"/>
      <c r="I22" s="242"/>
      <c r="J22" s="124"/>
    </row>
    <row r="23" spans="1:10" ht="15.75">
      <c r="A23" s="241"/>
      <c r="B23" s="241"/>
      <c r="C23" s="100"/>
      <c r="D23" s="100"/>
      <c r="E23" s="245"/>
      <c r="F23" s="124"/>
      <c r="G23" s="124"/>
      <c r="H23" s="124"/>
      <c r="I23" s="242"/>
      <c r="J23" s="124"/>
    </row>
    <row r="24" spans="1:10" ht="15.75">
      <c r="A24" s="241" t="s">
        <v>96</v>
      </c>
      <c r="B24" s="111" t="s">
        <v>108</v>
      </c>
      <c r="C24" s="100"/>
      <c r="D24" s="100"/>
      <c r="E24" s="124"/>
      <c r="F24" s="124"/>
      <c r="G24" s="243">
        <f>E22-G20</f>
        <v>21745847</v>
      </c>
      <c r="H24" s="245"/>
      <c r="I24" s="242"/>
      <c r="J24" s="124"/>
    </row>
    <row r="25" spans="1:10" ht="15.75">
      <c r="A25" s="241"/>
      <c r="B25" s="241"/>
      <c r="C25" s="111"/>
      <c r="D25" s="100"/>
      <c r="E25" s="124"/>
      <c r="F25" s="124"/>
      <c r="G25" s="246"/>
      <c r="H25" s="245"/>
      <c r="I25" s="242"/>
      <c r="J25" s="124"/>
    </row>
    <row r="26" spans="1:10" ht="15.75">
      <c r="A26" s="241" t="s">
        <v>97</v>
      </c>
      <c r="B26" s="100" t="s">
        <v>109</v>
      </c>
      <c r="C26" s="100"/>
      <c r="D26" s="100"/>
      <c r="E26" s="100"/>
      <c r="F26" s="100"/>
      <c r="G26" s="247">
        <f>IF(G20&gt;0,G20/G24,0)</f>
        <v>1.7095816042483881E-2</v>
      </c>
      <c r="H26" s="107"/>
      <c r="I26" s="100"/>
      <c r="J26" s="100"/>
    </row>
    <row r="27" spans="1:10" ht="15.75">
      <c r="A27" s="241"/>
      <c r="B27" s="241"/>
      <c r="C27" s="100"/>
      <c r="D27" s="100"/>
      <c r="E27" s="100"/>
      <c r="F27" s="100"/>
      <c r="G27" s="107"/>
      <c r="H27" s="107"/>
      <c r="I27" s="100"/>
      <c r="J27" s="100"/>
    </row>
    <row r="28" spans="1:10" ht="15.75">
      <c r="A28" s="241" t="s">
        <v>98</v>
      </c>
      <c r="B28" s="100" t="s">
        <v>110</v>
      </c>
      <c r="C28" s="100"/>
      <c r="D28" s="100"/>
      <c r="E28" s="100"/>
      <c r="F28" s="100"/>
      <c r="G28" s="107"/>
      <c r="H28" s="248" t="s">
        <v>84</v>
      </c>
      <c r="I28" s="100" t="s">
        <v>85</v>
      </c>
      <c r="J28" s="243">
        <f>ROUND(G26*J7,0)</f>
        <v>1258</v>
      </c>
    </row>
    <row r="29" spans="1:10" ht="15.75">
      <c r="A29" s="241"/>
      <c r="B29" s="241"/>
      <c r="C29" s="100"/>
      <c r="D29" s="100"/>
      <c r="E29" s="100"/>
      <c r="F29" s="100"/>
      <c r="G29" s="107"/>
      <c r="H29" s="248"/>
      <c r="I29" s="100"/>
      <c r="J29" s="245"/>
    </row>
    <row r="30" spans="1:10" ht="16.5" thickBot="1">
      <c r="A30" s="241" t="s">
        <v>99</v>
      </c>
      <c r="B30" s="111" t="s">
        <v>115</v>
      </c>
      <c r="C30" s="100"/>
      <c r="D30" s="100"/>
      <c r="E30" s="100"/>
      <c r="F30" s="100"/>
      <c r="G30" s="100"/>
      <c r="H30" s="100"/>
      <c r="I30" s="100" t="s">
        <v>85</v>
      </c>
      <c r="J30" s="249">
        <f>J7+J28</f>
        <v>74866</v>
      </c>
    </row>
    <row r="31" spans="1:10" ht="16.5" thickTop="1">
      <c r="A31" s="241"/>
      <c r="B31" s="111"/>
      <c r="C31" s="100"/>
      <c r="D31" s="100"/>
      <c r="E31" s="100"/>
      <c r="F31" s="100"/>
      <c r="G31" s="100"/>
      <c r="H31" s="100"/>
      <c r="I31" s="100"/>
      <c r="J31" s="100"/>
    </row>
    <row r="32" spans="1:10" ht="15.75">
      <c r="A32" s="241" t="s">
        <v>113</v>
      </c>
      <c r="B32" s="111" t="str">
        <f>CONCATENATE("Debt Service Levy in this ",J1," Budget")</f>
        <v>Debt Service Levy in this 2013 Budget</v>
      </c>
      <c r="C32" s="100"/>
      <c r="D32" s="100"/>
      <c r="E32" s="100"/>
      <c r="F32" s="100"/>
      <c r="G32" s="100"/>
      <c r="H32" s="100"/>
      <c r="I32" s="100"/>
      <c r="J32" s="427">
        <f>'debt service'!$E61</f>
        <v>0</v>
      </c>
    </row>
    <row r="33" spans="1:10" ht="15.75">
      <c r="A33" s="241"/>
      <c r="B33" s="111"/>
      <c r="C33" s="100"/>
      <c r="D33" s="100"/>
      <c r="E33" s="100"/>
      <c r="F33" s="100"/>
      <c r="G33" s="100"/>
      <c r="H33" s="100"/>
      <c r="I33" s="100"/>
      <c r="J33" s="107"/>
    </row>
    <row r="34" spans="1:10" ht="16.5" thickBot="1">
      <c r="A34" s="241" t="s">
        <v>114</v>
      </c>
      <c r="B34" s="111" t="s">
        <v>116</v>
      </c>
      <c r="C34" s="100"/>
      <c r="D34" s="100"/>
      <c r="E34" s="100"/>
      <c r="F34" s="100"/>
      <c r="G34" s="100"/>
      <c r="H34" s="100"/>
      <c r="I34" s="100"/>
      <c r="J34" s="249">
        <f>J30+J32</f>
        <v>74866</v>
      </c>
    </row>
    <row r="35" spans="1:10" ht="16.5" thickTop="1">
      <c r="A35" s="100"/>
      <c r="B35" s="100"/>
      <c r="C35" s="100"/>
      <c r="D35" s="100"/>
      <c r="E35" s="100"/>
      <c r="F35" s="100"/>
      <c r="G35" s="100"/>
      <c r="H35" s="100"/>
      <c r="I35" s="100"/>
      <c r="J35" s="100"/>
    </row>
    <row r="36" spans="1:10" ht="15.75">
      <c r="A36" s="638" t="str">
        <f>CONCATENATE("If the ",J1," budget includes tax levies exceeding the total on line 14, you must")</f>
        <v>If the 2013 budget includes tax levies exceeding the total on line 14, you must</v>
      </c>
      <c r="B36" s="638"/>
      <c r="C36" s="638"/>
      <c r="D36" s="638"/>
      <c r="E36" s="638"/>
      <c r="F36" s="638"/>
      <c r="G36" s="638"/>
      <c r="H36" s="638"/>
      <c r="I36" s="638"/>
      <c r="J36" s="638"/>
    </row>
    <row r="37" spans="1:10" ht="15.75">
      <c r="A37" s="638" t="s">
        <v>112</v>
      </c>
      <c r="B37" s="638"/>
      <c r="C37" s="638"/>
      <c r="D37" s="638"/>
      <c r="E37" s="638"/>
      <c r="F37" s="638"/>
      <c r="G37" s="638"/>
      <c r="H37" s="638"/>
      <c r="I37" s="638"/>
      <c r="J37" s="638"/>
    </row>
  </sheetData>
  <sheetProtection sheet="1"/>
  <mergeCells count="4">
    <mergeCell ref="A36:J36"/>
    <mergeCell ref="A37:J37"/>
    <mergeCell ref="A3:J3"/>
    <mergeCell ref="E4:G4"/>
  </mergeCells>
  <phoneticPr fontId="0" type="noConversion"/>
  <pageMargins left="0.5" right="0.5" top="0.75" bottom="0.5" header="0.5" footer="0.5"/>
  <pageSetup scale="86"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workbookViewId="0">
      <selection activeCell="C11" sqref="C11"/>
    </sheetView>
  </sheetViews>
  <sheetFormatPr defaultRowHeight="15.75"/>
  <cols>
    <col min="1" max="1" width="8.88671875" style="258"/>
    <col min="2" max="2" width="17.77734375" style="98" customWidth="1"/>
    <col min="3" max="3" width="15.77734375" style="98" customWidth="1"/>
    <col min="4" max="6" width="12.77734375" style="98" customWidth="1"/>
    <col min="7" max="10" width="10.77734375" style="98" customWidth="1"/>
    <col min="11" max="16384" width="8.88671875" style="98"/>
  </cols>
  <sheetData>
    <row r="1" spans="1:10">
      <c r="A1" s="100"/>
      <c r="B1" s="100" t="str">
        <f>inputPrYr!D3</f>
        <v>Tauy Watershed</v>
      </c>
      <c r="C1" s="100"/>
      <c r="D1" s="100"/>
      <c r="E1" s="100"/>
      <c r="F1" s="100"/>
      <c r="G1" s="100"/>
      <c r="H1" s="100"/>
      <c r="I1" s="250"/>
      <c r="J1" s="100"/>
    </row>
    <row r="2" spans="1:10">
      <c r="A2" s="100"/>
      <c r="B2" s="100" t="str">
        <f>inputPrYr!D4</f>
        <v>Franklin County</v>
      </c>
      <c r="C2" s="100"/>
      <c r="D2" s="100"/>
      <c r="E2" s="100"/>
      <c r="F2" s="100"/>
      <c r="G2" s="100"/>
      <c r="H2" s="100"/>
      <c r="I2" s="178"/>
      <c r="J2" s="100">
        <f>inputPrYr!D11</f>
        <v>2013</v>
      </c>
    </row>
    <row r="3" spans="1:10">
      <c r="A3" s="100"/>
      <c r="B3" s="100"/>
      <c r="C3" s="172"/>
      <c r="D3" s="172"/>
      <c r="E3" s="172"/>
      <c r="F3" s="172"/>
      <c r="G3" s="172"/>
      <c r="H3" s="172"/>
      <c r="I3" s="172"/>
      <c r="J3" s="100"/>
    </row>
    <row r="4" spans="1:10">
      <c r="A4" s="100"/>
      <c r="B4" s="100"/>
      <c r="C4" s="100"/>
      <c r="D4" s="100"/>
      <c r="E4" s="100"/>
      <c r="F4" s="100"/>
      <c r="G4" s="100"/>
      <c r="H4" s="100"/>
      <c r="I4" s="172"/>
      <c r="J4" s="100"/>
    </row>
    <row r="5" spans="1:10">
      <c r="A5" s="100"/>
      <c r="B5" s="100"/>
      <c r="C5" s="110"/>
      <c r="D5" s="110"/>
      <c r="E5" s="110"/>
      <c r="F5" s="100"/>
      <c r="G5" s="100"/>
      <c r="H5" s="100"/>
      <c r="I5" s="100"/>
      <c r="J5" s="100"/>
    </row>
    <row r="6" spans="1:10">
      <c r="A6" s="100"/>
      <c r="B6" s="648" t="s">
        <v>242</v>
      </c>
      <c r="C6" s="648"/>
      <c r="D6" s="648"/>
      <c r="E6" s="648"/>
      <c r="F6" s="648"/>
      <c r="G6" s="100"/>
      <c r="H6" s="100"/>
      <c r="I6" s="100"/>
      <c r="J6" s="100"/>
    </row>
    <row r="7" spans="1:10">
      <c r="A7" s="100"/>
      <c r="B7" s="251"/>
      <c r="C7" s="251"/>
      <c r="D7" s="251"/>
      <c r="E7" s="251"/>
      <c r="F7" s="251"/>
      <c r="G7" s="100"/>
      <c r="H7" s="100"/>
      <c r="I7" s="100"/>
      <c r="J7" s="100"/>
    </row>
    <row r="8" spans="1:10">
      <c r="A8" s="100"/>
      <c r="B8" s="100"/>
      <c r="C8" s="100"/>
      <c r="D8" s="100"/>
      <c r="E8" s="100"/>
      <c r="F8" s="100"/>
      <c r="G8" s="100"/>
      <c r="H8" s="100"/>
      <c r="I8" s="100"/>
      <c r="J8" s="100"/>
    </row>
    <row r="9" spans="1:10">
      <c r="A9" s="100"/>
      <c r="B9" s="646" t="str">
        <f>CONCATENATE("",J2-1,"                    Budgeted Funds")</f>
        <v>2012                    Budgeted Funds</v>
      </c>
      <c r="C9" s="632" t="str">
        <f>CONCATENATE("Tax Levy Amount in ",J2-2," Budget")</f>
        <v>Tax Levy Amount in 2011 Budget</v>
      </c>
      <c r="D9" s="635" t="str">
        <f>CONCATENATE("Allocation for Year ",J2,"")</f>
        <v>Allocation for Year 2013</v>
      </c>
      <c r="E9" s="649"/>
      <c r="F9" s="649"/>
      <c r="G9" s="637"/>
      <c r="H9" s="100"/>
      <c r="I9" s="100"/>
      <c r="J9" s="100"/>
    </row>
    <row r="10" spans="1:10">
      <c r="A10" s="100"/>
      <c r="B10" s="647"/>
      <c r="C10" s="647"/>
      <c r="D10" s="153" t="s">
        <v>38</v>
      </c>
      <c r="E10" s="153" t="s">
        <v>39</v>
      </c>
      <c r="F10" s="153" t="s">
        <v>79</v>
      </c>
      <c r="G10" s="153" t="s">
        <v>170</v>
      </c>
      <c r="H10" s="100"/>
      <c r="I10" s="100"/>
      <c r="J10" s="100"/>
    </row>
    <row r="11" spans="1:10">
      <c r="A11" s="100"/>
      <c r="B11" s="134" t="str">
        <f>inputPrYr!B24</f>
        <v>General</v>
      </c>
      <c r="C11" s="155">
        <f>inputPrYr!E24</f>
        <v>73608</v>
      </c>
      <c r="D11" s="155">
        <f>IF(E17=0,0,E17-D12-D13-D14)</f>
        <v>8001</v>
      </c>
      <c r="E11" s="155">
        <f>IF(E19=0,0,E19-E12-E13-E14)</f>
        <v>261</v>
      </c>
      <c r="F11" s="155">
        <f>IF(E21=0,0,E21-F12-F13-F14)</f>
        <v>515</v>
      </c>
      <c r="G11" s="155">
        <f>IF(E23=0,0,E23-G12-G13-G14)</f>
        <v>0</v>
      </c>
      <c r="H11" s="100"/>
      <c r="I11" s="100"/>
      <c r="J11" s="100"/>
    </row>
    <row r="12" spans="1:10">
      <c r="A12" s="100"/>
      <c r="B12" s="134" t="str">
        <f>inputPrYr!B25</f>
        <v>Debt Service</v>
      </c>
      <c r="C12" s="155">
        <f>inputPrYr!E25</f>
        <v>0</v>
      </c>
      <c r="D12" s="155">
        <f>IF($E$17=0,0,ROUND(C12*$C$25,0))</f>
        <v>0</v>
      </c>
      <c r="E12" s="155">
        <f>IF($E$19=0,0,ROUND(C12*$D$27,0))</f>
        <v>0</v>
      </c>
      <c r="F12" s="155">
        <f>IF($E21=0,0,ROUND(C12*$E$29,0))</f>
        <v>0</v>
      </c>
      <c r="G12" s="155">
        <f>IF($E23=0,0,ROUND(C12*$F$31,0))</f>
        <v>0</v>
      </c>
      <c r="H12" s="100"/>
      <c r="I12" s="100"/>
      <c r="J12" s="100"/>
    </row>
    <row r="13" spans="1:10">
      <c r="A13" s="100"/>
      <c r="B13" s="134" t="str">
        <f>IF(inputPrYr!$B$27&gt;"  ",inputPrYr!$B$27,"  ")</f>
        <v xml:space="preserve">  </v>
      </c>
      <c r="C13" s="155">
        <f>inputPrYr!E27</f>
        <v>0</v>
      </c>
      <c r="D13" s="155">
        <f>IF($E$17=0,0,ROUND(C13*$C$25,0))</f>
        <v>0</v>
      </c>
      <c r="E13" s="155">
        <f>IF($E$19=0,0,ROUND(C13*$D$27,0))</f>
        <v>0</v>
      </c>
      <c r="F13" s="155">
        <f>IF($E21=0,0,ROUND(C13*$E$29,0))</f>
        <v>0</v>
      </c>
      <c r="G13" s="155">
        <f>IF($E23=0,0,ROUND(C13*$F$31,0))</f>
        <v>0</v>
      </c>
      <c r="H13" s="145"/>
      <c r="I13" s="145"/>
      <c r="J13" s="100"/>
    </row>
    <row r="14" spans="1:10">
      <c r="A14" s="100"/>
      <c r="B14" s="134" t="str">
        <f>IF(inputPrYr!$B$28&gt;"  ",inputPrYr!$B$28,"  ")</f>
        <v xml:space="preserve">  </v>
      </c>
      <c r="C14" s="155">
        <f>inputPrYr!E28</f>
        <v>0</v>
      </c>
      <c r="D14" s="155">
        <f>IF($E$17=0,0,ROUND(C14*$C$25,0))</f>
        <v>0</v>
      </c>
      <c r="E14" s="155">
        <f>IF($E$19=0,0,ROUND(C14*$D$27,0))</f>
        <v>0</v>
      </c>
      <c r="F14" s="155">
        <f>IF($E21=0,0,ROUND(C14*$E$29,0))</f>
        <v>0</v>
      </c>
      <c r="G14" s="155">
        <f>IF($E23=0,0,ROUND(C14*$F$31,0))</f>
        <v>0</v>
      </c>
      <c r="H14" s="100"/>
      <c r="I14" s="100"/>
      <c r="J14" s="100"/>
    </row>
    <row r="15" spans="1:10" ht="16.5" thickBot="1">
      <c r="A15" s="100"/>
      <c r="B15" s="120" t="s">
        <v>8</v>
      </c>
      <c r="C15" s="165">
        <f>SUM(C11:C14)</f>
        <v>73608</v>
      </c>
      <c r="D15" s="165">
        <f>SUM(D11:D14)</f>
        <v>8001</v>
      </c>
      <c r="E15" s="165">
        <f>SUM(E11:E14)</f>
        <v>261</v>
      </c>
      <c r="F15" s="165">
        <f>SUM(F11:F14)</f>
        <v>515</v>
      </c>
      <c r="G15" s="132">
        <f>SUM(G11:G14)</f>
        <v>0</v>
      </c>
      <c r="H15" s="100"/>
      <c r="I15" s="100"/>
      <c r="J15" s="100"/>
    </row>
    <row r="16" spans="1:10" ht="16.5" thickTop="1">
      <c r="A16" s="100"/>
      <c r="B16" s="100"/>
      <c r="C16" s="100"/>
      <c r="D16" s="100"/>
      <c r="E16" s="100"/>
      <c r="F16" s="100"/>
      <c r="G16" s="100"/>
      <c r="H16" s="100"/>
      <c r="I16" s="100"/>
      <c r="J16" s="100"/>
    </row>
    <row r="17" spans="1:10">
      <c r="A17" s="100"/>
      <c r="B17" s="99" t="s">
        <v>40</v>
      </c>
      <c r="C17" s="100"/>
      <c r="D17" s="100"/>
      <c r="E17" s="252">
        <f>inputOth!E69</f>
        <v>8001</v>
      </c>
      <c r="F17" s="100"/>
      <c r="G17" s="100"/>
      <c r="H17" s="100"/>
      <c r="I17" s="100"/>
      <c r="J17" s="100"/>
    </row>
    <row r="18" spans="1:10">
      <c r="A18" s="100"/>
      <c r="B18" s="100"/>
      <c r="C18" s="100"/>
      <c r="D18" s="172"/>
      <c r="E18" s="172"/>
      <c r="F18" s="100"/>
      <c r="G18" s="100"/>
      <c r="H18" s="100"/>
      <c r="I18" s="100"/>
      <c r="J18" s="100"/>
    </row>
    <row r="19" spans="1:10">
      <c r="A19" s="100"/>
      <c r="B19" s="99" t="s">
        <v>41</v>
      </c>
      <c r="C19" s="100"/>
      <c r="D19" s="172"/>
      <c r="E19" s="252">
        <f>inputOth!E76</f>
        <v>261</v>
      </c>
      <c r="F19" s="100"/>
      <c r="G19" s="100"/>
      <c r="H19" s="100"/>
      <c r="I19" s="100"/>
      <c r="J19" s="100"/>
    </row>
    <row r="20" spans="1:10">
      <c r="A20" s="100"/>
      <c r="B20" s="100"/>
      <c r="C20" s="100"/>
      <c r="D20" s="100"/>
      <c r="E20" s="100"/>
      <c r="F20" s="100"/>
      <c r="G20" s="100"/>
      <c r="H20" s="100"/>
      <c r="I20" s="100"/>
      <c r="J20" s="100"/>
    </row>
    <row r="21" spans="1:10">
      <c r="A21" s="100"/>
      <c r="B21" s="99" t="s">
        <v>80</v>
      </c>
      <c r="C21" s="100"/>
      <c r="D21" s="100"/>
      <c r="E21" s="252">
        <f>inputOth!E83</f>
        <v>515</v>
      </c>
      <c r="F21" s="100"/>
      <c r="G21" s="100"/>
      <c r="H21" s="100"/>
      <c r="I21" s="100"/>
      <c r="J21" s="100"/>
    </row>
    <row r="22" spans="1:10">
      <c r="A22" s="100"/>
      <c r="B22" s="100"/>
      <c r="C22" s="100"/>
      <c r="D22" s="100"/>
      <c r="E22" s="100"/>
      <c r="F22" s="100"/>
      <c r="G22" s="100"/>
      <c r="H22" s="100"/>
      <c r="I22" s="100"/>
      <c r="J22" s="100"/>
    </row>
    <row r="23" spans="1:10">
      <c r="A23" s="100"/>
      <c r="B23" s="100" t="s">
        <v>214</v>
      </c>
      <c r="C23" s="100"/>
      <c r="D23" s="100"/>
      <c r="E23" s="243">
        <f>inputOth!E90</f>
        <v>0</v>
      </c>
      <c r="F23" s="100"/>
      <c r="G23" s="100"/>
      <c r="H23" s="100"/>
      <c r="I23" s="100"/>
      <c r="J23" s="100"/>
    </row>
    <row r="24" spans="1:10">
      <c r="A24" s="100"/>
      <c r="B24" s="100"/>
      <c r="C24" s="100"/>
      <c r="D24" s="100"/>
      <c r="E24" s="100"/>
      <c r="F24" s="100"/>
      <c r="G24" s="100"/>
      <c r="H24" s="100"/>
      <c r="I24" s="100"/>
      <c r="J24" s="100"/>
    </row>
    <row r="25" spans="1:10">
      <c r="A25" s="100"/>
      <c r="B25" s="178" t="s">
        <v>42</v>
      </c>
      <c r="C25" s="253">
        <f>IF(C15=0,0,E17/C15)</f>
        <v>0.1086974241930225</v>
      </c>
      <c r="D25" s="100"/>
      <c r="E25" s="100"/>
      <c r="F25" s="100"/>
      <c r="G25" s="100"/>
      <c r="H25" s="100"/>
      <c r="I25" s="100"/>
      <c r="J25" s="100"/>
    </row>
    <row r="26" spans="1:10">
      <c r="A26" s="100"/>
      <c r="B26" s="99"/>
      <c r="C26" s="254"/>
      <c r="D26" s="100"/>
      <c r="E26" s="100"/>
      <c r="F26" s="100"/>
      <c r="G26" s="100"/>
      <c r="H26" s="100"/>
      <c r="I26" s="100"/>
      <c r="J26" s="100"/>
    </row>
    <row r="27" spans="1:10">
      <c r="A27" s="100"/>
      <c r="B27" s="100"/>
      <c r="C27" s="178" t="s">
        <v>43</v>
      </c>
      <c r="D27" s="255">
        <f>IF(C15=0,0,E19/C15)</f>
        <v>3.5458102380176069E-3</v>
      </c>
      <c r="E27" s="100"/>
      <c r="F27" s="100"/>
      <c r="G27" s="100"/>
      <c r="H27" s="100"/>
      <c r="I27" s="100"/>
      <c r="J27" s="100"/>
    </row>
    <row r="28" spans="1:10">
      <c r="A28" s="100"/>
      <c r="B28" s="100"/>
      <c r="C28" s="99"/>
      <c r="D28" s="256"/>
      <c r="E28" s="100"/>
      <c r="F28" s="100"/>
      <c r="G28" s="100"/>
      <c r="H28" s="100"/>
      <c r="I28" s="100"/>
      <c r="J28" s="100"/>
    </row>
    <row r="29" spans="1:10">
      <c r="A29" s="100"/>
      <c r="B29" s="100"/>
      <c r="C29" s="100"/>
      <c r="D29" s="178" t="s">
        <v>81</v>
      </c>
      <c r="E29" s="255">
        <f>IF(C15=0,0,E21/C15)</f>
        <v>6.9965221171611781E-3</v>
      </c>
      <c r="F29" s="100"/>
      <c r="G29" s="100"/>
      <c r="H29" s="100"/>
      <c r="I29" s="100"/>
      <c r="J29" s="100"/>
    </row>
    <row r="30" spans="1:10">
      <c r="A30" s="100"/>
      <c r="B30" s="100"/>
      <c r="C30" s="100"/>
      <c r="D30" s="100"/>
      <c r="E30" s="100"/>
      <c r="F30" s="100"/>
      <c r="G30" s="100"/>
      <c r="H30" s="100"/>
      <c r="I30" s="100"/>
      <c r="J30" s="100"/>
    </row>
    <row r="31" spans="1:10">
      <c r="A31" s="100"/>
      <c r="B31" s="100"/>
      <c r="C31" s="140"/>
      <c r="D31" s="140"/>
      <c r="E31" s="257" t="s">
        <v>215</v>
      </c>
      <c r="F31" s="255">
        <f>IF(C15=0,0,E23/C15)</f>
        <v>0</v>
      </c>
      <c r="G31" s="140"/>
      <c r="H31" s="140"/>
      <c r="I31" s="100"/>
      <c r="J31" s="100"/>
    </row>
    <row r="32" spans="1:10">
      <c r="A32" s="100"/>
      <c r="B32" s="100"/>
      <c r="C32" s="140"/>
      <c r="D32" s="140"/>
      <c r="E32" s="140"/>
      <c r="F32" s="140"/>
      <c r="G32" s="140"/>
      <c r="H32" s="140"/>
      <c r="I32" s="100"/>
      <c r="J32" s="100"/>
    </row>
    <row r="33" spans="1:10">
      <c r="A33" s="100"/>
      <c r="B33" s="100"/>
      <c r="C33" s="140"/>
      <c r="D33" s="140"/>
      <c r="E33" s="140"/>
      <c r="F33" s="140"/>
      <c r="G33" s="140"/>
      <c r="H33" s="140"/>
      <c r="I33" s="100"/>
      <c r="J33" s="100"/>
    </row>
  </sheetData>
  <sheetProtection sheet="1"/>
  <mergeCells count="4">
    <mergeCell ref="B9:B10"/>
    <mergeCell ref="B6:F6"/>
    <mergeCell ref="C9:C10"/>
    <mergeCell ref="D9:G9"/>
  </mergeCells>
  <phoneticPr fontId="0" type="noConversion"/>
  <pageMargins left="1.42" right="0.5" top="0.5" bottom="0.25" header="0.25" footer="0.25"/>
  <pageSetup scale="7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98" customWidth="1"/>
    <col min="3" max="6" width="12.77734375" style="98" customWidth="1"/>
    <col min="7" max="16384" width="8.88671875" style="98"/>
  </cols>
  <sheetData>
    <row r="1" spans="1:6">
      <c r="A1" s="172"/>
      <c r="B1" s="100"/>
      <c r="C1" s="100"/>
      <c r="D1" s="100"/>
      <c r="E1" s="250"/>
      <c r="F1" s="100">
        <f>inputPrYr!D11</f>
        <v>2013</v>
      </c>
    </row>
    <row r="2" spans="1:6">
      <c r="A2" s="259" t="str">
        <f>inputPrYr!D3</f>
        <v>Tauy Watershed</v>
      </c>
      <c r="B2" s="259"/>
      <c r="C2" s="100"/>
      <c r="D2" s="100"/>
      <c r="E2" s="250"/>
      <c r="F2" s="100"/>
    </row>
    <row r="3" spans="1:6">
      <c r="A3" s="259" t="str">
        <f>inputPrYr!D4</f>
        <v>Franklin County</v>
      </c>
      <c r="B3" s="259"/>
      <c r="C3" s="100"/>
      <c r="D3" s="100"/>
      <c r="E3" s="250"/>
      <c r="F3" s="100"/>
    </row>
    <row r="4" spans="1:6">
      <c r="A4" s="172"/>
      <c r="B4" s="100"/>
      <c r="C4" s="100"/>
      <c r="D4" s="100"/>
      <c r="E4" s="250"/>
      <c r="F4" s="100"/>
    </row>
    <row r="5" spans="1:6" ht="15" customHeight="1">
      <c r="A5" s="631" t="s">
        <v>136</v>
      </c>
      <c r="B5" s="631"/>
      <c r="C5" s="631"/>
      <c r="D5" s="631"/>
      <c r="E5" s="631"/>
      <c r="F5" s="631"/>
    </row>
    <row r="6" spans="1:6" ht="14.25" customHeight="1">
      <c r="A6" s="182"/>
      <c r="B6" s="260"/>
      <c r="C6" s="260"/>
      <c r="D6" s="260"/>
      <c r="E6" s="260"/>
      <c r="F6" s="260"/>
    </row>
    <row r="7" spans="1:6" ht="17.25" customHeight="1">
      <c r="A7" s="261" t="s">
        <v>17</v>
      </c>
      <c r="B7" s="261" t="s">
        <v>572</v>
      </c>
      <c r="C7" s="261" t="s">
        <v>44</v>
      </c>
      <c r="D7" s="261" t="s">
        <v>137</v>
      </c>
      <c r="E7" s="261" t="s">
        <v>138</v>
      </c>
      <c r="F7" s="261" t="s">
        <v>162</v>
      </c>
    </row>
    <row r="8" spans="1:6" ht="17.25" customHeight="1">
      <c r="A8" s="262" t="s">
        <v>573</v>
      </c>
      <c r="B8" s="262" t="s">
        <v>574</v>
      </c>
      <c r="C8" s="262" t="s">
        <v>163</v>
      </c>
      <c r="D8" s="262" t="s">
        <v>163</v>
      </c>
      <c r="E8" s="262" t="s">
        <v>163</v>
      </c>
      <c r="F8" s="262" t="s">
        <v>164</v>
      </c>
    </row>
    <row r="9" spans="1:6" s="265" customFormat="1" ht="18" customHeight="1">
      <c r="A9" s="263" t="s">
        <v>165</v>
      </c>
      <c r="B9" s="263" t="s">
        <v>166</v>
      </c>
      <c r="C9" s="264">
        <f>F1-2</f>
        <v>2011</v>
      </c>
      <c r="D9" s="264">
        <f>F1-1</f>
        <v>2012</v>
      </c>
      <c r="E9" s="264">
        <f>F1</f>
        <v>2013</v>
      </c>
      <c r="F9" s="263" t="s">
        <v>167</v>
      </c>
    </row>
    <row r="10" spans="1:6" ht="15" customHeight="1">
      <c r="A10" s="266"/>
      <c r="B10" s="266"/>
      <c r="C10" s="267"/>
      <c r="D10" s="267"/>
      <c r="E10" s="267"/>
      <c r="F10" s="266"/>
    </row>
    <row r="11" spans="1:6" ht="15" customHeight="1">
      <c r="A11" s="133"/>
      <c r="B11" s="133"/>
      <c r="C11" s="268"/>
      <c r="D11" s="268"/>
      <c r="E11" s="268"/>
      <c r="F11" s="133"/>
    </row>
    <row r="12" spans="1:6" ht="15" customHeight="1">
      <c r="A12" s="133"/>
      <c r="B12" s="133"/>
      <c r="C12" s="268"/>
      <c r="D12" s="268"/>
      <c r="E12" s="268"/>
      <c r="F12" s="133"/>
    </row>
    <row r="13" spans="1:6" ht="15" customHeight="1">
      <c r="A13" s="133"/>
      <c r="B13" s="133"/>
      <c r="C13" s="268"/>
      <c r="D13" s="268"/>
      <c r="E13" s="268"/>
      <c r="F13" s="133"/>
    </row>
    <row r="14" spans="1:6" ht="15" customHeight="1">
      <c r="A14" s="133"/>
      <c r="B14" s="133"/>
      <c r="C14" s="268"/>
      <c r="D14" s="268"/>
      <c r="E14" s="268"/>
      <c r="F14" s="133"/>
    </row>
    <row r="15" spans="1:6" ht="15" customHeight="1">
      <c r="A15" s="133"/>
      <c r="B15" s="133"/>
      <c r="C15" s="268"/>
      <c r="D15" s="268"/>
      <c r="E15" s="268"/>
      <c r="F15" s="133"/>
    </row>
    <row r="16" spans="1:6" ht="15" customHeight="1">
      <c r="A16" s="133"/>
      <c r="B16" s="269"/>
      <c r="C16" s="268"/>
      <c r="D16" s="268"/>
      <c r="E16" s="268"/>
      <c r="F16" s="133"/>
    </row>
    <row r="17" spans="1:7" ht="15" customHeight="1">
      <c r="A17" s="133"/>
      <c r="B17" s="133"/>
      <c r="C17" s="268"/>
      <c r="D17" s="268"/>
      <c r="E17" s="268"/>
      <c r="F17" s="133"/>
    </row>
    <row r="18" spans="1:7" ht="15" customHeight="1">
      <c r="A18" s="133"/>
      <c r="B18" s="133"/>
      <c r="C18" s="268"/>
      <c r="D18" s="268"/>
      <c r="E18" s="268"/>
      <c r="F18" s="133"/>
    </row>
    <row r="19" spans="1:7" ht="15" customHeight="1">
      <c r="A19" s="133"/>
      <c r="B19" s="133"/>
      <c r="C19" s="268"/>
      <c r="D19" s="268"/>
      <c r="E19" s="268"/>
      <c r="F19" s="133"/>
    </row>
    <row r="20" spans="1:7" ht="15" customHeight="1">
      <c r="A20" s="133"/>
      <c r="B20" s="133"/>
      <c r="C20" s="268"/>
      <c r="D20" s="268"/>
      <c r="E20" s="268"/>
      <c r="F20" s="133"/>
    </row>
    <row r="21" spans="1:7" ht="15" customHeight="1">
      <c r="A21" s="133"/>
      <c r="B21" s="133"/>
      <c r="C21" s="268"/>
      <c r="D21" s="268"/>
      <c r="E21" s="268"/>
      <c r="F21" s="133"/>
    </row>
    <row r="22" spans="1:7" ht="15" customHeight="1">
      <c r="A22" s="133"/>
      <c r="B22" s="133"/>
      <c r="C22" s="268"/>
      <c r="D22" s="268"/>
      <c r="E22" s="268"/>
      <c r="F22" s="133"/>
    </row>
    <row r="23" spans="1:7" ht="15" customHeight="1">
      <c r="A23" s="133"/>
      <c r="B23" s="133"/>
      <c r="C23" s="268"/>
      <c r="D23" s="268"/>
      <c r="E23" s="268"/>
      <c r="F23" s="133"/>
    </row>
    <row r="24" spans="1:7">
      <c r="A24" s="117"/>
      <c r="B24" s="270" t="s">
        <v>126</v>
      </c>
      <c r="C24" s="271">
        <f>SUM(C10:C23)</f>
        <v>0</v>
      </c>
      <c r="D24" s="271">
        <f>SUM(D10:D23)</f>
        <v>0</v>
      </c>
      <c r="E24" s="271">
        <f>SUM(E10:E23)</f>
        <v>0</v>
      </c>
      <c r="F24" s="272"/>
      <c r="G24" s="181"/>
    </row>
    <row r="25" spans="1:7">
      <c r="A25" s="117"/>
      <c r="B25" s="273" t="s">
        <v>570</v>
      </c>
      <c r="C25" s="274"/>
      <c r="D25" s="275"/>
      <c r="E25" s="275"/>
      <c r="F25" s="272"/>
      <c r="G25" s="181"/>
    </row>
    <row r="26" spans="1:7">
      <c r="A26" s="117"/>
      <c r="B26" s="270" t="s">
        <v>168</v>
      </c>
      <c r="C26" s="271">
        <f>C24</f>
        <v>0</v>
      </c>
      <c r="D26" s="271">
        <f>SUM(D24-D25)</f>
        <v>0</v>
      </c>
      <c r="E26" s="271">
        <f>SUM(E24-E25)</f>
        <v>0</v>
      </c>
      <c r="F26" s="272"/>
      <c r="G26" s="181"/>
    </row>
    <row r="27" spans="1:7">
      <c r="A27" s="100"/>
      <c r="B27" s="100"/>
      <c r="C27" s="100"/>
      <c r="D27" s="140"/>
      <c r="E27" s="140"/>
      <c r="F27" s="140"/>
      <c r="G27" s="181"/>
    </row>
    <row r="28" spans="1:7">
      <c r="A28" s="100"/>
      <c r="B28" s="100"/>
      <c r="C28" s="100"/>
      <c r="D28" s="140"/>
      <c r="E28" s="140"/>
      <c r="F28" s="140"/>
      <c r="G28" s="181"/>
    </row>
    <row r="29" spans="1:7">
      <c r="A29" s="430" t="s">
        <v>571</v>
      </c>
      <c r="B29" s="431" t="str">
        <f>CONCATENATE("Adjustments are required only if the transfer is being made in ",D9," and/or ",E9," from a non-budgeted fund.")</f>
        <v>Adjustments are required only if the transfer is being made in 2012 and/or 2013 from a non-budgeted fund.</v>
      </c>
      <c r="C29" s="100"/>
      <c r="D29" s="140"/>
      <c r="E29" s="140"/>
      <c r="F29" s="140"/>
      <c r="G29" s="181"/>
    </row>
    <row r="30" spans="1:7">
      <c r="A30" s="181"/>
      <c r="B30" s="181"/>
      <c r="C30" s="181"/>
      <c r="D30" s="181"/>
      <c r="E30" s="181"/>
      <c r="F30" s="181"/>
      <c r="G30" s="181"/>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TransferStatutes</vt:lpstr>
      <vt:lpstr>debt</vt:lpstr>
      <vt:lpstr>gen</vt:lpstr>
      <vt:lpstr>debt 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cert!Print_Area</vt:lpstr>
      <vt:lpstr>'debt service'!Print_Area</vt:lpstr>
      <vt:lpstr>gen!Print_Area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2012-07-19T22:04:00Z</cp:lastPrinted>
  <dcterms:created xsi:type="dcterms:W3CDTF">1999-08-06T13:59:57Z</dcterms:created>
  <dcterms:modified xsi:type="dcterms:W3CDTF">2012-11-09T18:21:51Z</dcterms:modified>
</cp:coreProperties>
</file>