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30" windowHeight="5160" tabRatio="850" activeTab="4"/>
  </bookViews>
  <sheets>
    <sheet name="instructions" sheetId="1" r:id="rId1"/>
    <sheet name="inputPrYr" sheetId="2" r:id="rId2"/>
    <sheet name="inputOth" sheetId="20" r:id="rId3"/>
    <sheet name="inputBudSum" sheetId="31" r:id="rId4"/>
    <sheet name="cert" sheetId="3" r:id="rId5"/>
    <sheet name="computation" sheetId="14" r:id="rId6"/>
    <sheet name="mvalloc" sheetId="4" r:id="rId7"/>
    <sheet name="transfer" sheetId="21" r:id="rId8"/>
    <sheet name="TransferStatutes" sheetId="23" r:id="rId9"/>
    <sheet name="debt-lease" sheetId="13" r:id="rId10"/>
    <sheet name="Library Grant" sheetId="34" r:id="rId11"/>
    <sheet name="gen" sheetId="6" r:id="rId12"/>
    <sheet name="DebtSvs-Library" sheetId="35" r:id="rId13"/>
    <sheet name="road" sheetId="7" r:id="rId14"/>
    <sheet name="levypage9" sheetId="8" r:id="rId15"/>
    <sheet name="levypage10" sheetId="9" r:id="rId16"/>
    <sheet name="levypage11" sheetId="10" r:id="rId17"/>
    <sheet name="nolevypage12" sheetId="17" r:id="rId18"/>
    <sheet name="nonbud" sheetId="24" r:id="rId19"/>
    <sheet name="NonBudFunds" sheetId="30" r:id="rId20"/>
    <sheet name="summ" sheetId="12" r:id="rId21"/>
    <sheet name="nhood" sheetId="22" r:id="rId22"/>
    <sheet name="Resolution" sheetId="16" r:id="rId23"/>
    <sheet name="Tab A" sheetId="25" r:id="rId24"/>
    <sheet name="Tab B" sheetId="26" r:id="rId25"/>
    <sheet name="Tab C" sheetId="27" r:id="rId26"/>
    <sheet name="Tab D" sheetId="28" r:id="rId27"/>
    <sheet name="Tab E" sheetId="29" r:id="rId28"/>
    <sheet name="Mill Rate Computation" sheetId="32" r:id="rId29"/>
    <sheet name="Helpful Links" sheetId="33" r:id="rId30"/>
    <sheet name="legend" sheetId="15" r:id="rId31"/>
  </sheets>
  <definedNames>
    <definedName name="_xlnm.Print_Area" localSheetId="12">'DebtSvs-Library'!$B$1:$E$83</definedName>
    <definedName name="_xlnm.Print_Area" localSheetId="11">gen!$B$1:$E$61</definedName>
    <definedName name="_xlnm.Print_Area" localSheetId="1">inputPrYr!$A$1:$E$85</definedName>
    <definedName name="_xlnm.Print_Area" localSheetId="15">levypage10!$A$1:$E$86</definedName>
    <definedName name="_xlnm.Print_Area" localSheetId="16">levypage11!$A$1:$E$86</definedName>
    <definedName name="_xlnm.Print_Area" localSheetId="14">levypage9!$A$1:$E$86</definedName>
    <definedName name="_xlnm.Print_Area" localSheetId="10">'Library Grant'!$A$1:$J$40</definedName>
    <definedName name="_xlnm.Print_Area" localSheetId="13">road!$B$1:$F$68</definedName>
    <definedName name="_xlnm.Print_Area" localSheetId="20">summ!$B$2:$I$49</definedName>
  </definedNames>
  <calcPr calcId="145621"/>
</workbook>
</file>

<file path=xl/calcChain.xml><?xml version="1.0" encoding="utf-8"?>
<calcChain xmlns="http://schemas.openxmlformats.org/spreadsheetml/2006/main">
  <c r="D48" i="10" l="1"/>
  <c r="D8" i="10"/>
  <c r="D48" i="9"/>
  <c r="D8" i="9"/>
  <c r="D48" i="8"/>
  <c r="D8" i="8"/>
  <c r="D8" i="7"/>
  <c r="D48" i="35"/>
  <c r="D60" i="35"/>
  <c r="D59" i="35"/>
  <c r="D8" i="35"/>
  <c r="D8" i="6"/>
  <c r="G18" i="2"/>
  <c r="D79" i="35"/>
  <c r="D39" i="35"/>
  <c r="D19" i="3"/>
  <c r="C61" i="6"/>
  <c r="D75" i="35"/>
  <c r="C75" i="35"/>
  <c r="C35" i="35"/>
  <c r="D35" i="35"/>
  <c r="B45" i="35"/>
  <c r="B19" i="3"/>
  <c r="B46" i="12"/>
  <c r="B47" i="12"/>
  <c r="G21" i="31"/>
  <c r="G23" i="31" s="1"/>
  <c r="B19" i="34"/>
  <c r="B18" i="34"/>
  <c r="B17" i="34"/>
  <c r="B16" i="34"/>
  <c r="B15" i="34"/>
  <c r="D23" i="3"/>
  <c r="D22" i="3"/>
  <c r="C23" i="3"/>
  <c r="B23" i="3"/>
  <c r="F20" i="12"/>
  <c r="E29" i="34"/>
  <c r="D20" i="12"/>
  <c r="B20" i="12"/>
  <c r="E8" i="22"/>
  <c r="D8" i="22"/>
  <c r="B8" i="22"/>
  <c r="D13" i="4"/>
  <c r="B13" i="4"/>
  <c r="A48" i="20"/>
  <c r="A19" i="20"/>
  <c r="B44" i="2"/>
  <c r="E19" i="34"/>
  <c r="E18" i="34"/>
  <c r="E17" i="34"/>
  <c r="E16" i="34"/>
  <c r="G16" i="34"/>
  <c r="G14" i="34"/>
  <c r="E14" i="34"/>
  <c r="B8" i="34"/>
  <c r="B7" i="34"/>
  <c r="B5" i="34"/>
  <c r="B5" i="35"/>
  <c r="E1" i="35"/>
  <c r="B1" i="35"/>
  <c r="D73" i="35"/>
  <c r="E20" i="12"/>
  <c r="C73" i="35"/>
  <c r="C20" i="12"/>
  <c r="C60" i="35"/>
  <c r="C61" i="35"/>
  <c r="C74" i="35"/>
  <c r="D33" i="35"/>
  <c r="E19" i="12"/>
  <c r="C33" i="35"/>
  <c r="C19" i="12"/>
  <c r="C20" i="35"/>
  <c r="C21" i="35"/>
  <c r="D20" i="35"/>
  <c r="D19" i="35"/>
  <c r="H79" i="35"/>
  <c r="B78" i="34"/>
  <c r="B89" i="34"/>
  <c r="B2" i="4"/>
  <c r="J148" i="32"/>
  <c r="H134" i="32"/>
  <c r="C137" i="32"/>
  <c r="J137" i="32"/>
  <c r="H120" i="32"/>
  <c r="C123" i="32"/>
  <c r="J123" i="32"/>
  <c r="F117" i="32"/>
  <c r="H117" i="32"/>
  <c r="F123" i="32"/>
  <c r="H114" i="32"/>
  <c r="C103" i="32"/>
  <c r="H100" i="32"/>
  <c r="H94" i="32"/>
  <c r="F97" i="32"/>
  <c r="H97" i="32"/>
  <c r="F103" i="32"/>
  <c r="J103" i="32"/>
  <c r="H80" i="32"/>
  <c r="C83" i="32"/>
  <c r="J83" i="32"/>
  <c r="F77" i="32"/>
  <c r="H77" i="32"/>
  <c r="F83" i="32"/>
  <c r="H74" i="32"/>
  <c r="H48" i="32"/>
  <c r="F50" i="32"/>
  <c r="J50" i="32"/>
  <c r="H41" i="32"/>
  <c r="H28" i="32"/>
  <c r="B28" i="32"/>
  <c r="H25" i="32"/>
  <c r="C25" i="32"/>
  <c r="G25" i="2"/>
  <c r="G24" i="2"/>
  <c r="G23" i="2"/>
  <c r="G22" i="2"/>
  <c r="G21" i="2"/>
  <c r="G20" i="2"/>
  <c r="G19" i="2"/>
  <c r="G17" i="2"/>
  <c r="G16" i="2"/>
  <c r="C31" i="12"/>
  <c r="D34" i="3"/>
  <c r="D30" i="3"/>
  <c r="D29" i="3"/>
  <c r="D28" i="3"/>
  <c r="D27" i="3"/>
  <c r="D26" i="3"/>
  <c r="D25" i="3"/>
  <c r="D24" i="3"/>
  <c r="D21" i="3"/>
  <c r="C59" i="7"/>
  <c r="C58" i="7"/>
  <c r="C57" i="7"/>
  <c r="D39" i="10"/>
  <c r="D79" i="10"/>
  <c r="D39" i="9"/>
  <c r="D79" i="9"/>
  <c r="D39" i="8"/>
  <c r="D79" i="8"/>
  <c r="D49" i="7"/>
  <c r="D56" i="6"/>
  <c r="C75" i="10"/>
  <c r="D75" i="10"/>
  <c r="C35" i="10"/>
  <c r="D35" i="10"/>
  <c r="C75" i="9"/>
  <c r="D75" i="9"/>
  <c r="C35" i="9"/>
  <c r="D35" i="9"/>
  <c r="C75" i="8"/>
  <c r="D75" i="8"/>
  <c r="C35" i="8"/>
  <c r="D35" i="8"/>
  <c r="C45" i="7"/>
  <c r="D45" i="7"/>
  <c r="C52" i="6"/>
  <c r="D52" i="6"/>
  <c r="D26" i="6"/>
  <c r="A8" i="29"/>
  <c r="A46" i="28"/>
  <c r="A41" i="28"/>
  <c r="A6" i="28"/>
  <c r="A38" i="27"/>
  <c r="A33" i="27"/>
  <c r="A19" i="27"/>
  <c r="A6" i="27"/>
  <c r="A34" i="26"/>
  <c r="A33" i="26"/>
  <c r="A6" i="26"/>
  <c r="A77" i="25"/>
  <c r="A74" i="25"/>
  <c r="A33" i="25"/>
  <c r="A28" i="25"/>
  <c r="A25" i="25"/>
  <c r="A16" i="25"/>
  <c r="A6" i="25"/>
  <c r="B7" i="12"/>
  <c r="B9" i="12"/>
  <c r="D19" i="22"/>
  <c r="B30" i="12"/>
  <c r="B33" i="3"/>
  <c r="D33" i="3"/>
  <c r="I5" i="24"/>
  <c r="G5" i="24"/>
  <c r="E5" i="24"/>
  <c r="C5" i="24"/>
  <c r="A5" i="24"/>
  <c r="K1" i="24"/>
  <c r="F2" i="24"/>
  <c r="A1" i="24"/>
  <c r="J28" i="24"/>
  <c r="H28" i="24"/>
  <c r="F28" i="24"/>
  <c r="D28" i="24"/>
  <c r="B28" i="24"/>
  <c r="J17" i="24"/>
  <c r="J18" i="24"/>
  <c r="H17" i="24"/>
  <c r="H18" i="24"/>
  <c r="F17" i="24"/>
  <c r="F18" i="24"/>
  <c r="D17" i="24"/>
  <c r="D18" i="24"/>
  <c r="B17" i="24"/>
  <c r="B18" i="24"/>
  <c r="K7" i="24"/>
  <c r="E14" i="2"/>
  <c r="G15" i="2"/>
  <c r="D14" i="2"/>
  <c r="D14" i="4"/>
  <c r="D20" i="4"/>
  <c r="D19" i="4"/>
  <c r="D18" i="4"/>
  <c r="D17" i="4"/>
  <c r="D16" i="4"/>
  <c r="D15" i="4"/>
  <c r="D12" i="4"/>
  <c r="E12" i="21"/>
  <c r="D12" i="21"/>
  <c r="C12" i="21"/>
  <c r="D11" i="4"/>
  <c r="J6" i="14"/>
  <c r="A26" i="2"/>
  <c r="D43" i="7"/>
  <c r="C43" i="7"/>
  <c r="C74" i="7"/>
  <c r="D23" i="7"/>
  <c r="E13" i="7"/>
  <c r="C26" i="6"/>
  <c r="C27" i="6"/>
  <c r="C46" i="6"/>
  <c r="C50" i="6"/>
  <c r="G55" i="6"/>
  <c r="C44" i="6"/>
  <c r="E13" i="6"/>
  <c r="E14" i="6"/>
  <c r="E26" i="2"/>
  <c r="G23" i="4"/>
  <c r="I25" i="4"/>
  <c r="J27" i="4"/>
  <c r="D20" i="10"/>
  <c r="C20" i="10"/>
  <c r="C21" i="10"/>
  <c r="C33" i="10"/>
  <c r="G38" i="10"/>
  <c r="D33" i="10"/>
  <c r="D60" i="10"/>
  <c r="C60" i="10"/>
  <c r="C61" i="10"/>
  <c r="C73" i="10"/>
  <c r="G78" i="10"/>
  <c r="D73" i="10"/>
  <c r="D72" i="10"/>
  <c r="D20" i="9"/>
  <c r="C20" i="9"/>
  <c r="C21" i="9"/>
  <c r="C34" i="9"/>
  <c r="C33" i="9"/>
  <c r="G38" i="9"/>
  <c r="D33" i="9"/>
  <c r="C73" i="9"/>
  <c r="G78" i="9"/>
  <c r="C60" i="9"/>
  <c r="C59" i="9"/>
  <c r="D60" i="9"/>
  <c r="D73" i="9"/>
  <c r="D72" i="9"/>
  <c r="D60" i="8"/>
  <c r="C20" i="8"/>
  <c r="C21" i="8"/>
  <c r="C33" i="8"/>
  <c r="G38" i="8"/>
  <c r="D20" i="8"/>
  <c r="D33" i="8"/>
  <c r="C73" i="8"/>
  <c r="G78" i="8"/>
  <c r="C60" i="8"/>
  <c r="D11" i="21"/>
  <c r="E13" i="21"/>
  <c r="D13" i="21"/>
  <c r="D27" i="21"/>
  <c r="D29" i="21"/>
  <c r="E33" i="12"/>
  <c r="C13" i="21"/>
  <c r="C11" i="21"/>
  <c r="C23" i="7"/>
  <c r="C24" i="7"/>
  <c r="D73" i="8"/>
  <c r="D72" i="8"/>
  <c r="E1" i="10"/>
  <c r="H38" i="10"/>
  <c r="B35" i="10"/>
  <c r="E1" i="9"/>
  <c r="H86" i="9"/>
  <c r="C40" i="9"/>
  <c r="E1" i="8"/>
  <c r="H38" i="8"/>
  <c r="C80" i="8"/>
  <c r="E1" i="7"/>
  <c r="H55" i="7"/>
  <c r="C54" i="7"/>
  <c r="E1" i="6"/>
  <c r="H62" i="6"/>
  <c r="D28" i="17"/>
  <c r="C28" i="17"/>
  <c r="C27" i="17"/>
  <c r="D59" i="17"/>
  <c r="E29" i="12"/>
  <c r="C59" i="17"/>
  <c r="E1" i="17"/>
  <c r="B30" i="17"/>
  <c r="C30" i="17"/>
  <c r="D61" i="17"/>
  <c r="C61" i="17"/>
  <c r="D30" i="17"/>
  <c r="D31" i="2"/>
  <c r="A31" i="2"/>
  <c r="A55" i="2"/>
  <c r="A54" i="2"/>
  <c r="D40" i="2"/>
  <c r="G11" i="14"/>
  <c r="E14" i="14"/>
  <c r="E15" i="14"/>
  <c r="G18" i="14"/>
  <c r="E22" i="14"/>
  <c r="E1" i="20"/>
  <c r="A39" i="20"/>
  <c r="D37" i="3"/>
  <c r="D38" i="3"/>
  <c r="D6" i="22"/>
  <c r="E6" i="22"/>
  <c r="D7" i="22"/>
  <c r="E7" i="22"/>
  <c r="E30" i="35" s="1"/>
  <c r="E33" i="35" s="1"/>
  <c r="D14" i="22"/>
  <c r="E14" i="22"/>
  <c r="E30" i="10"/>
  <c r="E33" i="10" s="1"/>
  <c r="D15" i="22"/>
  <c r="E15" i="22"/>
  <c r="E70" i="10"/>
  <c r="E73" i="10" s="1"/>
  <c r="D9" i="22"/>
  <c r="E9" i="22"/>
  <c r="D10" i="22"/>
  <c r="E10" i="22"/>
  <c r="E30" i="8"/>
  <c r="E33" i="8" s="1"/>
  <c r="D11" i="22"/>
  <c r="E11" i="22"/>
  <c r="E70" i="8"/>
  <c r="E73" i="8" s="1"/>
  <c r="D12" i="22"/>
  <c r="E12" i="22"/>
  <c r="E30" i="9"/>
  <c r="E33" i="9" s="1"/>
  <c r="D13" i="22"/>
  <c r="E13" i="22"/>
  <c r="E70" i="9"/>
  <c r="E73" i="9" s="1"/>
  <c r="J1" i="14"/>
  <c r="B18" i="14"/>
  <c r="D21" i="22"/>
  <c r="D23" i="22"/>
  <c r="D25" i="22"/>
  <c r="E46" i="17"/>
  <c r="E45" i="17"/>
  <c r="D46" i="17"/>
  <c r="D45" i="17"/>
  <c r="C46" i="17"/>
  <c r="C45" i="17"/>
  <c r="E59" i="17"/>
  <c r="E58" i="17"/>
  <c r="C25" i="6"/>
  <c r="D32" i="8"/>
  <c r="C72" i="8"/>
  <c r="C32" i="9"/>
  <c r="C19" i="9"/>
  <c r="C72" i="10"/>
  <c r="C59" i="10"/>
  <c r="C32" i="10"/>
  <c r="C19" i="10"/>
  <c r="E28" i="17"/>
  <c r="E27" i="17"/>
  <c r="E15" i="17"/>
  <c r="E14" i="17"/>
  <c r="D15" i="17"/>
  <c r="D14" i="17"/>
  <c r="C15" i="17"/>
  <c r="C14" i="17"/>
  <c r="F1" i="22"/>
  <c r="A29" i="22"/>
  <c r="A1" i="22"/>
  <c r="B15" i="22"/>
  <c r="B14" i="22"/>
  <c r="B13" i="22"/>
  <c r="B12" i="22"/>
  <c r="B11" i="22"/>
  <c r="B10" i="22"/>
  <c r="B9" i="22"/>
  <c r="B7" i="22"/>
  <c r="B6" i="22"/>
  <c r="C16" i="22"/>
  <c r="E16" i="4"/>
  <c r="C47" i="17"/>
  <c r="C60" i="17"/>
  <c r="C16" i="17"/>
  <c r="C29" i="17"/>
  <c r="A57" i="20"/>
  <c r="A56" i="20"/>
  <c r="A55" i="20"/>
  <c r="A54" i="20"/>
  <c r="A53" i="20"/>
  <c r="A52" i="20"/>
  <c r="A51" i="20"/>
  <c r="A50" i="20"/>
  <c r="A49" i="20"/>
  <c r="A47" i="20"/>
  <c r="A46" i="20"/>
  <c r="E12" i="4"/>
  <c r="E14" i="4"/>
  <c r="E15" i="4"/>
  <c r="E17" i="4"/>
  <c r="E18" i="4"/>
  <c r="E19" i="4"/>
  <c r="E20" i="4"/>
  <c r="E11" i="4"/>
  <c r="J1" i="4"/>
  <c r="B10" i="4"/>
  <c r="G37" i="12"/>
  <c r="G27" i="34"/>
  <c r="G29" i="12"/>
  <c r="E28" i="12"/>
  <c r="D27" i="20"/>
  <c r="F27" i="12"/>
  <c r="G84" i="10"/>
  <c r="F26" i="12"/>
  <c r="G44" i="10"/>
  <c r="F25" i="12"/>
  <c r="G84" i="9"/>
  <c r="F24" i="12"/>
  <c r="G44" i="9"/>
  <c r="F23" i="12"/>
  <c r="G84" i="8"/>
  <c r="F22" i="12"/>
  <c r="G44" i="8"/>
  <c r="F21" i="12"/>
  <c r="G54" i="7"/>
  <c r="F19" i="12"/>
  <c r="G44" i="35"/>
  <c r="F18" i="12"/>
  <c r="G61" i="6"/>
  <c r="C37" i="12"/>
  <c r="A26" i="20"/>
  <c r="A25" i="20"/>
  <c r="A24" i="20"/>
  <c r="A23" i="20"/>
  <c r="A22" i="20"/>
  <c r="A21" i="20"/>
  <c r="A20" i="20"/>
  <c r="A18" i="20"/>
  <c r="A17" i="20"/>
  <c r="H25" i="4"/>
  <c r="F15" i="13"/>
  <c r="G41" i="12"/>
  <c r="F1" i="21"/>
  <c r="D9" i="21"/>
  <c r="A2" i="21"/>
  <c r="E37" i="12"/>
  <c r="E27" i="34"/>
  <c r="H1" i="3"/>
  <c r="C41" i="3"/>
  <c r="A52" i="2"/>
  <c r="E42" i="12"/>
  <c r="E41" i="12"/>
  <c r="C42" i="12"/>
  <c r="C43" i="12"/>
  <c r="C41" i="12"/>
  <c r="E40" i="12"/>
  <c r="C40" i="12"/>
  <c r="E58" i="2"/>
  <c r="D58" i="2"/>
  <c r="A8" i="20"/>
  <c r="A2" i="20"/>
  <c r="A1" i="20"/>
  <c r="A41" i="2"/>
  <c r="A13" i="2"/>
  <c r="A7" i="16"/>
  <c r="A11" i="16"/>
  <c r="A26" i="16"/>
  <c r="A30" i="16"/>
  <c r="F11" i="13"/>
  <c r="G40" i="12"/>
  <c r="L15" i="13"/>
  <c r="K15" i="13"/>
  <c r="J15" i="13"/>
  <c r="I15" i="13"/>
  <c r="L11" i="13"/>
  <c r="L16" i="13"/>
  <c r="K11" i="13"/>
  <c r="K16" i="13"/>
  <c r="J11" i="13"/>
  <c r="J16" i="13"/>
  <c r="I11" i="13"/>
  <c r="I16" i="13"/>
  <c r="I1" i="12"/>
  <c r="K43" i="12"/>
  <c r="D19" i="12"/>
  <c r="B12" i="4"/>
  <c r="L1" i="13"/>
  <c r="G23" i="13"/>
  <c r="B43" i="2"/>
  <c r="C22" i="3"/>
  <c r="B3" i="3"/>
  <c r="A36" i="14"/>
  <c r="B32" i="14"/>
  <c r="B22" i="14"/>
  <c r="C15" i="14"/>
  <c r="C14" i="14"/>
  <c r="B9" i="14"/>
  <c r="B6" i="14"/>
  <c r="B5" i="14"/>
  <c r="A3" i="14"/>
  <c r="D33" i="16"/>
  <c r="A21" i="16"/>
  <c r="A6" i="16"/>
  <c r="C28" i="12"/>
  <c r="C29" i="12"/>
  <c r="D32" i="3"/>
  <c r="D31" i="3"/>
  <c r="B29" i="12"/>
  <c r="B28" i="12"/>
  <c r="B32" i="3"/>
  <c r="B31" i="3"/>
  <c r="B1" i="17"/>
  <c r="B36" i="17"/>
  <c r="B5" i="17"/>
  <c r="A12" i="16"/>
  <c r="I6" i="16"/>
  <c r="C30" i="3"/>
  <c r="C29" i="3"/>
  <c r="C28" i="3"/>
  <c r="C27" i="3"/>
  <c r="C26" i="3"/>
  <c r="C25" i="3"/>
  <c r="C24" i="3"/>
  <c r="B30" i="3"/>
  <c r="B29" i="3"/>
  <c r="B28" i="3"/>
  <c r="B27" i="3"/>
  <c r="B26" i="3"/>
  <c r="B25" i="3"/>
  <c r="B24" i="3"/>
  <c r="D36" i="3"/>
  <c r="C21" i="3"/>
  <c r="B21" i="3"/>
  <c r="B5" i="3"/>
  <c r="C1" i="14"/>
  <c r="I36" i="13"/>
  <c r="H36" i="13"/>
  <c r="G36" i="13"/>
  <c r="G42" i="12"/>
  <c r="G43" i="12"/>
  <c r="B2" i="13"/>
  <c r="B1" i="13"/>
  <c r="B5" i="6"/>
  <c r="B1" i="6"/>
  <c r="D52" i="2"/>
  <c r="B51" i="2"/>
  <c r="B50" i="2"/>
  <c r="B49" i="2"/>
  <c r="B48" i="2"/>
  <c r="B47" i="2"/>
  <c r="B46" i="2"/>
  <c r="B45" i="2"/>
  <c r="B42" i="2"/>
  <c r="B20" i="4"/>
  <c r="B19" i="4"/>
  <c r="B18" i="4"/>
  <c r="B17" i="4"/>
  <c r="B16" i="4"/>
  <c r="B15" i="4"/>
  <c r="B14" i="4"/>
  <c r="B11" i="4"/>
  <c r="B1" i="4"/>
  <c r="B1" i="7"/>
  <c r="B5" i="7"/>
  <c r="B27" i="12"/>
  <c r="B26" i="12"/>
  <c r="B25" i="12"/>
  <c r="B24" i="12"/>
  <c r="B23" i="12"/>
  <c r="B22" i="12"/>
  <c r="B21" i="12"/>
  <c r="E21" i="12"/>
  <c r="D27" i="12"/>
  <c r="D26" i="12"/>
  <c r="D25" i="12"/>
  <c r="D24" i="12"/>
  <c r="D23" i="12"/>
  <c r="D22" i="12"/>
  <c r="D21" i="12"/>
  <c r="D18" i="12"/>
  <c r="C35" i="12"/>
  <c r="B18" i="12"/>
  <c r="B6" i="12"/>
  <c r="B5" i="12"/>
  <c r="E25" i="12"/>
  <c r="C24" i="12"/>
  <c r="E24" i="12"/>
  <c r="E27" i="12"/>
  <c r="C27" i="12"/>
  <c r="C26" i="12"/>
  <c r="E26" i="12"/>
  <c r="E23" i="12"/>
  <c r="C23" i="12"/>
  <c r="C22" i="12"/>
  <c r="E22" i="12"/>
  <c r="B1" i="8"/>
  <c r="B45" i="8"/>
  <c r="B5" i="8"/>
  <c r="B45" i="9"/>
  <c r="B5" i="9"/>
  <c r="B1" i="9"/>
  <c r="B45" i="10"/>
  <c r="B5" i="10"/>
  <c r="B1" i="10"/>
  <c r="A11" i="20"/>
  <c r="B44" i="20"/>
  <c r="A12" i="20"/>
  <c r="A6" i="20"/>
  <c r="A29" i="20"/>
  <c r="A10" i="20"/>
  <c r="A7" i="20"/>
  <c r="A15" i="20"/>
  <c r="B61" i="17"/>
  <c r="C40" i="10"/>
  <c r="B75" i="10"/>
  <c r="C61" i="8"/>
  <c r="C74" i="8"/>
  <c r="C59" i="8"/>
  <c r="E35" i="12"/>
  <c r="J5" i="14"/>
  <c r="J7" i="14"/>
  <c r="C40" i="8"/>
  <c r="B75" i="8"/>
  <c r="C27" i="21"/>
  <c r="C29" i="21"/>
  <c r="C33" i="12"/>
  <c r="C61" i="9"/>
  <c r="C74" i="9"/>
  <c r="D32" i="9"/>
  <c r="D32" i="10"/>
  <c r="E11" i="3"/>
  <c r="B8" i="3"/>
  <c r="I6" i="13"/>
  <c r="I23" i="13"/>
  <c r="F16" i="13"/>
  <c r="A31" i="20"/>
  <c r="A13" i="20"/>
  <c r="C44" i="20"/>
  <c r="A9" i="20"/>
  <c r="C80" i="10"/>
  <c r="F12" i="3"/>
  <c r="E14" i="12"/>
  <c r="G39" i="12"/>
  <c r="E9" i="21"/>
  <c r="B35" i="8"/>
  <c r="B45" i="7"/>
  <c r="B52" i="6"/>
  <c r="F7" i="13"/>
  <c r="C9" i="21"/>
  <c r="B3" i="22"/>
  <c r="E5" i="22"/>
  <c r="B13" i="14"/>
  <c r="D5" i="22"/>
  <c r="K6" i="13"/>
  <c r="B11" i="14"/>
  <c r="B35" i="9"/>
  <c r="E32" i="3"/>
  <c r="J29" i="24"/>
  <c r="J30" i="24"/>
  <c r="H29" i="24"/>
  <c r="H30" i="24"/>
  <c r="F29" i="24"/>
  <c r="F30" i="24"/>
  <c r="D29" i="24"/>
  <c r="D30" i="24"/>
  <c r="K28" i="24"/>
  <c r="C30" i="12"/>
  <c r="H23" i="13"/>
  <c r="E39" i="12"/>
  <c r="B75" i="9"/>
  <c r="B11" i="12"/>
  <c r="E9" i="4"/>
  <c r="B29" i="24"/>
  <c r="B30" i="24"/>
  <c r="K18" i="24"/>
  <c r="K17" i="24"/>
  <c r="D58" i="17"/>
  <c r="C58" i="17"/>
  <c r="E31" i="3"/>
  <c r="D27" i="17"/>
  <c r="C25" i="12"/>
  <c r="C32" i="8"/>
  <c r="D42" i="7"/>
  <c r="A19" i="22"/>
  <c r="C5" i="22"/>
  <c r="F13" i="21"/>
  <c r="F12" i="21"/>
  <c r="E11" i="21"/>
  <c r="E27" i="21"/>
  <c r="E29" i="21"/>
  <c r="G33" i="12"/>
  <c r="D44" i="6"/>
  <c r="D62" i="17"/>
  <c r="D31" i="17"/>
  <c r="C62" i="17"/>
  <c r="C31" i="17"/>
  <c r="C72" i="9"/>
  <c r="C80" i="9"/>
  <c r="F11" i="21"/>
  <c r="D94" i="10"/>
  <c r="C94" i="10"/>
  <c r="D92" i="10"/>
  <c r="C92" i="10"/>
  <c r="D94" i="9"/>
  <c r="C94" i="9"/>
  <c r="D92" i="9"/>
  <c r="C92" i="9"/>
  <c r="B37" i="9"/>
  <c r="D94" i="8"/>
  <c r="C94" i="8"/>
  <c r="D92" i="8"/>
  <c r="C92" i="8"/>
  <c r="C21" i="12"/>
  <c r="C42" i="7"/>
  <c r="D74" i="7"/>
  <c r="D21" i="4"/>
  <c r="G30" i="4"/>
  <c r="G14" i="4"/>
  <c r="G13" i="4"/>
  <c r="C22" i="7"/>
  <c r="G18" i="4"/>
  <c r="E50" i="9"/>
  <c r="G20" i="4"/>
  <c r="E50" i="10"/>
  <c r="G19" i="4"/>
  <c r="E10" i="10"/>
  <c r="G15" i="4"/>
  <c r="E10" i="8"/>
  <c r="G17" i="4"/>
  <c r="E10" i="9"/>
  <c r="G16" i="4"/>
  <c r="E50" i="8"/>
  <c r="C39" i="12"/>
  <c r="C57" i="6"/>
  <c r="C50" i="7"/>
  <c r="K27" i="12"/>
  <c r="K40" i="12"/>
  <c r="K28" i="12"/>
  <c r="K32" i="12"/>
  <c r="K41" i="12"/>
  <c r="K29" i="24"/>
  <c r="C63" i="7"/>
  <c r="C65" i="7"/>
  <c r="K30" i="24"/>
  <c r="A43" i="20"/>
  <c r="D58" i="7"/>
  <c r="C51" i="3"/>
  <c r="D25" i="6"/>
  <c r="G22" i="31"/>
  <c r="G20" i="31" s="1"/>
  <c r="G24" i="31"/>
  <c r="B15" i="3"/>
  <c r="B9" i="3"/>
  <c r="E21" i="4"/>
  <c r="D32" i="12"/>
  <c r="D19" i="10"/>
  <c r="B37" i="10"/>
  <c r="B77" i="9"/>
  <c r="D16" i="22"/>
  <c r="G16" i="14"/>
  <c r="G20" i="14" s="1"/>
  <c r="C95" i="35"/>
  <c r="D59" i="10"/>
  <c r="B32" i="21"/>
  <c r="E15" i="34"/>
  <c r="D59" i="8"/>
  <c r="D19" i="9"/>
  <c r="D19" i="8"/>
  <c r="D59" i="9"/>
  <c r="D22" i="7"/>
  <c r="C93" i="35"/>
  <c r="D5" i="35"/>
  <c r="C19" i="35"/>
  <c r="C32" i="35"/>
  <c r="B35" i="35"/>
  <c r="H35" i="35"/>
  <c r="H36" i="35"/>
  <c r="H38" i="35"/>
  <c r="H39" i="35"/>
  <c r="H43" i="35"/>
  <c r="H44" i="35"/>
  <c r="C45" i="35"/>
  <c r="E45" i="35"/>
  <c r="H45" i="35"/>
  <c r="H46" i="35"/>
  <c r="G64" i="35"/>
  <c r="G68" i="35"/>
  <c r="G71" i="35"/>
  <c r="D72" i="35"/>
  <c r="H73" i="35"/>
  <c r="H74" i="35"/>
  <c r="G78" i="35"/>
  <c r="C80" i="35"/>
  <c r="H83" i="35"/>
  <c r="H84" i="35"/>
  <c r="H85" i="35"/>
  <c r="H86" i="35"/>
  <c r="C5" i="35"/>
  <c r="E5" i="35"/>
  <c r="G24" i="35"/>
  <c r="G28" i="35"/>
  <c r="G31" i="35"/>
  <c r="H33" i="35"/>
  <c r="H34" i="35"/>
  <c r="G38" i="35"/>
  <c r="C40" i="35"/>
  <c r="D45" i="35"/>
  <c r="B75" i="35"/>
  <c r="H75" i="35"/>
  <c r="H76" i="35"/>
  <c r="H78" i="35"/>
  <c r="B47" i="34"/>
  <c r="B84" i="34"/>
  <c r="B91" i="34"/>
  <c r="B46" i="34"/>
  <c r="H32" i="4"/>
  <c r="J34" i="4"/>
  <c r="J19" i="4"/>
  <c r="E12" i="10"/>
  <c r="G9" i="4"/>
  <c r="D10" i="4"/>
  <c r="I32" i="4"/>
  <c r="I13" i="4"/>
  <c r="I19" i="4"/>
  <c r="E11" i="10"/>
  <c r="I20" i="4"/>
  <c r="E51" i="10"/>
  <c r="I17" i="4"/>
  <c r="E11" i="9"/>
  <c r="I18" i="4"/>
  <c r="E51" i="9"/>
  <c r="I15" i="4"/>
  <c r="E11" i="8"/>
  <c r="I16" i="4"/>
  <c r="E51" i="8"/>
  <c r="I12" i="4"/>
  <c r="E11" i="35"/>
  <c r="I14" i="4"/>
  <c r="E11" i="7"/>
  <c r="B5" i="22"/>
  <c r="D5" i="6"/>
  <c r="G41" i="6"/>
  <c r="G48" i="6"/>
  <c r="H51" i="6"/>
  <c r="H53" i="6"/>
  <c r="H56" i="6"/>
  <c r="H61" i="6"/>
  <c r="H63" i="6"/>
  <c r="G38" i="7"/>
  <c r="H43" i="7"/>
  <c r="H45" i="7"/>
  <c r="H48" i="7"/>
  <c r="H53" i="7"/>
  <c r="H56" i="7"/>
  <c r="G24" i="8"/>
  <c r="G31" i="8"/>
  <c r="H34" i="8"/>
  <c r="H36" i="8"/>
  <c r="H43" i="8"/>
  <c r="H45" i="8"/>
  <c r="G64" i="8"/>
  <c r="G71" i="8"/>
  <c r="H74" i="8"/>
  <c r="H76" i="8"/>
  <c r="H79" i="8"/>
  <c r="H84" i="8"/>
  <c r="H86" i="8"/>
  <c r="G28" i="9"/>
  <c r="H33" i="9"/>
  <c r="H35" i="9"/>
  <c r="H39" i="9"/>
  <c r="H44" i="9"/>
  <c r="H46" i="9"/>
  <c r="G68" i="9"/>
  <c r="H73" i="9"/>
  <c r="H75" i="9"/>
  <c r="H78" i="9"/>
  <c r="H83" i="9"/>
  <c r="H85" i="9"/>
  <c r="G24" i="10"/>
  <c r="G31" i="10"/>
  <c r="H34" i="10"/>
  <c r="H36" i="10"/>
  <c r="H43" i="10"/>
  <c r="H45" i="10"/>
  <c r="G64" i="10"/>
  <c r="G71" i="10"/>
  <c r="H74" i="10"/>
  <c r="H76" i="10"/>
  <c r="H79" i="10"/>
  <c r="H84" i="10"/>
  <c r="H86" i="10"/>
  <c r="H38" i="9"/>
  <c r="C5" i="6"/>
  <c r="E5" i="6"/>
  <c r="G45" i="6"/>
  <c r="H50" i="6"/>
  <c r="H52" i="6"/>
  <c r="H55" i="6"/>
  <c r="H60" i="6"/>
  <c r="G34" i="7"/>
  <c r="G41" i="7"/>
  <c r="H44" i="7"/>
  <c r="H46" i="7"/>
  <c r="H49" i="7"/>
  <c r="H54" i="7"/>
  <c r="G28" i="8"/>
  <c r="H33" i="8"/>
  <c r="H35" i="8"/>
  <c r="H39" i="8"/>
  <c r="H44" i="8"/>
  <c r="H46" i="8"/>
  <c r="G68" i="8"/>
  <c r="H73" i="8"/>
  <c r="H75" i="8"/>
  <c r="H78" i="8"/>
  <c r="H83" i="8"/>
  <c r="H85" i="8"/>
  <c r="G24" i="9"/>
  <c r="G31" i="9"/>
  <c r="H34" i="9"/>
  <c r="H36" i="9"/>
  <c r="H43" i="9"/>
  <c r="H45" i="9"/>
  <c r="G64" i="9"/>
  <c r="G71" i="9"/>
  <c r="H74" i="9"/>
  <c r="H76" i="9"/>
  <c r="H79" i="9"/>
  <c r="H84" i="9"/>
  <c r="G28" i="10"/>
  <c r="H33" i="10"/>
  <c r="H35" i="10"/>
  <c r="H39" i="10"/>
  <c r="H44" i="10"/>
  <c r="H46" i="10"/>
  <c r="G68" i="10"/>
  <c r="H73" i="10"/>
  <c r="H75" i="10"/>
  <c r="H78" i="10"/>
  <c r="H83" i="10"/>
  <c r="H85" i="10"/>
  <c r="G12" i="4"/>
  <c r="E10" i="35"/>
  <c r="B37" i="8"/>
  <c r="B77" i="8"/>
  <c r="E43" i="12"/>
  <c r="E28" i="34"/>
  <c r="E51" i="35"/>
  <c r="G18" i="34"/>
  <c r="E50" i="35"/>
  <c r="J13" i="4"/>
  <c r="E52" i="35"/>
  <c r="G19" i="34"/>
  <c r="J14" i="4"/>
  <c r="E12" i="7"/>
  <c r="J12" i="4"/>
  <c r="J16" i="4"/>
  <c r="E52" i="8"/>
  <c r="J15" i="4"/>
  <c r="E12" i="8"/>
  <c r="J18" i="4"/>
  <c r="E52" i="9"/>
  <c r="J17" i="4"/>
  <c r="E12" i="9"/>
  <c r="J20" i="4"/>
  <c r="E52" i="10"/>
  <c r="C72" i="6"/>
  <c r="C51" i="6"/>
  <c r="C73" i="6"/>
  <c r="C18" i="12"/>
  <c r="C49" i="6"/>
  <c r="C34" i="35"/>
  <c r="D32" i="35"/>
  <c r="D93" i="35"/>
  <c r="B37" i="35"/>
  <c r="C72" i="35"/>
  <c r="G48" i="7"/>
  <c r="C19" i="8"/>
  <c r="C34" i="10"/>
  <c r="C74" i="10"/>
  <c r="E22" i="34"/>
  <c r="E70" i="35"/>
  <c r="E73" i="35"/>
  <c r="E40" i="7"/>
  <c r="E43" i="7"/>
  <c r="E47" i="6"/>
  <c r="E50" i="6" s="1"/>
  <c r="E21" i="3" s="1"/>
  <c r="E16" i="22"/>
  <c r="F32" i="12"/>
  <c r="G86" i="35"/>
  <c r="K35" i="12"/>
  <c r="K25" i="12"/>
  <c r="K42" i="12"/>
  <c r="K34" i="12"/>
  <c r="K21" i="12"/>
  <c r="N42" i="12"/>
  <c r="G14" i="12"/>
  <c r="C14" i="12"/>
  <c r="H15" i="12"/>
  <c r="B12" i="12"/>
  <c r="N23" i="12"/>
  <c r="G84" i="35"/>
  <c r="D46" i="10"/>
  <c r="D61" i="10"/>
  <c r="D74" i="10"/>
  <c r="C95" i="10"/>
  <c r="C93" i="10"/>
  <c r="D6" i="10"/>
  <c r="D21" i="10"/>
  <c r="D34" i="10"/>
  <c r="D46" i="9"/>
  <c r="D61" i="9"/>
  <c r="D74" i="9"/>
  <c r="C95" i="9"/>
  <c r="C95" i="8"/>
  <c r="D46" i="8"/>
  <c r="D61" i="8"/>
  <c r="D74" i="8"/>
  <c r="B47" i="7"/>
  <c r="D95" i="35"/>
  <c r="B77" i="35"/>
  <c r="D46" i="35"/>
  <c r="C96" i="35"/>
  <c r="C59" i="35"/>
  <c r="C32" i="12"/>
  <c r="C34" i="12"/>
  <c r="D6" i="35"/>
  <c r="D21" i="35"/>
  <c r="D34" i="35"/>
  <c r="C94" i="35"/>
  <c r="C5" i="7"/>
  <c r="C5" i="17"/>
  <c r="C36" i="17"/>
  <c r="C5" i="10"/>
  <c r="C45" i="10"/>
  <c r="C5" i="9"/>
  <c r="C45" i="9"/>
  <c r="C5" i="8"/>
  <c r="C45" i="8"/>
  <c r="E5" i="7"/>
  <c r="E5" i="17"/>
  <c r="E36" i="17"/>
  <c r="E5" i="10"/>
  <c r="E45" i="10"/>
  <c r="E5" i="9"/>
  <c r="E45" i="9"/>
  <c r="E5" i="8"/>
  <c r="E45" i="8"/>
  <c r="D5" i="17"/>
  <c r="D36" i="17"/>
  <c r="D5" i="8"/>
  <c r="D45" i="8"/>
  <c r="D5" i="10"/>
  <c r="D45" i="10"/>
  <c r="D5" i="7"/>
  <c r="D5" i="9"/>
  <c r="D45" i="9"/>
  <c r="J11" i="4"/>
  <c r="E12" i="6"/>
  <c r="E12" i="35"/>
  <c r="G17" i="34"/>
  <c r="D6" i="6"/>
  <c r="D27" i="6"/>
  <c r="D46" i="6"/>
  <c r="D50" i="6"/>
  <c r="E39" i="10"/>
  <c r="E39" i="9"/>
  <c r="E39" i="35"/>
  <c r="G86" i="8"/>
  <c r="G46" i="8"/>
  <c r="J21" i="4"/>
  <c r="E79" i="10"/>
  <c r="E79" i="9"/>
  <c r="E79" i="8"/>
  <c r="E39" i="8"/>
  <c r="J27" i="9"/>
  <c r="J28" i="9"/>
  <c r="J29" i="9"/>
  <c r="J68" i="35"/>
  <c r="J69" i="35"/>
  <c r="J67" i="35"/>
  <c r="J28" i="35"/>
  <c r="J29" i="35"/>
  <c r="J27" i="35"/>
  <c r="J28" i="8"/>
  <c r="J29" i="8"/>
  <c r="J68" i="9"/>
  <c r="J69" i="9"/>
  <c r="J27" i="10"/>
  <c r="J28" i="10"/>
  <c r="J29" i="10"/>
  <c r="J67" i="9"/>
  <c r="J27" i="8"/>
  <c r="E49" i="7"/>
  <c r="J45" i="6"/>
  <c r="J46" i="6"/>
  <c r="E56" i="6"/>
  <c r="J68" i="10"/>
  <c r="J69" i="10"/>
  <c r="J67" i="10"/>
  <c r="J68" i="8"/>
  <c r="J69" i="8"/>
  <c r="J67" i="8"/>
  <c r="N43" i="12"/>
  <c r="J44" i="6"/>
  <c r="J38" i="7"/>
  <c r="J39" i="7"/>
  <c r="J37" i="7"/>
  <c r="C34" i="8"/>
  <c r="C93" i="8"/>
  <c r="D6" i="8"/>
  <c r="D21" i="8"/>
  <c r="D34" i="8"/>
  <c r="G33" i="8"/>
  <c r="C44" i="7"/>
  <c r="C39" i="7"/>
  <c r="D61" i="35"/>
  <c r="D74" i="35"/>
  <c r="E10" i="7"/>
  <c r="G11" i="4"/>
  <c r="I11" i="4"/>
  <c r="E11" i="6"/>
  <c r="E60" i="35"/>
  <c r="E20" i="10"/>
  <c r="G34" i="10"/>
  <c r="E20" i="35"/>
  <c r="I21" i="4"/>
  <c r="E60" i="10"/>
  <c r="E20" i="9"/>
  <c r="E60" i="9"/>
  <c r="E20" i="8"/>
  <c r="E60" i="8"/>
  <c r="G34" i="35"/>
  <c r="E19" i="35"/>
  <c r="N27" i="12"/>
  <c r="N35" i="12"/>
  <c r="G46" i="10"/>
  <c r="G86" i="10"/>
  <c r="G56" i="7"/>
  <c r="G86" i="9"/>
  <c r="G63" i="6"/>
  <c r="G46" i="9"/>
  <c r="G46" i="35"/>
  <c r="E18" i="12"/>
  <c r="E32" i="12"/>
  <c r="E34" i="12"/>
  <c r="D72" i="6"/>
  <c r="B54" i="6"/>
  <c r="D51" i="6"/>
  <c r="D49" i="6"/>
  <c r="G33" i="35"/>
  <c r="D94" i="35"/>
  <c r="B38" i="35"/>
  <c r="E6" i="35"/>
  <c r="E21" i="35"/>
  <c r="D96" i="35"/>
  <c r="B78" i="35"/>
  <c r="E46" i="35"/>
  <c r="E61" i="35"/>
  <c r="G73" i="35"/>
  <c r="G73" i="9"/>
  <c r="D95" i="9"/>
  <c r="B78" i="9"/>
  <c r="E46" i="9"/>
  <c r="D95" i="10"/>
  <c r="G73" i="10"/>
  <c r="E46" i="10"/>
  <c r="G20" i="12"/>
  <c r="E72" i="35"/>
  <c r="F76" i="35"/>
  <c r="E77" i="35"/>
  <c r="E23" i="3"/>
  <c r="G74" i="10"/>
  <c r="E61" i="10"/>
  <c r="G34" i="9"/>
  <c r="G74" i="9"/>
  <c r="E61" i="9"/>
  <c r="G34" i="8"/>
  <c r="G74" i="8"/>
  <c r="E46" i="8"/>
  <c r="E61" i="8"/>
  <c r="D95" i="8"/>
  <c r="B78" i="8"/>
  <c r="G73" i="8"/>
  <c r="G33" i="10"/>
  <c r="E6" i="10"/>
  <c r="E21" i="10"/>
  <c r="D93" i="10"/>
  <c r="B38" i="10"/>
  <c r="E47" i="7"/>
  <c r="E42" i="7"/>
  <c r="E24" i="3"/>
  <c r="G21" i="12"/>
  <c r="F46" i="7"/>
  <c r="E23" i="7"/>
  <c r="G44" i="7" s="1"/>
  <c r="C63" i="17"/>
  <c r="D37" i="17"/>
  <c r="D47" i="17"/>
  <c r="D60" i="17"/>
  <c r="C32" i="17"/>
  <c r="D6" i="17"/>
  <c r="D16" i="17"/>
  <c r="D29" i="17"/>
  <c r="D6" i="9"/>
  <c r="D21" i="9"/>
  <c r="D34" i="9"/>
  <c r="C93" i="9"/>
  <c r="G28" i="12"/>
  <c r="D93" i="8"/>
  <c r="E6" i="8"/>
  <c r="E21" i="8"/>
  <c r="B38" i="8"/>
  <c r="C75" i="7"/>
  <c r="D6" i="7"/>
  <c r="D24" i="7"/>
  <c r="G21" i="4"/>
  <c r="E10" i="6"/>
  <c r="E26" i="6"/>
  <c r="E59" i="35"/>
  <c r="G74" i="35"/>
  <c r="E78" i="35"/>
  <c r="B38" i="9"/>
  <c r="D93" i="9"/>
  <c r="E6" i="9"/>
  <c r="E21" i="9"/>
  <c r="G33" i="9"/>
  <c r="E79" i="35"/>
  <c r="G51" i="6"/>
  <c r="D73" i="6"/>
  <c r="B55" i="6"/>
  <c r="E6" i="6"/>
  <c r="E27" i="6"/>
  <c r="G50" i="6"/>
  <c r="E6" i="17"/>
  <c r="E16" i="17"/>
  <c r="E29" i="17"/>
  <c r="E30" i="17"/>
  <c r="D32" i="17"/>
  <c r="E37" i="17"/>
  <c r="E47" i="17"/>
  <c r="E60" i="17"/>
  <c r="E61" i="17"/>
  <c r="D63" i="17"/>
  <c r="D44" i="7"/>
  <c r="E6" i="7" s="1"/>
  <c r="E24" i="7" s="1"/>
  <c r="D39" i="7"/>
  <c r="G19" i="31"/>
  <c r="D9" i="31" l="1"/>
  <c r="D75" i="7"/>
  <c r="B48" i="7" s="1"/>
  <c r="G43" i="7"/>
  <c r="E49" i="6"/>
  <c r="E48" i="7"/>
  <c r="E50" i="7" s="1"/>
  <c r="G26" i="14"/>
  <c r="J28" i="14" s="1"/>
  <c r="J30" i="14" s="1"/>
  <c r="G24" i="14"/>
  <c r="E27" i="3"/>
  <c r="E37" i="9"/>
  <c r="E38" i="9" s="1"/>
  <c r="E40" i="9" s="1"/>
  <c r="F36" i="9"/>
  <c r="G24" i="12"/>
  <c r="E32" i="9"/>
  <c r="E25" i="3"/>
  <c r="G22" i="12"/>
  <c r="F36" i="8"/>
  <c r="E32" i="8"/>
  <c r="E37" i="8"/>
  <c r="E38" i="8" s="1"/>
  <c r="E40" i="8" s="1"/>
  <c r="G35" i="8" s="1"/>
  <c r="E37" i="10"/>
  <c r="E38" i="10" s="1"/>
  <c r="E40" i="10" s="1"/>
  <c r="E32" i="10"/>
  <c r="F36" i="10"/>
  <c r="G26" i="12"/>
  <c r="E29" i="3"/>
  <c r="F24" i="3"/>
  <c r="E80" i="35"/>
  <c r="G18" i="12"/>
  <c r="E54" i="6"/>
  <c r="E55" i="6" s="1"/>
  <c r="E57" i="6" s="1"/>
  <c r="F53" i="6"/>
  <c r="F76" i="9"/>
  <c r="E77" i="9"/>
  <c r="E78" i="9" s="1"/>
  <c r="E80" i="9" s="1"/>
  <c r="G25" i="12"/>
  <c r="E72" i="9"/>
  <c r="E28" i="3"/>
  <c r="E72" i="8"/>
  <c r="E77" i="8"/>
  <c r="E78" i="8" s="1"/>
  <c r="E80" i="8" s="1"/>
  <c r="E26" i="3"/>
  <c r="F76" i="8"/>
  <c r="G23" i="12"/>
  <c r="E77" i="10"/>
  <c r="E78" i="10" s="1"/>
  <c r="E80" i="10" s="1"/>
  <c r="F76" i="10"/>
  <c r="G27" i="12"/>
  <c r="E72" i="10"/>
  <c r="E30" i="3"/>
  <c r="E37" i="35"/>
  <c r="E38" i="35" s="1"/>
  <c r="E40" i="35" s="1"/>
  <c r="F36" i="35"/>
  <c r="E32" i="35"/>
  <c r="G19" i="12"/>
  <c r="E22" i="3"/>
  <c r="E35" i="3" s="1"/>
  <c r="G45" i="7" l="1"/>
  <c r="H21" i="12"/>
  <c r="I21" i="12" s="1"/>
  <c r="G53" i="7" s="1"/>
  <c r="E39" i="7"/>
  <c r="G24" i="3"/>
  <c r="E22" i="7"/>
  <c r="G36" i="8"/>
  <c r="G39" i="8" s="1"/>
  <c r="K35" i="8"/>
  <c r="G75" i="10"/>
  <c r="G30" i="3"/>
  <c r="F30" i="3"/>
  <c r="I27" i="12"/>
  <c r="G83" i="10" s="1"/>
  <c r="E59" i="10"/>
  <c r="H27" i="12"/>
  <c r="G26" i="3"/>
  <c r="F26" i="3"/>
  <c r="G75" i="8"/>
  <c r="E59" i="8"/>
  <c r="I23" i="12"/>
  <c r="G83" i="8" s="1"/>
  <c r="H23" i="12"/>
  <c r="G21" i="3"/>
  <c r="E25" i="6"/>
  <c r="F21" i="3"/>
  <c r="G52" i="6"/>
  <c r="E46" i="6"/>
  <c r="H18" i="12"/>
  <c r="I18" i="12" s="1"/>
  <c r="G23" i="3"/>
  <c r="G15" i="34"/>
  <c r="G22" i="34" s="1"/>
  <c r="F23" i="3"/>
  <c r="H20" i="12"/>
  <c r="I20" i="12"/>
  <c r="G29" i="3"/>
  <c r="F29" i="3"/>
  <c r="I26" i="12"/>
  <c r="G43" i="10" s="1"/>
  <c r="H26" i="12"/>
  <c r="G35" i="10"/>
  <c r="E19" i="10"/>
  <c r="J32" i="14"/>
  <c r="J34" i="14" s="1"/>
  <c r="H19" i="12"/>
  <c r="I19" i="12"/>
  <c r="G43" i="35" s="1"/>
  <c r="G22" i="3"/>
  <c r="G35" i="35"/>
  <c r="F22" i="3"/>
  <c r="H25" i="12"/>
  <c r="E59" i="9"/>
  <c r="I25" i="12"/>
  <c r="G83" i="9" s="1"/>
  <c r="G28" i="3"/>
  <c r="F28" i="3"/>
  <c r="G32" i="12"/>
  <c r="G34" i="12" s="1"/>
  <c r="G75" i="35"/>
  <c r="G46" i="7"/>
  <c r="G49" i="7" s="1"/>
  <c r="K45" i="7"/>
  <c r="F25" i="3"/>
  <c r="H22" i="12"/>
  <c r="G25" i="3"/>
  <c r="E19" i="8"/>
  <c r="I22" i="12"/>
  <c r="G43" i="8" s="1"/>
  <c r="G27" i="3"/>
  <c r="G35" i="9"/>
  <c r="E19" i="9"/>
  <c r="F27" i="3"/>
  <c r="H24" i="12"/>
  <c r="I24" i="12"/>
  <c r="G43" i="9" s="1"/>
  <c r="G75" i="9"/>
  <c r="K35" i="9" l="1"/>
  <c r="G36" i="9"/>
  <c r="G39" i="9" s="1"/>
  <c r="G83" i="35"/>
  <c r="G29" i="34"/>
  <c r="E30" i="34" s="1"/>
  <c r="D31" i="34" s="1"/>
  <c r="E44" i="6"/>
  <c r="F35" i="3"/>
  <c r="F37" i="3" s="1"/>
  <c r="I32" i="12"/>
  <c r="G60" i="6"/>
  <c r="G76" i="9"/>
  <c r="G79" i="9" s="1"/>
  <c r="K75" i="9"/>
  <c r="G76" i="35"/>
  <c r="G79" i="35" s="1"/>
  <c r="K75" i="35"/>
  <c r="K35" i="35"/>
  <c r="G36" i="35"/>
  <c r="G39" i="35" s="1"/>
  <c r="K35" i="10"/>
  <c r="G36" i="10"/>
  <c r="G39" i="10" s="1"/>
  <c r="E23" i="34"/>
  <c r="D24" i="34"/>
  <c r="H32" i="12"/>
  <c r="N34" i="12" s="1"/>
  <c r="N36" i="12" s="1"/>
  <c r="G53" i="6"/>
  <c r="G56" i="6" s="1"/>
  <c r="K52" i="6"/>
  <c r="G35" i="3"/>
  <c r="K75" i="8"/>
  <c r="G76" i="8"/>
  <c r="G79" i="8" s="1"/>
  <c r="G76" i="10"/>
  <c r="G79" i="10" s="1"/>
  <c r="K75" i="10"/>
  <c r="F33" i="34" l="1"/>
  <c r="F80" i="35" s="1"/>
  <c r="N29" i="12"/>
  <c r="K29" i="12" s="1"/>
  <c r="N30" i="12"/>
  <c r="K30" i="12" s="1"/>
  <c r="G85" i="10"/>
  <c r="G45" i="9"/>
  <c r="G62" i="6"/>
  <c r="G85" i="9"/>
  <c r="G85" i="8"/>
  <c r="G45" i="35"/>
  <c r="G45" i="8"/>
  <c r="G55" i="7"/>
  <c r="N40" i="12"/>
  <c r="G45" i="10"/>
  <c r="G85" i="35"/>
</calcChain>
</file>

<file path=xl/sharedStrings.xml><?xml version="1.0" encoding="utf-8"?>
<sst xmlns="http://schemas.openxmlformats.org/spreadsheetml/2006/main" count="1563" uniqueCount="945">
  <si>
    <t>Special Road Election held ___________ for ___Mills for ___ years.</t>
  </si>
  <si>
    <t>First levy in ______.</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</si>
  <si>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</si>
  <si>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</si>
  <si>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</si>
  <si>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</si>
  <si>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</si>
  <si>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</si>
  <si>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</si>
  <si>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</si>
  <si>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</si>
  <si>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</si>
  <si>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</si>
  <si>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</si>
  <si>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</si>
  <si>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</si>
  <si>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</si>
  <si>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</si>
  <si>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</si>
  <si>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</si>
  <si>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</si>
  <si>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</si>
  <si>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</si>
  <si>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</si>
  <si>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</si>
  <si>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</si>
  <si>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</si>
  <si>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</si>
  <si>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</si>
  <si>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</si>
  <si>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</si>
  <si>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</si>
  <si>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</si>
  <si>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</si>
  <si>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</si>
  <si>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</si>
  <si>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</si>
  <si>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</si>
  <si>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</si>
  <si>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</si>
  <si>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</si>
  <si>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</si>
  <si>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</si>
  <si>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</si>
  <si>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</si>
  <si>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</si>
  <si>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</si>
  <si>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</si>
  <si>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</si>
  <si>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Outstanding Indebtedness,</t>
  </si>
  <si>
    <t xml:space="preserve">  Jan 1</t>
  </si>
  <si>
    <t>G.O. Bonds</t>
  </si>
  <si>
    <t xml:space="preserve">     Total</t>
  </si>
  <si>
    <t xml:space="preserve">  *Tax rates are expressed in mills.</t>
  </si>
  <si>
    <t>Date</t>
  </si>
  <si>
    <t xml:space="preserve">   Amount Due</t>
  </si>
  <si>
    <t>of</t>
  </si>
  <si>
    <t xml:space="preserve">  Date Due</t>
  </si>
  <si>
    <t>Issue</t>
  </si>
  <si>
    <t>Issued</t>
  </si>
  <si>
    <t>Term</t>
  </si>
  <si>
    <t>Interest</t>
  </si>
  <si>
    <t>Principal</t>
  </si>
  <si>
    <t>Payments</t>
  </si>
  <si>
    <t xml:space="preserve">  Contract</t>
  </si>
  <si>
    <t>Contract</t>
  </si>
  <si>
    <t>Financed</t>
  </si>
  <si>
    <t>Due</t>
  </si>
  <si>
    <t>(Months)</t>
  </si>
  <si>
    <t>16/20 M Vehicle Tax</t>
  </si>
  <si>
    <t>CERTIFICATE</t>
  </si>
  <si>
    <t>NOTICE OF BUDGET HEARING</t>
  </si>
  <si>
    <t>BUDGET SUMMARY</t>
  </si>
  <si>
    <t>STATEMENT OF CONDITIONAL LEASE-PURCHASE AND CERTIFICATE OF PARTICIPATION*</t>
  </si>
  <si>
    <t>STATEMENT OF INDEBTEDNESS</t>
  </si>
  <si>
    <t>County Treasurer's 16/20M Vehicle Estimate</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</si>
  <si>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</si>
  <si>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</si>
  <si>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</si>
  <si>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</si>
  <si>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</si>
  <si>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</si>
  <si>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</si>
  <si>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</si>
  <si>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</si>
  <si>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</si>
  <si>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</si>
  <si>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</si>
  <si>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</si>
  <si>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</si>
  <si>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</si>
  <si>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</si>
  <si>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</si>
  <si>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</si>
  <si>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</si>
  <si>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</si>
  <si>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</si>
  <si>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</si>
  <si>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</si>
  <si>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</si>
  <si>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</si>
  <si>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</si>
  <si>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</si>
  <si>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</si>
  <si>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</si>
  <si>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</si>
  <si>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</si>
  <si>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</si>
  <si>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</si>
  <si>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</si>
  <si>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</si>
  <si>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</si>
  <si>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</si>
  <si>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</si>
  <si>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</si>
  <si>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</si>
  <si>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</si>
  <si>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</si>
  <si>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</si>
  <si>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</si>
  <si>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</si>
  <si>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</si>
  <si>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</si>
  <si>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</si>
  <si>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County Clerk's Use Only</t>
  </si>
  <si>
    <t>Salaries &amp; Wages</t>
  </si>
  <si>
    <t>Buildings Maintenance</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</si>
  <si>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</si>
  <si>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</si>
  <si>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</si>
  <si>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</si>
  <si>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</si>
  <si>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</si>
  <si>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</si>
  <si>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</si>
  <si>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</si>
  <si>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</si>
  <si>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</si>
  <si>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</si>
  <si>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</si>
  <si>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</si>
  <si>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</si>
  <si>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</si>
  <si>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</si>
  <si>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</si>
  <si>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</si>
  <si>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</si>
  <si>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</si>
  <si>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</si>
  <si>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</si>
  <si>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</si>
  <si>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</si>
  <si>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</si>
  <si>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</si>
  <si>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Total G.O. Bonds</t>
  </si>
  <si>
    <t>Total Other</t>
  </si>
  <si>
    <t>Resolution</t>
  </si>
  <si>
    <t>Is a Resolution required?</t>
  </si>
  <si>
    <t>Note:  All amounts are to be entered in as whole numbers only.</t>
  </si>
  <si>
    <t>Motor Vehicle Tax Estimate</t>
  </si>
  <si>
    <t>16\20 M Vehicle Tax</t>
  </si>
  <si>
    <t>LAVTR</t>
  </si>
  <si>
    <t xml:space="preserve">   </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</si>
  <si>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</si>
  <si>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</si>
  <si>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</si>
  <si>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No-Fund Warrant</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</si>
  <si>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</si>
  <si>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</si>
  <si>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</si>
  <si>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</si>
  <si>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</si>
  <si>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</si>
  <si>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</si>
  <si>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</si>
  <si>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</si>
  <si>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</si>
  <si>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</si>
  <si>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</si>
  <si>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</si>
  <si>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</si>
  <si>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</si>
  <si>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</si>
  <si>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</si>
  <si>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</si>
  <si>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</si>
  <si>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</si>
  <si>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Township Spreadsheet Instructions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</si>
  <si>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</si>
  <si>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</si>
  <si>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</si>
  <si>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</si>
  <si>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</si>
  <si>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</si>
  <si>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</si>
  <si>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</si>
  <si>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</si>
  <si>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</si>
  <si>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</si>
  <si>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</si>
  <si>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</si>
  <si>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</si>
  <si>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Outstanding Indebtedness, January 1:</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</si>
  <si>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</si>
  <si>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</si>
  <si>
    <t>22. Added Slider to the Vehicle Allocation table and linked to fund pages.</t>
  </si>
  <si>
    <t>23. Added to all budgeted fund pages the budget authority for the actual year, budget violation, and cash violation.</t>
  </si>
  <si>
    <t>24. Added instruction on the addition for item 23.</t>
  </si>
  <si>
    <t>Funds</t>
  </si>
  <si>
    <t>Budget Authority</t>
  </si>
  <si>
    <t xml:space="preserve">expenditure amounts should reflect the amended </t>
  </si>
  <si>
    <t>expenditure amounts.</t>
  </si>
  <si>
    <t>TOTAL</t>
  </si>
  <si>
    <t>Miscellaneous</t>
  </si>
  <si>
    <t>Does miscellaneous exceed 10% of Total Receipts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</si>
  <si>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</si>
  <si>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</si>
  <si>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</si>
  <si>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</si>
  <si>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</si>
  <si>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</si>
  <si>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</si>
  <si>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</si>
  <si>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</si>
  <si>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</si>
  <si>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</si>
  <si>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</si>
  <si>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</si>
  <si>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</si>
  <si>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</si>
  <si>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</si>
  <si>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</si>
  <si>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</si>
  <si>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</si>
  <si>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</si>
  <si>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</si>
  <si>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</si>
  <si>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</si>
  <si>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</si>
  <si>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</si>
  <si>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</si>
  <si>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</si>
  <si>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</si>
  <si>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</si>
  <si>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</si>
  <si>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</si>
  <si>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</si>
  <si>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 xml:space="preserve">  General Fund(No Levy)</t>
  </si>
  <si>
    <t xml:space="preserve">  General Fund(Gen has Levy)</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</si>
  <si>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</si>
  <si>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</si>
  <si>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</si>
  <si>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</si>
  <si>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</si>
  <si>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</si>
  <si>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</si>
  <si>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</si>
  <si>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</si>
  <si>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</si>
  <si>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</si>
  <si>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</si>
  <si>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</si>
  <si>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</si>
  <si>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</si>
  <si>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</si>
  <si>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</si>
  <si>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</si>
  <si>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</si>
  <si>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</si>
  <si>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</si>
  <si>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</si>
  <si>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</si>
  <si>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</si>
  <si>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</si>
  <si>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</si>
  <si>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</si>
  <si>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</si>
  <si>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</si>
  <si>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</si>
  <si>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</si>
  <si>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</si>
  <si>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</si>
  <si>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</si>
  <si>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</si>
  <si>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</si>
  <si>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</si>
  <si>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</si>
  <si>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</si>
  <si>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</si>
  <si>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</si>
  <si>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</si>
  <si>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</si>
  <si>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</si>
  <si>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</si>
  <si>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</si>
  <si>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</si>
  <si>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</si>
  <si>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The following were changed to this spreadsheet on 2/23/09</t>
  </si>
  <si>
    <t>1. Instruction under Submitting of Budget ….required electronic submission.</t>
  </si>
  <si>
    <t>2. Input other tab line 45 change from Budget Summary to Budget Certificate.</t>
  </si>
  <si>
    <t>Debt Service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</si>
  <si>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</si>
  <si>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</si>
  <si>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</si>
  <si>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</si>
  <si>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</si>
  <si>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</si>
  <si>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</si>
  <si>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</si>
  <si>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</si>
  <si>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</si>
  <si>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</si>
  <si>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</si>
  <si>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</si>
  <si>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</si>
  <si>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t>68-518c</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</si>
  <si>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</si>
  <si>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</si>
  <si>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</si>
  <si>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</si>
  <si>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</si>
  <si>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</si>
  <si>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</si>
  <si>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</si>
  <si>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</si>
  <si>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</si>
  <si>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</si>
  <si>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</si>
  <si>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</si>
  <si>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</si>
  <si>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</si>
  <si>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</si>
  <si>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</si>
  <si>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</si>
  <si>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</si>
  <si>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</si>
  <si>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</si>
  <si>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</si>
  <si>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</si>
  <si>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</si>
  <si>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</si>
  <si>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</si>
  <si>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</si>
  <si>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</si>
  <si>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</si>
  <si>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</si>
  <si>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</si>
  <si>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</si>
  <si>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</si>
  <si>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</si>
  <si>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</si>
  <si>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</si>
  <si>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</si>
  <si>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</si>
  <si>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</si>
  <si>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</si>
  <si>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 xml:space="preserve">K.S.A. 79-2926 requires budgets to be submitted by electronic means. Contact your County Clerk for the specify instruction as to submission of the budget.  </t>
  </si>
  <si>
    <t>11. Added Tabs A to E for violations</t>
  </si>
  <si>
    <t>12. Changed each fund page taking out the 'Yes' and 'No' and replacing them with See Tab when a possible violation occurrs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</si>
  <si>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</si>
  <si>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</si>
  <si>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</si>
  <si>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</si>
  <si>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</si>
  <si>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</si>
  <si>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</si>
  <si>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</si>
  <si>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13. NonBud tab changed Net Vaulation to July 1</t>
  </si>
  <si>
    <t>Neighborhood Revitalization Subj to Rebate:</t>
  </si>
  <si>
    <t>Neighborhood Revitalization factor:</t>
  </si>
  <si>
    <t>14. Certificate tab moved the Assisted By: and added more lines for governing body signatures</t>
  </si>
  <si>
    <t>15. Created NonBudFunds tab</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</si>
  <si>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</si>
  <si>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</si>
  <si>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</si>
  <si>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</si>
  <si>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</si>
  <si>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</si>
  <si>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</si>
  <si>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</si>
  <si>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Shawnee County Clerk's Office</t>
  </si>
  <si>
    <t>John Boy's residence 2310 S Highway, Ike City</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</si>
  <si>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</si>
  <si>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</si>
  <si>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</si>
  <si>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</si>
  <si>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</si>
  <si>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</si>
  <si>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</si>
  <si>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</si>
  <si>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</si>
  <si>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</si>
  <si>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</si>
  <si>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</si>
  <si>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</si>
  <si>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</si>
  <si>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</si>
  <si>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</si>
  <si>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</si>
  <si>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</si>
  <si>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</si>
  <si>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</si>
  <si>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</si>
  <si>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</si>
  <si>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</si>
  <si>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</si>
  <si>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</si>
  <si>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</si>
  <si>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</si>
  <si>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</si>
  <si>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</si>
  <si>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</si>
  <si>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</si>
  <si>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</si>
  <si>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</si>
  <si>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</si>
  <si>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</si>
  <si>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</si>
  <si>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</si>
  <si>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</si>
  <si>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</si>
  <si>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</si>
  <si>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</si>
  <si>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</si>
  <si>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</si>
  <si>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</si>
  <si>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</si>
  <si>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</si>
  <si>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</si>
  <si>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</si>
  <si>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</si>
  <si>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</si>
  <si>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</si>
  <si>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</si>
  <si>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</si>
  <si>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</si>
  <si>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</si>
  <si>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</si>
  <si>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</si>
  <si>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</si>
  <si>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</si>
  <si>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</si>
  <si>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</si>
  <si>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</si>
  <si>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</si>
  <si>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</si>
  <si>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</si>
  <si>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</si>
  <si>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</si>
  <si>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</si>
  <si>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</si>
  <si>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</si>
  <si>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</si>
  <si>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</si>
  <si>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</si>
  <si>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</si>
  <si>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</si>
  <si>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</si>
  <si>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</si>
  <si>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</si>
  <si>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</si>
  <si>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</si>
  <si>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</si>
  <si>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</si>
  <si>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</si>
  <si>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</si>
  <si>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</si>
  <si>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</si>
  <si>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</si>
  <si>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</si>
  <si>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</si>
  <si>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</si>
  <si>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</si>
  <si>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</si>
  <si>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</si>
  <si>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</si>
  <si>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</si>
  <si>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</si>
  <si>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</si>
  <si>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</si>
  <si>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</si>
  <si>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</si>
  <si>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</si>
  <si>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</si>
  <si>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</si>
  <si>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</si>
  <si>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</si>
  <si>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</si>
  <si>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</si>
  <si>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</si>
  <si>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</si>
  <si>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</si>
  <si>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</si>
  <si>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</si>
  <si>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</si>
  <si>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</si>
  <si>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</si>
  <si>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</si>
  <si>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</si>
  <si>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</si>
  <si>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</si>
  <si>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</si>
  <si>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</si>
  <si>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</si>
  <si>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</si>
  <si>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</si>
  <si>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</si>
  <si>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</si>
  <si>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</si>
  <si>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</si>
  <si>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</si>
  <si>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</si>
  <si>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</si>
  <si>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</si>
  <si>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</si>
  <si>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</si>
  <si>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</si>
  <si>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</si>
  <si>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</si>
  <si>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</si>
  <si>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</si>
  <si>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</si>
  <si>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</si>
  <si>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</si>
  <si>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</si>
  <si>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</si>
  <si>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</si>
  <si>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</si>
  <si>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</si>
  <si>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</si>
  <si>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</si>
  <si>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</si>
  <si>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</si>
  <si>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</si>
  <si>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</si>
  <si>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</si>
  <si>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</si>
  <si>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</si>
  <si>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</si>
  <si>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</si>
  <si>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</si>
  <si>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</si>
  <si>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</si>
  <si>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</si>
  <si>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</si>
  <si>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</si>
  <si>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</si>
  <si>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</si>
  <si>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</si>
  <si>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</si>
  <si>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</si>
  <si>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</si>
  <si>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</si>
  <si>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</si>
  <si>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</si>
  <si>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</si>
  <si>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</si>
  <si>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</si>
  <si>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</si>
  <si>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</si>
  <si>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</si>
  <si>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</si>
  <si>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</si>
  <si>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</si>
  <si>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</si>
  <si>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</si>
  <si>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</si>
  <si>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</si>
  <si>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</si>
  <si>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</si>
  <si>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</si>
  <si>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</si>
  <si>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</si>
  <si>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</si>
  <si>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</si>
  <si>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</si>
  <si>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</si>
  <si>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</si>
  <si>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</si>
  <si>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</si>
  <si>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</si>
  <si>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</si>
  <si>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</si>
  <si>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</si>
  <si>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</si>
  <si>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</si>
  <si>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</si>
  <si>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expenditures with another fund.  For example, your road</t>
  </si>
  <si>
    <t>and noxious weed funds may split salaries between the two funds.  If</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</si>
  <si>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</si>
  <si>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</si>
  <si>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</si>
  <si>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</si>
  <si>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</si>
  <si>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</si>
  <si>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</si>
  <si>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4a.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No</t>
    </r>
    <r>
      <rPr>
        <sz val="12"/>
        <rFont val="Times New Roman"/>
        <family val="1"/>
      </rPr>
      <t>'.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</si>
  <si>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</si>
  <si>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</si>
  <si>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</si>
  <si>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</si>
  <si>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</si>
  <si>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</si>
  <si>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answering objections of taxpayers relating to the proposed use of all funds and the amount of ad valorem tax.</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</si>
  <si>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</si>
  <si>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</si>
  <si>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</si>
  <si>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</si>
  <si>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</si>
  <si>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</si>
  <si>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</si>
  <si>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</si>
  <si>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</si>
  <si>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</si>
  <si>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</si>
  <si>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</si>
  <si>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</si>
  <si>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</si>
  <si>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</si>
  <si>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</si>
  <si>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</si>
  <si>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</si>
  <si>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Does misc. exceed 10% of Total Expenditures</t>
  </si>
  <si>
    <t>Non-Appropriated Balance</t>
  </si>
  <si>
    <t>Total Expenditure/Non-Appr Balance</t>
  </si>
  <si>
    <t>Delinquent Comp Rate:</t>
  </si>
  <si>
    <t>Does transfer exceed 25% of Resources Available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</si>
  <si>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</si>
  <si>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</si>
  <si>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</si>
  <si>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</si>
  <si>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</si>
  <si>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</si>
  <si>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</si>
  <si>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</si>
  <si>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</si>
  <si>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</si>
  <si>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</si>
  <si>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</si>
  <si>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</si>
  <si>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</si>
  <si>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</si>
  <si>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</si>
  <si>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</si>
  <si>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</si>
  <si>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</si>
  <si>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</si>
  <si>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</si>
  <si>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</si>
  <si>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</si>
  <si>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</si>
  <si>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</si>
  <si>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</si>
  <si>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</si>
  <si>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</si>
  <si>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</si>
  <si>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</si>
  <si>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</si>
  <si>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</si>
  <si>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</si>
  <si>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</si>
  <si>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</si>
  <si>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</si>
  <si>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</si>
  <si>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</si>
  <si>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</si>
  <si>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</si>
  <si>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</si>
  <si>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</si>
  <si>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</si>
  <si>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</si>
  <si>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</si>
  <si>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</si>
  <si>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</si>
  <si>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</si>
  <si>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</si>
  <si>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</si>
  <si>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</si>
  <si>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</si>
  <si>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</si>
  <si>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</si>
  <si>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</si>
  <si>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</si>
  <si>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</si>
  <si>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</si>
  <si>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</si>
  <si>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</si>
  <si>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</si>
  <si>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</si>
  <si>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</si>
  <si>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</si>
  <si>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</si>
  <si>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</si>
  <si>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</si>
  <si>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</si>
  <si>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</si>
  <si>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</si>
  <si>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</si>
  <si>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</si>
  <si>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</si>
  <si>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</si>
  <si>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</si>
  <si>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</si>
  <si>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</si>
  <si>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</si>
  <si>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</si>
  <si>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</si>
  <si>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</si>
  <si>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</si>
  <si>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</si>
  <si>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</si>
  <si>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</si>
  <si>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</si>
  <si>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</si>
  <si>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</si>
  <si>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t>Desired Carryover Amount:</t>
  </si>
  <si>
    <t>Estimated Mill Rate Impact:</t>
  </si>
  <si>
    <t>The estimated value of one mill would be:</t>
  </si>
  <si>
    <t>Change in Ad Valorem Tax Revenue:</t>
  </si>
  <si>
    <t>What Mill Rate Would Be Desired?</t>
  </si>
  <si>
    <t>for Expenditures</t>
  </si>
  <si>
    <t>FUND PAGE FOR FUNDS WITH A TAX LEVY</t>
  </si>
  <si>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</si>
  <si>
    <t>The following were changed to this spreadsheet on 10/13/10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</si>
  <si>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</si>
  <si>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</si>
  <si>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</si>
  <si>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</si>
  <si>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</si>
  <si>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</si>
  <si>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</si>
  <si>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</si>
  <si>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</si>
  <si>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</si>
  <si>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</si>
  <si>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</si>
  <si>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</si>
  <si>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</si>
  <si>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</si>
  <si>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</si>
  <si>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</si>
  <si>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</si>
  <si>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</si>
  <si>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</si>
  <si>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</si>
  <si>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Lease Purchase Principal</t>
  </si>
  <si>
    <t>13. Summ tab merged cells above the 'Township Officer' and center a name if used</t>
  </si>
  <si>
    <t>23. Remove w-2 infro from certificate page</t>
  </si>
  <si>
    <t>The following were changed to this spreadsheet on 3/21/11</t>
  </si>
  <si>
    <t>1. General tab corrected cell G52 from E22 to E26</t>
  </si>
  <si>
    <t>2. Debt Service tab corrected cell G55 from E42 to E29</t>
  </si>
  <si>
    <t>The following were changed to this spreadsheet on 4/19/11</t>
  </si>
  <si>
    <t>1. Summ tab changed proposed year expenditure column to 'Budget Authority for Expenditures'</t>
  </si>
  <si>
    <t>Transfer can not exceed 25% Resources Available</t>
  </si>
  <si>
    <t>The following were changed to this spreadsheet on 5/4/11</t>
  </si>
  <si>
    <t>1. Gen tab cell B46 corrected the spelling of Resources</t>
  </si>
  <si>
    <t>The following were changed to this spreadsheet on 5/13/11</t>
  </si>
  <si>
    <t>1. Road tab cell c54 change ref from h1 to e1 so the Special Machinery date will reflect correctly</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</si>
  <si>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</si>
  <si>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</si>
  <si>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r>
      <t xml:space="preserve">Computation of Example:  </t>
    </r>
    <r>
      <rPr>
        <sz val="11"/>
        <rFont val="Cambria"/>
        <family val="1"/>
      </rPr>
      <t>$312,000,000 (assessed valuation) / 1000 = $312,000 (value of one mill)</t>
    </r>
  </si>
  <si>
    <t>In this example, one mill for the municipality will generate $312,000 in taxes.</t>
  </si>
  <si>
    <t>$312,000,000 / 1000 = $312,000 (example #1)</t>
  </si>
  <si>
    <t>$50,000 / $312,000 = .160 mills (example #2)</t>
  </si>
  <si>
    <t>$11,500 (assessed value) x .160 (mill rate) / 1000 = $1.84</t>
  </si>
  <si>
    <t>The increase in property tax for a $100,000 home will be $1.84</t>
  </si>
  <si>
    <r>
      <t xml:space="preserve">K.S.A. 80-1406c.  Transfer from general fund to cemetery fund by certain townships.  </t>
    </r>
    <r>
      <rPr>
        <sz val="12"/>
        <rFont val="Times New Roman"/>
        <family val="1"/>
      </rPr>
      <t>Townships in counties with a population less than 3,100, assessed taxable tangible valuation of the county between $14,000,000 and $20,000,000, and operating under the county road unit system may, by unanimous resolution, declare a surplus of monies in the general fund and transfer such surplus or any part therof to the cemetery fund.</t>
    </r>
  </si>
  <si>
    <t>Budgeted Funds</t>
  </si>
  <si>
    <t xml:space="preserve">Budget Tax Levy </t>
  </si>
  <si>
    <t xml:space="preserve">Allocation of Motor, Recreational, and 16/20M Vehicle Tax </t>
  </si>
  <si>
    <t>WORKSHEET FOR STATE GRANT-IN-AID TO PUBLIC LIBRARIES AND</t>
  </si>
  <si>
    <t>REGIONAL LIBRARY SYSTEMS</t>
  </si>
  <si>
    <t>Two tests are used to determine eligibility for State Library Grant.  If the grant is approved, then the municipality's library will be paid the grant on February 15 of  each year.</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</si>
  <si>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</si>
  <si>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</si>
  <si>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</si>
  <si>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</si>
  <si>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</si>
  <si>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</si>
  <si>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</si>
  <si>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</si>
  <si>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</si>
  <si>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</si>
  <si>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</si>
  <si>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</si>
  <si>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</si>
  <si>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</si>
  <si>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</si>
  <si>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</si>
  <si>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</si>
  <si>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</si>
  <si>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</si>
  <si>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</si>
  <si>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</si>
  <si>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</si>
  <si>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</si>
  <si>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</si>
  <si>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</si>
  <si>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</si>
  <si>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</si>
  <si>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</si>
  <si>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</si>
  <si>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</si>
  <si>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</si>
  <si>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</si>
  <si>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</si>
  <si>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</si>
  <si>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</si>
  <si>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</si>
  <si>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</si>
  <si>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</si>
  <si>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</si>
  <si>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</si>
  <si>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</si>
  <si>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</si>
  <si>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</si>
  <si>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</si>
  <si>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</si>
  <si>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</si>
  <si>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</si>
  <si>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</si>
  <si>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</si>
  <si>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 xml:space="preserve">Prior Year </t>
  </si>
  <si>
    <t xml:space="preserve">Current Year </t>
  </si>
  <si>
    <t xml:space="preserve">Proposed Budget </t>
  </si>
  <si>
    <t>Expenditures Must Be Changed by:</t>
  </si>
  <si>
    <t>Mill Rate Comparison</t>
  </si>
  <si>
    <t/>
  </si>
  <si>
    <t>Does misc. exceed 10% of Total Receipts</t>
  </si>
  <si>
    <t>Library</t>
  </si>
  <si>
    <t>12-1220</t>
  </si>
  <si>
    <t>Type</t>
  </si>
  <si>
    <t>Debt</t>
  </si>
  <si>
    <t>Total Indebtedness</t>
  </si>
  <si>
    <t>Items</t>
  </si>
  <si>
    <t>Purchased</t>
  </si>
  <si>
    <t>Alloc of MVT, RVT, and 16/20M Vehicles Tax</t>
  </si>
  <si>
    <t>Email:</t>
  </si>
  <si>
    <t>Must be at least 10 days between date published and hearing held.</t>
  </si>
  <si>
    <t>Official Name:</t>
  </si>
  <si>
    <t>Official Title:</t>
  </si>
  <si>
    <t>January</t>
  </si>
  <si>
    <t>February</t>
  </si>
  <si>
    <t>March</t>
  </si>
  <si>
    <t>April</t>
  </si>
  <si>
    <t>May</t>
  </si>
  <si>
    <t>June</t>
  </si>
  <si>
    <t>July</t>
  </si>
  <si>
    <t>August</t>
  </si>
  <si>
    <t>September</t>
  </si>
  <si>
    <t>October</t>
  </si>
  <si>
    <t>November</t>
  </si>
  <si>
    <t>December</t>
  </si>
  <si>
    <t>________________________  _______________________</t>
  </si>
  <si>
    <t xml:space="preserve">Township.xls spreadsheet has General Fund, Debt Service, Library, Road Bridge, 4 levy fund pages, 2 no levy fund pages, and one Non-Budgeted fund page which holds 5 non- budgeted funds. </t>
  </si>
  <si>
    <t xml:space="preserve">1a. On line 2- 'Enter Township Name' - In the green area. The green area will expand and accommodate the township name. </t>
  </si>
  <si>
    <t>1b. Dates for the entire budget workbook is controlled by the year entered into the "Enter year being budgeted (YYYY)" field.  If you find a date that is not correct for the budget being submitted, please contact us for assistance.</t>
  </si>
  <si>
    <t>Delinquency % used in this budget will be shown on all fund pages with a tax levy**</t>
  </si>
  <si>
    <r>
      <t xml:space="preserve">1c.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</si>
  <si>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 xml:space="preserve">3. The 'inputBudSum' tab is used to place information on the Budget Summary. On this tab you will need to key in the following information: Name of Person presenting the budget, Title of Person, date the budget hearing will be held, time of the hearing, location of the budget hearing, and a place whereas the taxpayers can obtain a copy of the budget.  </t>
  </si>
  <si>
    <t>3b. Once a date has been entered in the Date block, the following statement will appear: 'Latest date for notice to be published in your newspaper'.  Please ensure to take into consideration as to when your newspaper is published when arriving at the hearing date.</t>
  </si>
  <si>
    <t xml:space="preserve">4b.  If someone other than a municipal employee assists in preparing the budget, please enter the person's or firm's name and address or email address in the area provided. </t>
  </si>
  <si>
    <r>
      <t xml:space="preserve">4c. If the city has a library, then in the Certificate page will show under the 'Table of Contents:' a new table is required.  The new table is named: 'Computation to Determine State Library Grant' which found on the "Library Grant" tab.  The State Library will use the "Library Grant" tab to authorize a grant to the library.  This tab </t>
    </r>
    <r>
      <rPr>
        <u/>
        <sz val="12"/>
        <rFont val="Times New Roman"/>
        <family val="1"/>
      </rPr>
      <t>must be printed</t>
    </r>
    <r>
      <rPr>
        <sz val="12"/>
        <rFont val="Times New Roman"/>
        <family val="1"/>
      </rPr>
      <t xml:space="preserve"> and attached to the budget that is submitted to the County Clerk.  No action is taken if the city does not have a library and will not appear on the Certificate page.</t>
    </r>
  </si>
  <si>
    <t xml:space="preserve">6.  Motor Vehicle Allocation (Mvalloc) information comes from the input pages (inputPrYr and inputOth).  Once calculated, the motor allocation information are linked to the applicable fund pages. If information concerning the table are not correct, please do not change the table, but rather correct the information on the input worksheets.  </t>
  </si>
  <si>
    <r>
      <t>10. Library Grant tab is linked with the Library fund page.  This table information comes directly off the Library fund page and Budget Summary page which is used to determine if the municipality qualifies for a State grant. If qualify, then the Library fund page will indicate '</t>
    </r>
    <r>
      <rPr>
        <sz val="12"/>
        <color indexed="10"/>
        <rFont val="Times New Roman"/>
        <family val="1"/>
      </rPr>
      <t>Qualifies for State Library Grant</t>
    </r>
    <r>
      <rPr>
        <sz val="12"/>
        <rFont val="Times New Roman"/>
        <family val="1"/>
      </rPr>
      <t>' and if not, then indicates to '</t>
    </r>
    <r>
      <rPr>
        <sz val="12"/>
        <color indexed="10"/>
        <rFont val="Times New Roman"/>
        <family val="1"/>
      </rPr>
      <t>See 'Library Grant' tab</t>
    </r>
    <r>
      <rPr>
        <sz val="12"/>
        <rFont val="Times New Roman"/>
        <family val="1"/>
      </rPr>
      <t xml:space="preserve"> for further assistance.  If the Library fund page is used, then the Certificate page will reflect in the Table of Contents the requirement of 'Computation to Determine State Library Grant' which </t>
    </r>
    <r>
      <rPr>
        <b/>
        <u/>
        <sz val="12"/>
        <rFont val="Times New Roman"/>
        <family val="1"/>
      </rPr>
      <t>is required</t>
    </r>
    <r>
      <rPr>
        <sz val="12"/>
        <rFont val="Times New Roman"/>
        <family val="1"/>
      </rPr>
      <t xml:space="preserve"> to be attached to the budget. For those printing paper copies of the budget, only the table will be printed off.  Please note:  For those you do not have a Library fund page, </t>
    </r>
    <r>
      <rPr>
        <sz val="12"/>
        <color indexed="10"/>
        <rFont val="Times New Roman"/>
        <family val="1"/>
      </rPr>
      <t>no action is required</t>
    </r>
    <r>
      <rPr>
        <sz val="12"/>
        <rFont val="Times New Roman"/>
        <family val="1"/>
      </rPr>
      <t xml:space="preserve"> and the table does not become part of the budget.</t>
    </r>
  </si>
  <si>
    <t>11.  The spreadsheet has individual fund sheets for General Fund (general), Debt Service and Library (DebtSvs-Library), Road (road),  8 levy pages (levy page9 to levy page12), and 2 no levy fund pages (nolevypage12),   Only complete the fund pages needed.  When the fund pages are completed, the totals will be shown on the Certificate and Budget Summary pages.</t>
  </si>
  <si>
    <t>11a. General Fund page and General Fund Detail page number is no longer set.  Once the number is entered on the General Fund, then the page number is linked to the General Fund Detail page. If the municipality has a Library Fund, the Library Grant page becomes number 6 and the General Fund page would be numbered 7 otherwise the General would be 6.</t>
  </si>
  <si>
    <r>
      <t>11b.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</si>
  <si>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11c.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</si>
  <si>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11d.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</si>
  <si>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11f.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</si>
  <si>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11g. The Debt Service  (DebtSvs-Library) fund page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</si>
  <si>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</si>
  <si>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11h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</si>
  <si>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11i.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</si>
  <si>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11j.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</si>
  <si>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11k.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</si>
  <si>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11m.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</si>
  <si>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11o.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 xml:space="preserve"> Transfers for the current or proposed budgeted year and a violation occurs, then the amount should be reduced.</t>
    </r>
  </si>
  <si>
    <r>
      <t xml:space="preserve">11p.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</si>
  <si>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11q.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</si>
  <si>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</si>
  <si>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</si>
  <si>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</si>
  <si>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</si>
  <si>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</si>
  <si>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13a. At the bottom of the page, in the green shaded area, enter the page number.</t>
  </si>
  <si>
    <r>
      <t>13b. The table '</t>
    </r>
    <r>
      <rPr>
        <i/>
        <sz val="12"/>
        <rFont val="Times New Roman"/>
        <family val="1"/>
      </rPr>
      <t>Estimated Value Of One Mill</t>
    </r>
    <r>
      <rPr>
        <sz val="12"/>
        <rFont val="Times New Roman"/>
        <family val="1"/>
      </rPr>
      <t xml:space="preserve">' to show what 1 mill rate would generate in dollars for the municipality.  </t>
    </r>
  </si>
  <si>
    <r>
      <t>13c.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of the tax levy fund expenditures.  </t>
    </r>
    <r>
      <rPr>
        <sz val="12"/>
        <color indexed="10"/>
        <rFont val="Times New Roman"/>
        <family val="1"/>
      </rPr>
      <t>Note</t>
    </r>
    <r>
      <rPr>
        <sz val="12"/>
        <rFont val="Times New Roman"/>
        <family val="1"/>
      </rPr>
      <t xml:space="preserve">: If a </t>
    </r>
    <r>
      <rPr>
        <u/>
        <sz val="12"/>
        <rFont val="Times New Roman"/>
        <family val="1"/>
      </rPr>
      <t>delinquency rate is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b/>
        <sz val="12"/>
        <color indexed="10"/>
        <rFont val="Times New Roman"/>
        <family val="1"/>
      </rPr>
      <t>is not</t>
    </r>
    <r>
      <rPr>
        <sz val="12"/>
        <rFont val="Times New Roman"/>
        <family val="1"/>
      </rPr>
      <t xml:space="preserve"> required to be used, but as a tool to assist in budgeting. </t>
    </r>
  </si>
  <si>
    <r>
      <t>13d. The table '</t>
    </r>
    <r>
      <rPr>
        <i/>
        <sz val="12"/>
        <rFont val="Times New Roman"/>
        <family val="1"/>
      </rPr>
      <t>What Mill Rate Would Be Desired</t>
    </r>
    <r>
      <rPr>
        <sz val="12"/>
        <rFont val="Times New Roman"/>
        <family val="1"/>
      </rPr>
      <t xml:space="preserve">', whereas a municipality can create a desired mill rate.  If a municipality has future plans to make a large purchase, project, or just would like a little more unencumbered cash balance, this table will show the amount of ad valorem taxes needed to reach its needs and amount of adjustments to the tax levy fund expenditures to reach this desired mill rate.  This table could also be used to see the impact if the municipality would like to lower the mill rate. To use this table, simply enter in the green area the desired mill rate.  </t>
    </r>
    <r>
      <rPr>
        <sz val="12"/>
        <color indexed="10"/>
        <rFont val="Times New Roman"/>
        <family val="1"/>
      </rPr>
      <t>Note</t>
    </r>
    <r>
      <rPr>
        <sz val="12"/>
        <rFont val="Times New Roman"/>
        <family val="1"/>
      </rPr>
      <t xml:space="preserve">: If a </t>
    </r>
    <r>
      <rPr>
        <u/>
        <sz val="12"/>
        <rFont val="Times New Roman"/>
        <family val="1"/>
      </rPr>
      <t>delinquency rate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sz val="12"/>
        <color indexed="10"/>
        <rFont val="Times New Roman"/>
        <family val="1"/>
      </rPr>
      <t>is not</t>
    </r>
    <r>
      <rPr>
        <sz val="12"/>
        <rFont val="Times New Roman"/>
        <family val="1"/>
      </rPr>
      <t xml:space="preserve"> required to be used, but as a tool to assist in budgeting. </t>
    </r>
  </si>
  <si>
    <t>13f.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</si>
  <si>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13e.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</si>
  <si>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 xml:space="preserve">14.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</si>
  <si>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r>
      <t>15.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</si>
  <si>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15a.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</si>
  <si>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15b.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</si>
  <si>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The following were changed to this spreadsheet on 2/2/12</t>
  </si>
  <si>
    <t xml:space="preserve">1. Instruction tab - line A7 add Library </t>
  </si>
  <si>
    <t>2. Instruction tab - add line #1c for ad valorem adjustments</t>
  </si>
  <si>
    <t>3. Instruction tab - add line #3b to indicate latest date for printing</t>
  </si>
  <si>
    <t>4. Instruction tab - add line #10 to explain about Library Grant Tab</t>
  </si>
  <si>
    <t>5. Instruction tab - add line #11a concerning changing the general fund page number due to library grant page</t>
  </si>
  <si>
    <t>6. Instruction tab - changed 11b, c, and d for new fund tables on fund pages, and 13b, c, and d for tables on Summary</t>
  </si>
  <si>
    <t>7. InputPrYr tab - add Library to the fund page list</t>
  </si>
  <si>
    <t>8. InputPrYr tab - added new table for adjusting ad valorem taxes if desired</t>
  </si>
  <si>
    <t>9. InputOth tab - under 'Computation of Delinquency', changed both narratives for %</t>
  </si>
  <si>
    <t>10. InputBudSum tab - added line D9 for latest date for printing and added hidden formulas for latest printing date</t>
  </si>
  <si>
    <t xml:space="preserve">11. InputBudSum tab - added spaces for official name and title </t>
  </si>
  <si>
    <t>12. Cert tab - added to 'Table of Contents' the Computation to Determine Library Grant and its page number</t>
  </si>
  <si>
    <t>13. Cert tab - added Library fund</t>
  </si>
  <si>
    <t>14. Cert tab - added place for "Email" address for person assitance on the budget</t>
  </si>
  <si>
    <t>15. Mvalloc tab - removed 'Slider' from table heading</t>
  </si>
  <si>
    <t>16. Mvalloc tab - removed slider column and under lying formulas</t>
  </si>
  <si>
    <t>17. Mvalloc tab - added Library fund</t>
  </si>
  <si>
    <t>18. TransfersStatutes tab - added KSA 80-1406c</t>
  </si>
  <si>
    <t>19. Debt-Lease tab - minor changes to first column heading and center form for printing</t>
  </si>
  <si>
    <t>20. Library Grant was added which computes if library qualifies for a grant</t>
  </si>
  <si>
    <t>21. Gen tab - added an if statement to page number to account for Library Grant page</t>
  </si>
  <si>
    <t>22. DebtSvs-Library tab - reduce debt service fund page and added new library fund page which is linked to Grant tab</t>
  </si>
  <si>
    <t>23. Summ tab - added library fund  and  linked the library fund page to the summary</t>
  </si>
  <si>
    <t>24. Summ tab - linked the official name and title from the inputbudsum page</t>
  </si>
  <si>
    <t>25. Summ tab - centered the heading for printing</t>
  </si>
  <si>
    <t>26. Nhood tab - added the library fund</t>
  </si>
  <si>
    <t>27. Mill Rate Computation tab - corrected the computations to agree with our web site</t>
  </si>
  <si>
    <t>29. All fund pages - removed slider and its link</t>
  </si>
  <si>
    <t>28. All fund pages - changed the year headings</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</si>
  <si>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fund page. </t>
    </r>
    <r>
      <rPr>
        <b/>
        <sz val="12"/>
        <rFont val="Times New Roman"/>
        <family val="1"/>
      </rPr>
      <t/>
    </r>
  </si>
  <si>
    <r>
      <t>11l.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the Road which will change the Special Machinery amount.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</si>
  <si>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 xml:space="preserve">11n. The General Fund has two line expenditures for transfers to the Special Machinery Fund. The transfers are labeled, 'Transfer to Spec. Mach.(No Levy) and 'Transfer to Spec. Mach.(Gen has Levy).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If two transfers are made, on the Special Machinery page will show a error message '</t>
    </r>
    <r>
      <rPr>
        <sz val="12"/>
        <color indexed="10"/>
        <rFont val="Times New Roman"/>
        <family val="1"/>
      </rPr>
      <t>No Authorized Two Transfers - Only One</t>
    </r>
    <r>
      <rPr>
        <sz val="12"/>
        <rFont val="Times New Roman"/>
        <family val="1"/>
      </rPr>
      <t xml:space="preserve">'. You are </t>
    </r>
    <r>
      <rPr>
        <u/>
        <sz val="12"/>
        <rFont val="Times New Roman"/>
        <family val="1"/>
      </rPr>
      <t>not required</t>
    </r>
    <r>
      <rPr>
        <sz val="12"/>
        <rFont val="Times New Roman"/>
        <family val="1"/>
      </rPr>
      <t xml:space="preserve"> to make a transfer.</t>
    </r>
  </si>
  <si>
    <t xml:space="preserve">peter.haxton@library.ks.gov </t>
  </si>
  <si>
    <t>The following were changed to this spreadsheet on 2/22/12</t>
  </si>
  <si>
    <t>1. Library Grant tab, updated State Library e-mail contact address</t>
  </si>
  <si>
    <t>Delhi Township</t>
  </si>
  <si>
    <t>Osborne County</t>
  </si>
  <si>
    <t>Cemetery</t>
  </si>
  <si>
    <t>Publication</t>
  </si>
  <si>
    <t>Mowing</t>
  </si>
  <si>
    <t>August 6, 2012</t>
  </si>
  <si>
    <t>6:00 p.m.</t>
  </si>
  <si>
    <t>Wendell Robinson, 359 County 412 Drive,  Delhi Township</t>
  </si>
  <si>
    <t>Osborne County Clerks Office</t>
  </si>
  <si>
    <t>Vienna Janis</t>
  </si>
  <si>
    <t>Osborne County Clerk</t>
  </si>
  <si>
    <t>423 W. Main</t>
  </si>
  <si>
    <t>Osborne, KS 67473</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</si>
</sst>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6" formatCode="&quot;$&quot;#,##0_);[Red]\(&quot;$&quot;#,##0\)"/>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 numFmtId="177" formatCode="&quot;$&quot;#,##0"/>
    <numFmt numFmtId="178" formatCode="&quot;$&quot;#,##0.00"/>
    <numFmt numFmtId="179" formatCode="#,##0.000_);[Red]\(#,##0.000\)"/>
    <numFmt numFmtId="180" formatCode="0.0%"/>
  </numFmts>
  <fonts count="63" x14ac:knownFonts="1">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1"/>
      <color indexed="8"/>
      <name val="Times New Roman"/>
      <family val="1"/>
    </font>
    <font>
      <b/>
      <sz val="11"/>
      <color indexed="8"/>
      <name val="Times New Roman"/>
      <family val="1"/>
    </font>
    <font>
      <u/>
      <sz val="12"/>
      <color indexed="12"/>
      <name val="Courier"/>
      <family val="3"/>
    </font>
    <font>
      <b/>
      <u/>
      <sz val="12"/>
      <name val="Courier"/>
      <family val="3"/>
    </font>
    <font>
      <i/>
      <sz val="12"/>
      <name val="Courier"/>
      <family val="3"/>
    </font>
    <font>
      <i/>
      <u/>
      <sz val="12"/>
      <name val="Courier"/>
      <family val="3"/>
    </font>
    <font>
      <sz val="12"/>
      <name val="Courier New"/>
      <family val="3"/>
    </font>
    <font>
      <sz val="11"/>
      <name val="Cambria"/>
      <family val="1"/>
    </font>
    <font>
      <b/>
      <sz val="11"/>
      <color indexed="8"/>
      <name val="Cambria"/>
      <family val="1"/>
    </font>
    <font>
      <b/>
      <sz val="13"/>
      <name val="Times New Roman"/>
      <family val="1"/>
    </font>
    <font>
      <u/>
      <sz val="12"/>
      <color indexed="12"/>
      <name val="Times New Roman"/>
      <family val="1"/>
    </font>
    <font>
      <sz val="10"/>
      <color indexed="10"/>
      <name val="Times New Roman"/>
      <family val="1"/>
    </font>
    <font>
      <b/>
      <u/>
      <sz val="10"/>
      <name val="Times New Roman"/>
      <family val="1"/>
    </font>
    <font>
      <b/>
      <sz val="10"/>
      <name val="Times New Roman"/>
      <family val="1"/>
    </font>
    <font>
      <sz val="12"/>
      <name val="Courier"/>
      <family val="3"/>
    </font>
    <font>
      <u/>
      <sz val="12"/>
      <color indexed="10"/>
      <name val="Times New Roman"/>
      <family val="1"/>
    </font>
    <font>
      <b/>
      <sz val="12"/>
      <name val="Courier New"/>
      <family val="3"/>
    </font>
    <font>
      <sz val="10"/>
      <name val="Courier"/>
      <family val="3"/>
    </font>
    <font>
      <sz val="8"/>
      <color indexed="10"/>
      <name val="Times New Roman"/>
      <family val="1"/>
    </font>
    <font>
      <sz val="12"/>
      <name val="Courier"/>
    </font>
    <font>
      <sz val="11"/>
      <color theme="1"/>
      <name val="Calibri"/>
      <family val="2"/>
      <scheme val="minor"/>
    </font>
    <font>
      <b/>
      <u/>
      <sz val="12"/>
      <color rgb="FFFF0000"/>
      <name val="Times New Roman"/>
      <family val="1"/>
    </font>
    <font>
      <sz val="12"/>
      <color rgb="FF000000"/>
      <name val="Times New Roman"/>
      <family val="1"/>
    </font>
    <font>
      <sz val="11"/>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sz val="12"/>
      <color rgb="FF000000"/>
      <name val="Times New Roman"/>
      <family val="1"/>
    </font>
    <font>
      <sz val="12"/>
      <color rgb="FFFF0000"/>
      <name val="Times New Roman"/>
      <family val="1"/>
    </font>
    <font>
      <sz val="10"/>
      <color rgb="FFFF0000"/>
      <name val="Times New Roman"/>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s>
  <fills count="19">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13"/>
        <bgColor indexed="64"/>
      </patternFill>
    </fill>
    <fill>
      <patternFill patternType="solid">
        <fgColor indexed="43"/>
        <bgColor indexed="64"/>
      </patternFill>
    </fill>
    <fill>
      <patternFill patternType="solid">
        <fgColor indexed="34"/>
        <bgColor indexed="64"/>
      </patternFill>
    </fill>
    <fill>
      <patternFill patternType="solid">
        <fgColor indexed="10"/>
        <bgColor indexed="64"/>
      </patternFill>
    </fill>
    <fill>
      <patternFill patternType="solid">
        <fgColor indexed="15"/>
        <bgColor indexed="64"/>
      </patternFill>
    </fill>
    <fill>
      <patternFill patternType="solid">
        <fgColor indexed="35"/>
        <bgColor indexed="64"/>
      </patternFill>
    </fill>
    <fill>
      <patternFill patternType="solid">
        <fgColor indexed="41"/>
        <bgColor indexed="64"/>
      </patternFill>
    </fill>
    <fill>
      <patternFill patternType="solid">
        <fgColor rgb="FFFFFFC0"/>
        <bgColor indexed="64"/>
      </patternFill>
    </fill>
    <fill>
      <patternFill patternType="solid">
        <fgColor rgb="FF00FF00"/>
        <bgColor indexed="64"/>
      </patternFill>
    </fill>
    <fill>
      <patternFill patternType="solid">
        <fgColor rgb="FFFFFF99"/>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417">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cellStyleXfs>
  <cellXfs count="889">
    <xf numFmtId="0" fontId="0" fillId="0" borderId="0" xfId="0"/>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4" fillId="0" borderId="0" xfId="0" applyFont="1" applyAlignment="1">
      <alignment horizontal="right"/>
    </xf>
    <xf numFmtId="0" fontId="0" fillId="2" borderId="0" xfId="0" applyFill="1" applyProtection="1">
      <protection locked="0"/>
    </xf>
    <xf numFmtId="0" fontId="0" fillId="0" borderId="0" xfId="0" applyAlignment="1">
      <alignment vertical="center"/>
    </xf>
    <xf numFmtId="37" fontId="4" fillId="3" borderId="0" xfId="0" applyNumberFormat="1" applyFont="1" applyFill="1" applyAlignment="1" applyProtection="1">
      <alignment vertical="center"/>
    </xf>
    <xf numFmtId="0" fontId="4" fillId="3" borderId="0" xfId="0" applyFont="1" applyFill="1" applyAlignment="1" applyProtection="1">
      <alignment vertical="center"/>
    </xf>
    <xf numFmtId="0" fontId="4" fillId="3" borderId="0" xfId="0" applyNumberFormat="1" applyFont="1" applyFill="1" applyAlignment="1" applyProtection="1">
      <alignment horizontal="right" vertical="center"/>
    </xf>
    <xf numFmtId="0" fontId="4" fillId="0" borderId="0" xfId="0" applyFont="1" applyAlignment="1" applyProtection="1">
      <alignment vertical="center"/>
      <protection locked="0"/>
    </xf>
    <xf numFmtId="0" fontId="3" fillId="3" borderId="0" xfId="0" applyFont="1" applyFill="1" applyAlignment="1" applyProtection="1">
      <alignment vertical="center"/>
    </xf>
    <xf numFmtId="164" fontId="4" fillId="3" borderId="0" xfId="0" applyNumberFormat="1" applyFont="1" applyFill="1" applyAlignment="1" applyProtection="1">
      <alignment horizontal="right" vertical="center"/>
    </xf>
    <xf numFmtId="0" fontId="4" fillId="3" borderId="0" xfId="0" applyFont="1" applyFill="1" applyBorder="1" applyAlignment="1" applyProtection="1">
      <alignment vertical="center"/>
    </xf>
    <xf numFmtId="0" fontId="4" fillId="3" borderId="1" xfId="0" applyFont="1" applyFill="1" applyBorder="1" applyAlignment="1" applyProtection="1">
      <alignment vertical="center"/>
    </xf>
    <xf numFmtId="37" fontId="4" fillId="3" borderId="1" xfId="0" quotePrefix="1" applyNumberFormat="1" applyFont="1" applyFill="1" applyBorder="1" applyAlignment="1" applyProtection="1">
      <alignment horizontal="right" vertical="center"/>
    </xf>
    <xf numFmtId="37" fontId="4" fillId="3" borderId="0" xfId="0" applyNumberFormat="1" applyFont="1" applyFill="1" applyAlignment="1" applyProtection="1">
      <alignment horizontal="left" vertical="center"/>
    </xf>
    <xf numFmtId="37" fontId="4" fillId="3" borderId="2" xfId="0" applyNumberFormat="1" applyFont="1" applyFill="1" applyBorder="1" applyAlignment="1" applyProtection="1">
      <alignment horizontal="center" vertical="center"/>
    </xf>
    <xf numFmtId="37" fontId="4" fillId="3" borderId="0" xfId="0" applyNumberFormat="1" applyFont="1" applyFill="1" applyBorder="1" applyAlignment="1" applyProtection="1">
      <alignment vertical="center"/>
    </xf>
    <xf numFmtId="37" fontId="4" fillId="3"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horizontal="left" vertical="center"/>
    </xf>
    <xf numFmtId="0" fontId="4" fillId="3" borderId="6" xfId="0" applyFont="1" applyFill="1" applyBorder="1" applyAlignment="1" applyProtection="1">
      <alignment vertical="center"/>
    </xf>
    <xf numFmtId="3" fontId="4" fillId="4" borderId="5"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protection locked="0"/>
    </xf>
    <xf numFmtId="3" fontId="4" fillId="3" borderId="6" xfId="0" applyNumberFormat="1" applyFont="1" applyFill="1" applyBorder="1" applyAlignment="1" applyProtection="1">
      <alignment vertical="center"/>
    </xf>
    <xf numFmtId="3" fontId="4" fillId="3" borderId="7" xfId="0" applyNumberFormat="1" applyFont="1" applyFill="1" applyBorder="1" applyAlignment="1" applyProtection="1">
      <alignment vertical="center"/>
    </xf>
    <xf numFmtId="3" fontId="4" fillId="3" borderId="7" xfId="0" applyNumberFormat="1" applyFont="1" applyFill="1" applyBorder="1" applyAlignment="1" applyProtection="1">
      <alignment horizontal="fill" vertical="center"/>
    </xf>
    <xf numFmtId="3" fontId="4" fillId="4" borderId="7" xfId="0" applyNumberFormat="1" applyFont="1" applyFill="1" applyBorder="1" applyAlignment="1" applyProtection="1">
      <alignment vertical="center"/>
      <protection locked="0"/>
    </xf>
    <xf numFmtId="0" fontId="4" fillId="3" borderId="5" xfId="0" applyFont="1" applyFill="1" applyBorder="1" applyAlignment="1" applyProtection="1">
      <alignment vertical="center"/>
    </xf>
    <xf numFmtId="3" fontId="4" fillId="2" borderId="7" xfId="0" applyNumberFormat="1" applyFont="1" applyFill="1" applyBorder="1" applyAlignment="1" applyProtection="1">
      <alignment vertical="center"/>
      <protection locked="0"/>
    </xf>
    <xf numFmtId="0" fontId="4" fillId="4" borderId="5" xfId="0" applyFont="1" applyFill="1" applyBorder="1" applyAlignment="1" applyProtection="1">
      <alignment vertical="center"/>
      <protection locked="0"/>
    </xf>
    <xf numFmtId="37" fontId="4" fillId="4" borderId="5" xfId="0" applyNumberFormat="1" applyFont="1" applyFill="1" applyBorder="1" applyAlignment="1" applyProtection="1">
      <alignment horizontal="left" vertical="center"/>
      <protection locked="0"/>
    </xf>
    <xf numFmtId="37" fontId="4" fillId="3" borderId="5" xfId="0" applyNumberFormat="1" applyFont="1" applyFill="1" applyBorder="1" applyAlignment="1" applyProtection="1">
      <alignment horizontal="left" vertical="center"/>
      <protection locked="0"/>
    </xf>
    <xf numFmtId="3" fontId="15" fillId="5" borderId="6" xfId="0" applyNumberFormat="1" applyFont="1" applyFill="1" applyBorder="1" applyAlignment="1" applyProtection="1">
      <alignment horizontal="center" vertical="center"/>
    </xf>
    <xf numFmtId="0" fontId="3" fillId="3" borderId="5" xfId="0" applyFont="1" applyFill="1" applyBorder="1" applyAlignment="1" applyProtection="1">
      <alignment vertical="center"/>
    </xf>
    <xf numFmtId="3" fontId="3" fillId="6" borderId="7" xfId="0" applyNumberFormat="1" applyFont="1" applyFill="1" applyBorder="1" applyAlignment="1" applyProtection="1">
      <alignment vertical="center"/>
    </xf>
    <xf numFmtId="37" fontId="3" fillId="3" borderId="5" xfId="0" applyNumberFormat="1" applyFont="1" applyFill="1" applyBorder="1" applyAlignment="1" applyProtection="1">
      <alignment horizontal="left" vertical="center"/>
    </xf>
    <xf numFmtId="3" fontId="15" fillId="5" borderId="7" xfId="0" applyNumberFormat="1" applyFont="1" applyFill="1" applyBorder="1" applyAlignment="1" applyProtection="1">
      <alignment horizontal="center" vertical="center"/>
      <protection locked="0"/>
    </xf>
    <xf numFmtId="3" fontId="15" fillId="5" borderId="7" xfId="0" applyNumberFormat="1" applyFont="1" applyFill="1" applyBorder="1" applyAlignment="1" applyProtection="1">
      <alignment horizontal="center" vertical="center"/>
    </xf>
    <xf numFmtId="3" fontId="4" fillId="6" borderId="7" xfId="0" applyNumberFormat="1" applyFont="1" applyFill="1" applyBorder="1" applyAlignment="1" applyProtection="1">
      <alignment vertical="center"/>
    </xf>
    <xf numFmtId="3" fontId="3" fillId="3" borderId="7" xfId="0" applyNumberFormat="1" applyFont="1" applyFill="1" applyBorder="1" applyAlignment="1" applyProtection="1">
      <alignment vertical="center"/>
    </xf>
    <xf numFmtId="0" fontId="4" fillId="3" borderId="0" xfId="0" applyFont="1" applyFill="1" applyAlignment="1" applyProtection="1">
      <alignment horizontal="right" vertical="center"/>
    </xf>
    <xf numFmtId="37" fontId="4" fillId="3"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3" borderId="0" xfId="0" applyFont="1" applyFill="1" applyAlignment="1" applyProtection="1">
      <alignment horizontal="center" vertical="center"/>
    </xf>
    <xf numFmtId="37" fontId="4" fillId="3" borderId="0" xfId="0" applyNumberFormat="1" applyFont="1" applyFill="1" applyAlignment="1" applyProtection="1">
      <alignment horizontal="right" vertical="center"/>
    </xf>
    <xf numFmtId="3" fontId="4" fillId="3" borderId="0" xfId="0" applyNumberFormat="1" applyFont="1" applyFill="1" applyBorder="1" applyAlignment="1" applyProtection="1">
      <alignment vertical="center"/>
    </xf>
    <xf numFmtId="0" fontId="4" fillId="0" borderId="0" xfId="0" applyFont="1" applyFill="1" applyBorder="1" applyAlignment="1" applyProtection="1">
      <alignment vertical="center"/>
      <protection locked="0"/>
    </xf>
    <xf numFmtId="3" fontId="4" fillId="3" borderId="0" xfId="0" applyNumberFormat="1" applyFont="1" applyFill="1" applyAlignment="1" applyProtection="1">
      <alignment vertical="center"/>
    </xf>
    <xf numFmtId="0" fontId="4" fillId="0" borderId="0" xfId="0" applyFont="1" applyFill="1" applyAlignment="1" applyProtection="1">
      <alignmen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0" fontId="4" fillId="3" borderId="0" xfId="0" applyFont="1" applyFill="1" applyAlignment="1" applyProtection="1">
      <alignment horizontal="center" vertical="center"/>
    </xf>
    <xf numFmtId="0" fontId="49" fillId="3" borderId="0" xfId="0" applyFont="1" applyFill="1" applyAlignment="1" applyProtection="1">
      <alignment horizontal="center" vertical="center"/>
    </xf>
    <xf numFmtId="164" fontId="4" fillId="3" borderId="0" xfId="0" applyNumberFormat="1" applyFont="1" applyFill="1" applyAlignment="1" applyProtection="1">
      <alignment vertical="center"/>
    </xf>
    <xf numFmtId="37" fontId="4" fillId="3" borderId="0" xfId="0" quotePrefix="1" applyNumberFormat="1" applyFont="1" applyFill="1" applyAlignment="1" applyProtection="1">
      <alignment horizontal="right" vertical="center"/>
    </xf>
    <xf numFmtId="3" fontId="4" fillId="3" borderId="7" xfId="0" applyNumberFormat="1" applyFont="1" applyFill="1" applyBorder="1" applyAlignment="1" applyProtection="1">
      <alignment horizontal="right" vertical="center"/>
    </xf>
    <xf numFmtId="37" fontId="4" fillId="3" borderId="8" xfId="0" applyNumberFormat="1" applyFont="1" applyFill="1" applyBorder="1" applyAlignment="1" applyProtection="1">
      <alignment horizontal="left" vertical="center"/>
    </xf>
    <xf numFmtId="0" fontId="4" fillId="2" borderId="0" xfId="0" applyFont="1" applyFill="1" applyAlignment="1" applyProtection="1">
      <alignment horizontal="left" vertical="center"/>
      <protection locked="0"/>
    </xf>
    <xf numFmtId="37" fontId="4" fillId="3" borderId="0" xfId="0" applyNumberFormat="1" applyFont="1" applyFill="1" applyBorder="1" applyAlignment="1" applyProtection="1">
      <alignment horizontal="fill" vertical="center"/>
    </xf>
    <xf numFmtId="3" fontId="15" fillId="7" borderId="7" xfId="0" applyNumberFormat="1" applyFont="1" applyFill="1" applyBorder="1" applyAlignment="1" applyProtection="1">
      <alignment horizontal="center" vertical="center"/>
    </xf>
    <xf numFmtId="37" fontId="3" fillId="3" borderId="0" xfId="0" applyNumberFormat="1" applyFont="1" applyFill="1" applyAlignment="1" applyProtection="1">
      <alignment horizontal="left" vertical="center"/>
    </xf>
    <xf numFmtId="1" fontId="4" fillId="3" borderId="2" xfId="0" applyNumberFormat="1" applyFont="1" applyFill="1" applyBorder="1" applyAlignment="1" applyProtection="1">
      <alignment horizontal="center" vertical="center"/>
    </xf>
    <xf numFmtId="1" fontId="4" fillId="3" borderId="0" xfId="0" applyNumberFormat="1" applyFont="1" applyFill="1" applyBorder="1" applyAlignment="1" applyProtection="1">
      <alignment horizontal="center" vertical="center"/>
    </xf>
    <xf numFmtId="37" fontId="4" fillId="3" borderId="1" xfId="0" applyNumberFormat="1" applyFont="1" applyFill="1" applyBorder="1" applyAlignment="1" applyProtection="1">
      <alignment horizontal="left" vertical="center"/>
    </xf>
    <xf numFmtId="37"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vertical="center"/>
    </xf>
    <xf numFmtId="0" fontId="15" fillId="3" borderId="0" xfId="0" applyFont="1" applyFill="1" applyAlignment="1" applyProtection="1">
      <alignment vertical="center"/>
    </xf>
    <xf numFmtId="37" fontId="4" fillId="3" borderId="7" xfId="0" applyNumberFormat="1" applyFont="1" applyFill="1" applyBorder="1" applyAlignment="1" applyProtection="1">
      <alignment horizontal="left" vertical="center"/>
      <protection locked="0"/>
    </xf>
    <xf numFmtId="37" fontId="4" fillId="4" borderId="7" xfId="0" applyNumberFormat="1" applyFont="1" applyFill="1" applyBorder="1" applyAlignment="1" applyProtection="1">
      <alignment horizontal="left" vertical="center"/>
      <protection locked="0"/>
    </xf>
    <xf numFmtId="37" fontId="3" fillId="3" borderId="7" xfId="0" applyNumberFormat="1" applyFont="1" applyFill="1" applyBorder="1" applyAlignment="1" applyProtection="1">
      <alignment horizontal="left" vertical="center"/>
    </xf>
    <xf numFmtId="37" fontId="4" fillId="3" borderId="0" xfId="0" quotePrefix="1" applyNumberFormat="1" applyFont="1" applyFill="1" applyBorder="1" applyAlignment="1" applyProtection="1">
      <alignment horizontal="right" vertical="center"/>
    </xf>
    <xf numFmtId="37" fontId="4" fillId="3" borderId="1" xfId="0" applyNumberFormat="1" applyFont="1" applyFill="1" applyBorder="1" applyAlignment="1" applyProtection="1">
      <alignment vertical="center"/>
    </xf>
    <xf numFmtId="0" fontId="4" fillId="0" borderId="0" xfId="0" applyFont="1" applyAlignment="1">
      <alignment vertical="center"/>
    </xf>
    <xf numFmtId="0" fontId="4" fillId="4" borderId="0" xfId="0" applyFont="1" applyFill="1" applyAlignment="1" applyProtection="1">
      <alignment horizontal="left" vertical="center"/>
      <protection locked="0"/>
    </xf>
    <xf numFmtId="1" fontId="4" fillId="3" borderId="0" xfId="0" applyNumberFormat="1" applyFont="1" applyFill="1" applyAlignment="1" applyProtection="1">
      <alignment horizontal="right" vertical="center"/>
    </xf>
    <xf numFmtId="0" fontId="4" fillId="3" borderId="5"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37" fontId="4" fillId="3" borderId="7" xfId="0" applyNumberFormat="1" applyFont="1" applyFill="1" applyBorder="1" applyAlignment="1" applyProtection="1">
      <alignment vertical="center"/>
    </xf>
    <xf numFmtId="0" fontId="4" fillId="4" borderId="5" xfId="0" applyFont="1" applyFill="1" applyBorder="1" applyAlignment="1" applyProtection="1">
      <alignment horizontal="left" vertical="center"/>
      <protection locked="0"/>
    </xf>
    <xf numFmtId="3" fontId="49" fillId="3" borderId="0" xfId="0" applyNumberFormat="1" applyFont="1" applyFill="1" applyAlignment="1" applyProtection="1">
      <alignment horizontal="center" vertical="center"/>
    </xf>
    <xf numFmtId="37" fontId="4" fillId="3" borderId="0" xfId="0" applyNumberFormat="1" applyFont="1" applyFill="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3" fillId="3" borderId="0" xfId="0" applyFont="1" applyFill="1" applyAlignment="1">
      <alignment horizontal="center" vertical="center"/>
    </xf>
    <xf numFmtId="0" fontId="21" fillId="3" borderId="0" xfId="0" applyFont="1" applyFill="1" applyAlignment="1">
      <alignment horizontal="center" vertical="center"/>
    </xf>
    <xf numFmtId="0" fontId="4" fillId="3" borderId="6" xfId="0" applyFont="1" applyFill="1" applyBorder="1" applyAlignment="1">
      <alignment vertical="center"/>
    </xf>
    <xf numFmtId="0" fontId="4" fillId="3" borderId="1" xfId="0" applyFont="1" applyFill="1" applyBorder="1" applyAlignment="1">
      <alignment vertical="center"/>
    </xf>
    <xf numFmtId="0" fontId="22" fillId="3" borderId="2" xfId="0" applyFont="1" applyFill="1" applyBorder="1" applyAlignment="1">
      <alignment vertical="center"/>
    </xf>
    <xf numFmtId="0" fontId="22" fillId="3" borderId="6" xfId="0" applyFont="1" applyFill="1" applyBorder="1" applyAlignment="1">
      <alignment horizontal="center" vertical="center"/>
    </xf>
    <xf numFmtId="0" fontId="22" fillId="3" borderId="9" xfId="0" applyFont="1" applyFill="1" applyBorder="1" applyAlignment="1">
      <alignment vertical="center"/>
    </xf>
    <xf numFmtId="0" fontId="22"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2" fillId="3" borderId="8" xfId="0" applyFont="1" applyFill="1" applyBorder="1" applyAlignment="1">
      <alignment vertical="center"/>
    </xf>
    <xf numFmtId="3" fontId="22" fillId="2" borderId="7" xfId="0" applyNumberFormat="1" applyFont="1" applyFill="1" applyBorder="1" applyAlignment="1" applyProtection="1">
      <alignment horizontal="center" vertical="center"/>
      <protection locked="0"/>
    </xf>
    <xf numFmtId="0" fontId="22" fillId="3" borderId="1" xfId="0" applyFont="1" applyFill="1" applyBorder="1" applyAlignment="1">
      <alignment vertical="center"/>
    </xf>
    <xf numFmtId="3" fontId="22" fillId="6" borderId="7" xfId="0" applyNumberFormat="1" applyFont="1" applyFill="1" applyBorder="1" applyAlignment="1">
      <alignment horizontal="center" vertical="center"/>
    </xf>
    <xf numFmtId="0" fontId="22" fillId="3" borderId="0" xfId="0" applyFont="1" applyFill="1" applyAlignment="1">
      <alignment vertical="center"/>
    </xf>
    <xf numFmtId="3" fontId="22" fillId="3" borderId="0" xfId="0" applyNumberFormat="1" applyFont="1" applyFill="1" applyAlignment="1">
      <alignment horizontal="center" vertical="center"/>
    </xf>
    <xf numFmtId="0" fontId="22" fillId="3" borderId="0" xfId="0" applyFont="1" applyFill="1" applyAlignment="1">
      <alignment horizontal="center" vertical="center"/>
    </xf>
    <xf numFmtId="0" fontId="22" fillId="2" borderId="7" xfId="0" applyFont="1" applyFill="1" applyBorder="1" applyAlignment="1" applyProtection="1">
      <alignment vertical="center"/>
      <protection locked="0"/>
    </xf>
    <xf numFmtId="0" fontId="22" fillId="2" borderId="9" xfId="0" applyFont="1" applyFill="1" applyBorder="1" applyAlignment="1" applyProtection="1">
      <alignment vertical="center"/>
      <protection locked="0"/>
    </xf>
    <xf numFmtId="3" fontId="22" fillId="2" borderId="9" xfId="0" applyNumberFormat="1" applyFont="1" applyFill="1" applyBorder="1" applyAlignment="1" applyProtection="1">
      <alignment horizontal="center" vertical="center"/>
      <protection locked="0"/>
    </xf>
    <xf numFmtId="0" fontId="22" fillId="2" borderId="0" xfId="0" applyFont="1" applyFill="1" applyAlignment="1" applyProtection="1">
      <alignment vertical="center"/>
      <protection locked="0"/>
    </xf>
    <xf numFmtId="3" fontId="22" fillId="2" borderId="3" xfId="0" applyNumberFormat="1" applyFont="1" applyFill="1" applyBorder="1" applyAlignment="1" applyProtection="1">
      <alignment horizontal="center" vertical="center"/>
      <protection locked="0"/>
    </xf>
    <xf numFmtId="3" fontId="22" fillId="2" borderId="6" xfId="0" applyNumberFormat="1" applyFont="1" applyFill="1" applyBorder="1" applyAlignment="1" applyProtection="1">
      <alignment horizontal="center" vertical="center"/>
      <protection locked="0"/>
    </xf>
    <xf numFmtId="0" fontId="22" fillId="2" borderId="6" xfId="0" applyFont="1" applyFill="1" applyBorder="1" applyAlignment="1" applyProtection="1">
      <alignment vertical="center"/>
      <protection locked="0"/>
    </xf>
    <xf numFmtId="0" fontId="22" fillId="2" borderId="4" xfId="0" applyFont="1" applyFill="1" applyBorder="1" applyAlignment="1" applyProtection="1">
      <alignment vertical="center"/>
      <protection locked="0"/>
    </xf>
    <xf numFmtId="3" fontId="22" fillId="2" borderId="10" xfId="0" applyNumberFormat="1" applyFont="1" applyFill="1" applyBorder="1" applyAlignment="1" applyProtection="1">
      <alignment horizontal="center" vertical="center"/>
      <protection locked="0"/>
    </xf>
    <xf numFmtId="0" fontId="22" fillId="2" borderId="10" xfId="0" applyFont="1" applyFill="1" applyBorder="1" applyAlignment="1" applyProtection="1">
      <alignment vertical="center"/>
      <protection locked="0"/>
    </xf>
    <xf numFmtId="3" fontId="22" fillId="6" borderId="4" xfId="0" applyNumberFormat="1" applyFont="1" applyFill="1" applyBorder="1" applyAlignment="1">
      <alignment horizontal="center" vertical="center"/>
    </xf>
    <xf numFmtId="3" fontId="22" fillId="5" borderId="7" xfId="0" applyNumberFormat="1" applyFont="1" applyFill="1" applyBorder="1" applyAlignment="1">
      <alignment horizontal="center" vertical="center"/>
    </xf>
    <xf numFmtId="3" fontId="4" fillId="3" borderId="0" xfId="0" applyNumberFormat="1" applyFont="1" applyFill="1" applyAlignment="1">
      <alignment vertical="center"/>
    </xf>
    <xf numFmtId="0" fontId="4" fillId="8" borderId="0" xfId="0" applyFont="1" applyFill="1" applyAlignment="1">
      <alignment vertical="center"/>
    </xf>
    <xf numFmtId="0" fontId="4" fillId="3" borderId="0" xfId="0" applyFont="1" applyFill="1" applyAlignment="1">
      <alignment horizontal="right" vertical="center"/>
    </xf>
    <xf numFmtId="3" fontId="4" fillId="0" borderId="0" xfId="0" applyNumberFormat="1" applyFont="1" applyAlignment="1">
      <alignment vertical="center"/>
    </xf>
    <xf numFmtId="3" fontId="26" fillId="5" borderId="0" xfId="0" applyNumberFormat="1" applyFont="1" applyFill="1" applyAlignment="1">
      <alignment horizontal="center" vertical="center"/>
    </xf>
    <xf numFmtId="0" fontId="3" fillId="3" borderId="0" xfId="0" applyFont="1" applyFill="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0" xfId="0" applyFont="1" applyFill="1" applyAlignment="1" applyProtection="1">
      <alignment vertical="center"/>
      <protection locked="0"/>
    </xf>
    <xf numFmtId="3" fontId="4" fillId="2" borderId="7" xfId="0" applyNumberFormat="1" applyFont="1" applyFill="1" applyBorder="1" applyAlignment="1" applyProtection="1">
      <alignment horizontal="center" vertical="center"/>
      <protection locked="0"/>
    </xf>
    <xf numFmtId="174" fontId="4" fillId="3" borderId="7" xfId="0" applyNumberFormat="1" applyFont="1" applyFill="1" applyBorder="1" applyAlignment="1" applyProtection="1">
      <alignment horizontal="center" vertical="center"/>
    </xf>
    <xf numFmtId="3" fontId="4" fillId="3" borderId="7" xfId="0" applyNumberFormat="1" applyFont="1" applyFill="1" applyBorder="1" applyAlignment="1" applyProtection="1">
      <alignment horizontal="center" vertical="center"/>
    </xf>
    <xf numFmtId="3" fontId="4" fillId="2" borderId="2" xfId="0" applyNumberFormat="1" applyFont="1" applyFill="1" applyBorder="1" applyAlignment="1" applyProtection="1">
      <alignment horizontal="center" vertical="center"/>
      <protection locked="0"/>
    </xf>
    <xf numFmtId="3" fontId="4" fillId="3" borderId="11" xfId="0" applyNumberFormat="1" applyFont="1" applyFill="1" applyBorder="1" applyAlignment="1" applyProtection="1">
      <alignment horizontal="center" vertical="center"/>
    </xf>
    <xf numFmtId="174" fontId="4" fillId="3" borderId="11" xfId="0" applyNumberFormat="1" applyFont="1" applyFill="1" applyBorder="1" applyAlignment="1" applyProtection="1">
      <alignment horizontal="center" vertical="center"/>
    </xf>
    <xf numFmtId="3" fontId="4" fillId="3" borderId="1" xfId="0" applyNumberFormat="1" applyFont="1" applyFill="1" applyBorder="1" applyAlignment="1" applyProtection="1">
      <alignment horizontal="center" vertical="center"/>
    </xf>
    <xf numFmtId="174" fontId="4" fillId="3" borderId="1" xfId="0" applyNumberFormat="1" applyFont="1" applyFill="1" applyBorder="1" applyAlignment="1" applyProtection="1">
      <alignment horizontal="center" vertical="center"/>
    </xf>
    <xf numFmtId="174" fontId="4" fillId="3" borderId="0" xfId="0" applyNumberFormat="1" applyFont="1" applyFill="1" applyBorder="1" applyAlignment="1" applyProtection="1">
      <alignment horizontal="center" vertical="center"/>
    </xf>
    <xf numFmtId="3" fontId="4" fillId="3" borderId="1" xfId="0" applyNumberFormat="1" applyFont="1"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174" fontId="4" fillId="3" borderId="1" xfId="0" applyNumberFormat="1" applyFont="1" applyFill="1" applyBorder="1" applyAlignment="1">
      <alignment horizontal="center" vertical="center"/>
    </xf>
    <xf numFmtId="172" fontId="4" fillId="3" borderId="0" xfId="0" applyNumberFormat="1" applyFont="1" applyFill="1" applyBorder="1" applyAlignment="1" applyProtection="1">
      <alignment vertical="center"/>
    </xf>
    <xf numFmtId="37" fontId="3" fillId="3" borderId="0" xfId="0" applyNumberFormat="1" applyFont="1" applyFill="1" applyAlignment="1" applyProtection="1">
      <alignment horizontal="centerContinuous" vertical="center"/>
    </xf>
    <xf numFmtId="0" fontId="4" fillId="3" borderId="0" xfId="0" applyFont="1" applyFill="1" applyAlignment="1" applyProtection="1">
      <alignment horizontal="centerContinuous" vertical="center"/>
    </xf>
    <xf numFmtId="37" fontId="5" fillId="3" borderId="0" xfId="0" applyNumberFormat="1" applyFont="1" applyFill="1" applyAlignment="1" applyProtection="1">
      <alignment horizontal="center" vertical="center"/>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0" borderId="0" xfId="0" applyFont="1" applyBorder="1" applyAlignment="1" applyProtection="1">
      <alignment vertical="center"/>
      <protection locked="0"/>
    </xf>
    <xf numFmtId="1" fontId="4" fillId="3" borderId="5" xfId="0" applyNumberFormat="1" applyFont="1" applyFill="1" applyBorder="1" applyAlignment="1" applyProtection="1">
      <alignment horizontal="centerContinuous" vertical="center"/>
    </xf>
    <xf numFmtId="1" fontId="4" fillId="3" borderId="6" xfId="0" applyNumberFormat="1" applyFont="1" applyFill="1" applyBorder="1" applyAlignment="1" applyProtection="1">
      <alignment horizontal="centerContinuous" vertical="center"/>
    </xf>
    <xf numFmtId="0" fontId="4" fillId="3" borderId="6" xfId="0" applyFont="1" applyFill="1" applyBorder="1" applyAlignment="1" applyProtection="1">
      <alignment horizontal="centerContinuous" vertical="center"/>
    </xf>
    <xf numFmtId="37" fontId="4" fillId="3" borderId="5" xfId="0" applyNumberFormat="1" applyFont="1" applyFill="1" applyBorder="1" applyAlignment="1" applyProtection="1">
      <alignment horizontal="centerContinuous" vertical="center"/>
    </xf>
    <xf numFmtId="0" fontId="4" fillId="3" borderId="12" xfId="0" applyFont="1" applyFill="1" applyBorder="1" applyAlignment="1" applyProtection="1">
      <alignment horizontal="centerContinuous" vertical="center"/>
    </xf>
    <xf numFmtId="0" fontId="4" fillId="3" borderId="2" xfId="0" applyFont="1" applyFill="1" applyBorder="1" applyAlignment="1" applyProtection="1">
      <alignment vertical="center"/>
    </xf>
    <xf numFmtId="37" fontId="4" fillId="3" borderId="13" xfId="0" applyNumberFormat="1" applyFont="1" applyFill="1" applyBorder="1" applyAlignment="1" applyProtection="1">
      <alignment horizontal="center" vertical="center"/>
    </xf>
    <xf numFmtId="165" fontId="4" fillId="3" borderId="7" xfId="0" applyNumberFormat="1" applyFont="1" applyFill="1" applyBorder="1" applyAlignment="1" applyProtection="1">
      <alignment vertical="center"/>
    </xf>
    <xf numFmtId="37" fontId="4" fillId="6" borderId="7" xfId="0" applyNumberFormat="1" applyFont="1" applyFill="1" applyBorder="1" applyAlignment="1" applyProtection="1">
      <alignment vertical="center"/>
    </xf>
    <xf numFmtId="37" fontId="4" fillId="3" borderId="7" xfId="0" applyNumberFormat="1" applyFont="1" applyFill="1" applyBorder="1" applyAlignment="1" applyProtection="1">
      <alignment horizontal="fill" vertical="center"/>
    </xf>
    <xf numFmtId="1" fontId="4" fillId="3" borderId="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center" vertical="center"/>
    </xf>
    <xf numFmtId="37" fontId="4" fillId="6" borderId="11" xfId="0" applyNumberFormat="1" applyFont="1" applyFill="1" applyBorder="1" applyAlignment="1" applyProtection="1">
      <alignment horizontal="center" vertical="center"/>
    </xf>
    <xf numFmtId="0" fontId="25" fillId="0" borderId="0" xfId="0" applyFont="1" applyAlignment="1">
      <alignment horizontal="center" vertical="center"/>
    </xf>
    <xf numFmtId="0" fontId="3" fillId="0" borderId="0" xfId="0" applyFont="1" applyAlignment="1">
      <alignment vertical="center" wrapText="1"/>
    </xf>
    <xf numFmtId="0" fontId="50" fillId="0" borderId="0" xfId="0" applyFont="1" applyAlignment="1">
      <alignment vertical="center"/>
    </xf>
    <xf numFmtId="37" fontId="4" fillId="3" borderId="0" xfId="415" applyNumberFormat="1" applyFont="1" applyFill="1" applyAlignment="1" applyProtection="1">
      <alignment vertical="center"/>
    </xf>
    <xf numFmtId="0" fontId="4" fillId="3" borderId="0" xfId="415" applyFont="1" applyFill="1" applyAlignment="1" applyProtection="1">
      <alignment vertical="center"/>
    </xf>
    <xf numFmtId="0" fontId="4" fillId="0" borderId="0" xfId="415" applyFont="1" applyAlignment="1" applyProtection="1">
      <alignment vertical="center"/>
      <protection locked="0"/>
    </xf>
    <xf numFmtId="0" fontId="3" fillId="3" borderId="0" xfId="416" applyFont="1" applyFill="1" applyAlignment="1" applyProtection="1">
      <alignment horizontal="centerContinuous" vertical="center"/>
    </xf>
    <xf numFmtId="0" fontId="4" fillId="3" borderId="0" xfId="415" applyFont="1" applyFill="1" applyAlignment="1" applyProtection="1">
      <alignment horizontal="centerContinuous" vertical="center"/>
    </xf>
    <xf numFmtId="0" fontId="4" fillId="3" borderId="2" xfId="0" applyFont="1" applyFill="1" applyBorder="1" applyAlignment="1" applyProtection="1">
      <alignment horizontal="center" vertical="center"/>
    </xf>
    <xf numFmtId="0" fontId="4" fillId="3" borderId="14" xfId="0" applyFont="1" applyFill="1" applyBorder="1" applyAlignment="1" applyProtection="1">
      <alignment horizontal="centerContinuous" vertical="center"/>
    </xf>
    <xf numFmtId="0" fontId="4" fillId="3" borderId="9" xfId="0" applyFont="1" applyFill="1" applyBorder="1" applyAlignment="1" applyProtection="1">
      <alignment horizontal="centerContinuous" vertical="center"/>
    </xf>
    <xf numFmtId="0" fontId="4" fillId="3" borderId="13" xfId="0" applyFont="1" applyFill="1" applyBorder="1" applyAlignment="1" applyProtection="1">
      <alignment horizontal="center" vertical="center"/>
    </xf>
    <xf numFmtId="0" fontId="4" fillId="3" borderId="8" xfId="0" applyFont="1" applyFill="1" applyBorder="1" applyAlignment="1" applyProtection="1">
      <alignment horizontal="centerContinuous" vertical="center"/>
    </xf>
    <xf numFmtId="0" fontId="4" fillId="3" borderId="3" xfId="0" applyFont="1" applyFill="1" applyBorder="1" applyAlignment="1" applyProtection="1">
      <alignment horizontal="centerContinuous" vertical="center"/>
    </xf>
    <xf numFmtId="0" fontId="4" fillId="3" borderId="4" xfId="0" applyFont="1" applyFill="1" applyBorder="1" applyAlignment="1" applyProtection="1">
      <alignment horizontal="center" vertical="center"/>
    </xf>
    <xf numFmtId="14" fontId="4" fillId="3" borderId="4" xfId="0" quotePrefix="1" applyNumberFormat="1"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168" fontId="4" fillId="3" borderId="7" xfId="0" applyNumberFormat="1" applyFont="1" applyFill="1" applyBorder="1" applyAlignment="1" applyProtection="1">
      <alignment horizontal="left" vertical="center"/>
    </xf>
    <xf numFmtId="169"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horizontal="left" vertical="center"/>
      <protection locked="0"/>
    </xf>
    <xf numFmtId="0" fontId="4" fillId="4" borderId="7" xfId="0" applyFont="1" applyFill="1" applyBorder="1" applyAlignment="1" applyProtection="1">
      <alignment vertical="center"/>
      <protection locked="0"/>
    </xf>
    <xf numFmtId="168" fontId="4" fillId="4" borderId="7" xfId="0" applyNumberFormat="1" applyFont="1" applyFill="1" applyBorder="1" applyAlignment="1" applyProtection="1">
      <alignment vertical="center"/>
      <protection locked="0"/>
    </xf>
    <xf numFmtId="2" fontId="4" fillId="4" borderId="7" xfId="0" applyNumberFormat="1" applyFont="1" applyFill="1" applyBorder="1" applyAlignment="1" applyProtection="1">
      <alignment vertical="center"/>
      <protection locked="0"/>
    </xf>
    <xf numFmtId="37" fontId="4" fillId="4" borderId="7" xfId="0" applyNumberFormat="1" applyFont="1" applyFill="1" applyBorder="1" applyAlignment="1" applyProtection="1">
      <alignment vertical="center"/>
      <protection locked="0"/>
    </xf>
    <xf numFmtId="169" fontId="4" fillId="4" borderId="7" xfId="0" applyNumberFormat="1" applyFont="1" applyFill="1" applyBorder="1" applyAlignment="1" applyProtection="1">
      <alignment vertical="center"/>
      <protection locked="0"/>
    </xf>
    <xf numFmtId="168" fontId="4" fillId="3" borderId="7" xfId="0" applyNumberFormat="1" applyFont="1" applyFill="1" applyBorder="1" applyAlignment="1" applyProtection="1">
      <alignment vertical="center"/>
    </xf>
    <xf numFmtId="2" fontId="4" fillId="3" borderId="7" xfId="0" applyNumberFormat="1" applyFont="1" applyFill="1" applyBorder="1" applyAlignment="1" applyProtection="1">
      <alignment vertical="center"/>
    </xf>
    <xf numFmtId="169" fontId="4" fillId="3" borderId="7" xfId="0" applyNumberFormat="1" applyFont="1" applyFill="1" applyBorder="1" applyAlignment="1" applyProtection="1">
      <alignment vertical="center"/>
    </xf>
    <xf numFmtId="0" fontId="3" fillId="3" borderId="7" xfId="415" applyFont="1" applyFill="1" applyBorder="1" applyAlignment="1" applyProtection="1">
      <alignment horizontal="left" vertical="center"/>
    </xf>
    <xf numFmtId="0" fontId="3" fillId="3" borderId="15" xfId="415" applyFont="1" applyFill="1" applyBorder="1" applyAlignment="1" applyProtection="1">
      <alignment vertical="center"/>
    </xf>
    <xf numFmtId="37" fontId="3" fillId="6" borderId="7" xfId="415" applyNumberFormat="1" applyFont="1" applyFill="1" applyBorder="1" applyAlignment="1" applyProtection="1">
      <alignment vertical="center"/>
    </xf>
    <xf numFmtId="0" fontId="4" fillId="3" borderId="0" xfId="416" applyFont="1" applyFill="1" applyAlignment="1" applyProtection="1">
      <alignment horizontal="centerContinuous" vertical="center"/>
    </xf>
    <xf numFmtId="0" fontId="4" fillId="3" borderId="0" xfId="416" applyFont="1" applyFill="1" applyAlignment="1" applyProtection="1">
      <alignment vertical="center"/>
    </xf>
    <xf numFmtId="0" fontId="4" fillId="0" borderId="0" xfId="416" applyFont="1" applyAlignment="1">
      <alignment vertical="center"/>
    </xf>
    <xf numFmtId="0" fontId="4" fillId="3" borderId="1" xfId="0" applyFont="1" applyFill="1" applyBorder="1" applyAlignment="1" applyProtection="1">
      <alignment horizontal="fill" vertical="center"/>
    </xf>
    <xf numFmtId="0" fontId="4" fillId="3" borderId="0" xfId="0" applyFont="1" applyFill="1" applyBorder="1" applyAlignment="1" applyProtection="1">
      <alignment horizontal="fill" vertical="center"/>
    </xf>
    <xf numFmtId="0" fontId="4" fillId="3" borderId="16" xfId="416" applyFont="1" applyFill="1" applyBorder="1" applyAlignment="1" applyProtection="1">
      <alignment vertical="center"/>
    </xf>
    <xf numFmtId="0" fontId="4" fillId="3" borderId="0" xfId="416" applyFont="1" applyFill="1" applyBorder="1" applyAlignment="1" applyProtection="1">
      <alignment vertical="center"/>
    </xf>
    <xf numFmtId="0" fontId="4" fillId="3" borderId="13" xfId="0" applyFont="1" applyFill="1" applyBorder="1" applyAlignment="1" applyProtection="1">
      <alignment vertical="center"/>
    </xf>
    <xf numFmtId="0" fontId="7" fillId="3" borderId="4" xfId="0" applyFont="1" applyFill="1" applyBorder="1" applyAlignment="1" applyProtection="1">
      <alignment horizontal="center" vertical="center"/>
    </xf>
    <xf numFmtId="1" fontId="4" fillId="4" borderId="7" xfId="0" applyNumberFormat="1" applyFont="1" applyFill="1" applyBorder="1" applyAlignment="1" applyProtection="1">
      <alignment vertical="center"/>
      <protection locked="0"/>
    </xf>
    <xf numFmtId="3" fontId="3" fillId="3" borderId="15" xfId="415" applyNumberFormat="1" applyFont="1" applyFill="1" applyBorder="1" applyAlignment="1" applyProtection="1">
      <alignment vertical="center"/>
    </xf>
    <xf numFmtId="0" fontId="0" fillId="3" borderId="0" xfId="0" applyFill="1" applyAlignment="1" applyProtection="1">
      <alignment vertical="center"/>
    </xf>
    <xf numFmtId="0" fontId="4" fillId="8" borderId="0" xfId="415" applyFont="1" applyFill="1" applyAlignment="1" applyProtection="1">
      <alignment vertical="center"/>
    </xf>
    <xf numFmtId="0" fontId="0" fillId="0" borderId="0" xfId="0" applyAlignment="1" applyProtection="1">
      <alignment vertical="center"/>
      <protection locked="0"/>
    </xf>
    <xf numFmtId="0" fontId="7" fillId="0" borderId="0" xfId="0" applyFont="1" applyAlignment="1">
      <alignment vertical="center"/>
    </xf>
    <xf numFmtId="0" fontId="13" fillId="0" borderId="0" xfId="0" applyFont="1" applyAlignment="1">
      <alignment vertical="center" wrapText="1"/>
    </xf>
    <xf numFmtId="0" fontId="51" fillId="0" borderId="0" xfId="0" applyFont="1" applyAlignment="1">
      <alignment vertical="center"/>
    </xf>
    <xf numFmtId="0" fontId="27" fillId="0" borderId="0" xfId="0" applyFont="1" applyAlignment="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2" borderId="4" xfId="0" applyFont="1" applyFill="1" applyBorder="1" applyAlignment="1" applyProtection="1">
      <alignment vertical="center"/>
      <protection locked="0"/>
    </xf>
    <xf numFmtId="173" fontId="4" fillId="2" borderId="4" xfId="1" applyNumberFormat="1" applyFont="1" applyFill="1" applyBorder="1" applyAlignment="1" applyProtection="1">
      <alignment vertical="center"/>
      <protection locked="0"/>
    </xf>
    <xf numFmtId="173" fontId="4" fillId="3" borderId="7" xfId="1" applyNumberFormat="1" applyFont="1" applyFill="1" applyBorder="1" applyAlignment="1" applyProtection="1">
      <alignment vertical="center"/>
    </xf>
    <xf numFmtId="0" fontId="4" fillId="2" borderId="7" xfId="0" applyFont="1" applyFill="1" applyBorder="1" applyAlignment="1" applyProtection="1">
      <alignment vertical="center"/>
      <protection locked="0"/>
    </xf>
    <xf numFmtId="173" fontId="4" fillId="2" borderId="7" xfId="1" applyNumberFormat="1"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4" fillId="3" borderId="7" xfId="0" applyFont="1" applyFill="1" applyBorder="1" applyAlignment="1" applyProtection="1">
      <alignment horizontal="center" vertical="center"/>
      <protection locked="0"/>
    </xf>
    <xf numFmtId="3" fontId="4" fillId="3" borderId="7" xfId="0" applyNumberFormat="1" applyFont="1" applyFill="1" applyBorder="1" applyAlignment="1" applyProtection="1">
      <alignment vertical="center"/>
      <protection locked="0"/>
    </xf>
    <xf numFmtId="3" fontId="4" fillId="7" borderId="7" xfId="0" applyNumberFormat="1" applyFont="1" applyFill="1" applyBorder="1" applyAlignment="1" applyProtection="1">
      <alignment vertical="center"/>
    </xf>
    <xf numFmtId="37" fontId="3" fillId="3" borderId="0" xfId="0" applyNumberFormat="1" applyFont="1" applyFill="1" applyBorder="1" applyAlignment="1" applyProtection="1">
      <alignment horizontal="center" vertical="center"/>
    </xf>
    <xf numFmtId="0" fontId="5" fillId="3" borderId="0" xfId="0" applyFont="1" applyFill="1" applyBorder="1" applyAlignment="1" applyProtection="1">
      <alignment horizontal="centerContinuous" vertical="center"/>
    </xf>
    <xf numFmtId="0" fontId="4" fillId="3" borderId="0" xfId="0" applyFont="1" applyFill="1" applyBorder="1" applyAlignment="1" applyProtection="1">
      <alignment horizontal="centerContinuous" vertical="center"/>
    </xf>
    <xf numFmtId="0" fontId="0" fillId="0" borderId="15" xfId="0" applyBorder="1" applyAlignment="1">
      <alignment vertical="center"/>
    </xf>
    <xf numFmtId="37" fontId="4" fillId="2" borderId="7" xfId="0" applyNumberFormat="1" applyFont="1" applyFill="1" applyBorder="1" applyAlignment="1" applyProtection="1">
      <alignment vertical="center"/>
    </xf>
    <xf numFmtId="174" fontId="4" fillId="3" borderId="7" xfId="0" applyNumberFormat="1" applyFont="1" applyFill="1" applyBorder="1" applyAlignment="1" applyProtection="1">
      <alignment vertical="center"/>
    </xf>
    <xf numFmtId="0" fontId="4" fillId="3" borderId="7" xfId="0" applyFont="1" applyFill="1" applyBorder="1" applyAlignment="1" applyProtection="1">
      <alignment horizontal="right" vertical="center"/>
    </xf>
    <xf numFmtId="37" fontId="4" fillId="3" borderId="11" xfId="0" applyNumberFormat="1" applyFont="1" applyFill="1" applyBorder="1" applyAlignment="1" applyProtection="1">
      <alignment vertical="center"/>
    </xf>
    <xf numFmtId="166" fontId="4" fillId="6" borderId="1" xfId="0" applyNumberFormat="1" applyFont="1" applyFill="1" applyBorder="1" applyAlignment="1" applyProtection="1">
      <alignment vertical="center"/>
    </xf>
    <xf numFmtId="0" fontId="5" fillId="3" borderId="0" xfId="0" applyFont="1" applyFill="1" applyAlignment="1" applyProtection="1">
      <alignment vertical="center"/>
    </xf>
    <xf numFmtId="166" fontId="4" fillId="3" borderId="1" xfId="0" applyNumberFormat="1" applyFont="1" applyFill="1" applyBorder="1" applyAlignment="1" applyProtection="1">
      <alignment vertical="center"/>
    </xf>
    <xf numFmtId="167" fontId="4" fillId="6" borderId="1" xfId="0" applyNumberFormat="1" applyFont="1" applyFill="1" applyBorder="1" applyAlignment="1" applyProtection="1">
      <alignment vertical="center"/>
    </xf>
    <xf numFmtId="166" fontId="4" fillId="3"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3" fillId="3" borderId="0" xfId="0" applyFont="1" applyFill="1" applyAlignment="1" applyProtection="1">
      <alignment horizontal="center" vertical="center" wrapText="1"/>
    </xf>
    <xf numFmtId="0" fontId="4" fillId="3" borderId="0" xfId="0" quotePrefix="1" applyFont="1" applyFill="1" applyAlignment="1" applyProtection="1">
      <alignment vertical="center"/>
    </xf>
    <xf numFmtId="3" fontId="4" fillId="3" borderId="0" xfId="0" quotePrefix="1" applyNumberFormat="1" applyFont="1" applyFill="1" applyAlignment="1" applyProtection="1">
      <alignment vertical="center"/>
    </xf>
    <xf numFmtId="3" fontId="4" fillId="3" borderId="1" xfId="0" applyNumberFormat="1" applyFont="1" applyFill="1" applyBorder="1" applyAlignment="1" applyProtection="1">
      <alignment vertical="center"/>
    </xf>
    <xf numFmtId="3" fontId="4" fillId="6" borderId="12" xfId="0" applyNumberFormat="1" applyFont="1" applyFill="1" applyBorder="1" applyAlignment="1" applyProtection="1">
      <alignment vertical="center"/>
    </xf>
    <xf numFmtId="3" fontId="4" fillId="3" borderId="12" xfId="0" applyNumberFormat="1" applyFont="1" applyFill="1" applyBorder="1" applyAlignment="1" applyProtection="1">
      <alignment vertical="center"/>
    </xf>
    <xf numFmtId="0" fontId="4" fillId="3" borderId="15" xfId="0" applyFont="1" applyFill="1" applyBorder="1" applyAlignment="1" applyProtection="1">
      <alignment vertical="center"/>
    </xf>
    <xf numFmtId="167" fontId="4" fillId="3" borderId="1" xfId="0" applyNumberFormat="1" applyFont="1" applyFill="1" applyBorder="1" applyAlignment="1" applyProtection="1">
      <alignment vertical="center"/>
    </xf>
    <xf numFmtId="0" fontId="4" fillId="3" borderId="0" xfId="0" quotePrefix="1" applyFont="1" applyFill="1" applyBorder="1" applyAlignment="1" applyProtection="1">
      <alignment vertical="center"/>
    </xf>
    <xf numFmtId="3" fontId="4" fillId="3" borderId="19" xfId="0" applyNumberFormat="1" applyFont="1" applyFill="1" applyBorder="1" applyAlignment="1" applyProtection="1">
      <alignment vertical="center"/>
    </xf>
    <xf numFmtId="0" fontId="6" fillId="0" borderId="0" xfId="0" applyFont="1" applyAlignment="1">
      <alignment vertical="center"/>
    </xf>
    <xf numFmtId="37" fontId="4" fillId="3" borderId="2" xfId="0" applyNumberFormat="1" applyFont="1" applyFill="1" applyBorder="1" applyAlignment="1" applyProtection="1">
      <alignment horizontal="left" vertical="center"/>
    </xf>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37" fontId="5" fillId="3" borderId="8" xfId="0" applyNumberFormat="1" applyFont="1" applyFill="1" applyBorder="1" applyAlignment="1" applyProtection="1">
      <alignment horizontal="left" vertical="center"/>
    </xf>
    <xf numFmtId="0" fontId="4" fillId="3" borderId="3" xfId="0" applyFont="1" applyFill="1" applyBorder="1" applyAlignment="1" applyProtection="1">
      <alignment vertical="center"/>
    </xf>
    <xf numFmtId="37" fontId="4" fillId="6" borderId="7" xfId="0" applyNumberFormat="1" applyFont="1" applyFill="1" applyBorder="1" applyAlignment="1" applyProtection="1">
      <alignment horizontal="center" vertical="center"/>
    </xf>
    <xf numFmtId="164" fontId="4" fillId="3" borderId="7"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vertical="center"/>
    </xf>
    <xf numFmtId="37" fontId="4" fillId="3" borderId="6" xfId="0" applyNumberFormat="1" applyFont="1" applyFill="1" applyBorder="1" applyAlignment="1" applyProtection="1">
      <alignment horizontal="center" vertical="center"/>
    </xf>
    <xf numFmtId="164" fontId="4" fillId="3" borderId="6"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vertical="center"/>
    </xf>
    <xf numFmtId="37" fontId="3" fillId="3" borderId="14" xfId="0" applyNumberFormat="1" applyFont="1" applyFill="1" applyBorder="1" applyAlignment="1" applyProtection="1">
      <alignment horizontal="left" vertical="center"/>
    </xf>
    <xf numFmtId="0" fontId="4" fillId="3" borderId="12" xfId="0" applyFont="1" applyFill="1" applyBorder="1" applyAlignment="1" applyProtection="1">
      <alignment vertical="center"/>
    </xf>
    <xf numFmtId="0" fontId="4" fillId="5" borderId="7" xfId="0" applyFont="1" applyFill="1" applyBorder="1" applyAlignment="1" applyProtection="1">
      <alignment horizontal="center" vertical="center" shrinkToFit="1"/>
    </xf>
    <xf numFmtId="0" fontId="15" fillId="5" borderId="6" xfId="0" applyFont="1" applyFill="1" applyBorder="1" applyAlignment="1" applyProtection="1">
      <alignment horizontal="center" vertical="center"/>
    </xf>
    <xf numFmtId="0" fontId="4" fillId="3" borderId="0" xfId="0" applyFont="1" applyFill="1" applyBorder="1" applyAlignment="1" applyProtection="1">
      <alignment horizontal="center" vertical="center" shrinkToFit="1"/>
    </xf>
    <xf numFmtId="0" fontId="15" fillId="3" borderId="0" xfId="0" applyFont="1" applyFill="1" applyBorder="1" applyAlignment="1" applyProtection="1">
      <alignment horizontal="center" vertical="center"/>
    </xf>
    <xf numFmtId="0" fontId="8" fillId="3" borderId="0" xfId="0" applyFont="1" applyFill="1" applyAlignment="1" applyProtection="1">
      <alignment horizontal="center" vertical="center"/>
    </xf>
    <xf numFmtId="0" fontId="4" fillId="3" borderId="0" xfId="0"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0" fontId="4" fillId="2" borderId="1"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37" fontId="4" fillId="2" borderId="0" xfId="0" applyNumberFormat="1" applyFont="1" applyFill="1" applyAlignment="1" applyProtection="1">
      <alignment horizontal="left" vertical="center"/>
      <protection locked="0"/>
    </xf>
    <xf numFmtId="0" fontId="4" fillId="3" borderId="0" xfId="0" applyFont="1" applyFill="1" applyAlignment="1" applyProtection="1">
      <alignment horizontal="left" vertical="center"/>
    </xf>
    <xf numFmtId="0" fontId="3" fillId="9" borderId="0" xfId="0" applyFont="1" applyFill="1" applyAlignment="1" applyProtection="1">
      <alignment horizontal="left" vertical="center"/>
    </xf>
    <xf numFmtId="0" fontId="4" fillId="9" borderId="0" xfId="0" applyFont="1" applyFill="1" applyAlignment="1" applyProtection="1">
      <alignment vertical="center"/>
    </xf>
    <xf numFmtId="3" fontId="4" fillId="4" borderId="1" xfId="0" applyNumberFormat="1" applyFont="1" applyFill="1" applyBorder="1" applyAlignment="1" applyProtection="1">
      <alignment vertical="center"/>
      <protection locked="0"/>
    </xf>
    <xf numFmtId="37" fontId="4" fillId="2" borderId="12"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vertical="center"/>
      <protection locked="0"/>
    </xf>
    <xf numFmtId="37" fontId="5" fillId="3" borderId="0" xfId="0" applyNumberFormat="1" applyFont="1" applyFill="1" applyBorder="1" applyAlignment="1" applyProtection="1">
      <alignment horizontal="left" vertical="center"/>
    </xf>
    <xf numFmtId="3" fontId="4"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2" fontId="4" fillId="2" borderId="1" xfId="0" applyNumberFormat="1" applyFont="1" applyFill="1" applyBorder="1" applyAlignment="1" applyProtection="1">
      <alignment vertical="center"/>
      <protection locked="0"/>
    </xf>
    <xf numFmtId="172" fontId="4" fillId="2" borderId="12" xfId="0" applyNumberFormat="1" applyFont="1" applyFill="1" applyBorder="1" applyAlignment="1" applyProtection="1">
      <alignment vertical="center"/>
      <protection locked="0"/>
    </xf>
    <xf numFmtId="172" fontId="4" fillId="2" borderId="15" xfId="0" applyNumberFormat="1" applyFont="1" applyFill="1" applyBorder="1" applyAlignment="1" applyProtection="1">
      <alignment vertical="center"/>
      <protection locked="0"/>
    </xf>
    <xf numFmtId="172" fontId="4" fillId="6" borderId="7" xfId="0" applyNumberFormat="1" applyFont="1" applyFill="1" applyBorder="1" applyAlignment="1" applyProtection="1">
      <alignment vertical="center"/>
    </xf>
    <xf numFmtId="37" fontId="3" fillId="10" borderId="0" xfId="0" applyNumberFormat="1" applyFont="1" applyFill="1" applyAlignment="1" applyProtection="1">
      <alignment horizontal="left" vertical="center"/>
    </xf>
    <xf numFmtId="0" fontId="4" fillId="10" borderId="0" xfId="0" applyFont="1" applyFill="1" applyAlignment="1" applyProtection="1">
      <alignment vertical="center"/>
    </xf>
    <xf numFmtId="3" fontId="4" fillId="10" borderId="0" xfId="0" applyNumberFormat="1" applyFont="1" applyFill="1" applyAlignment="1" applyProtection="1">
      <alignment vertical="center"/>
    </xf>
    <xf numFmtId="3" fontId="4" fillId="3" borderId="3" xfId="0" applyNumberFormat="1" applyFont="1" applyFill="1" applyBorder="1" applyAlignment="1" applyProtection="1">
      <alignment vertical="center"/>
    </xf>
    <xf numFmtId="37" fontId="4" fillId="3" borderId="12" xfId="0" applyNumberFormat="1" applyFont="1" applyFill="1" applyBorder="1" applyAlignment="1" applyProtection="1">
      <alignment horizontal="left" vertical="center"/>
    </xf>
    <xf numFmtId="37" fontId="4" fillId="8" borderId="0" xfId="0" applyNumberFormat="1" applyFont="1" applyFill="1" applyBorder="1" applyAlignment="1" applyProtection="1">
      <alignment horizontal="left" vertical="center"/>
    </xf>
    <xf numFmtId="0" fontId="4" fillId="8" borderId="0" xfId="0" applyFont="1" applyFill="1" applyBorder="1" applyAlignment="1" applyProtection="1">
      <alignment vertical="center"/>
    </xf>
    <xf numFmtId="171" fontId="4" fillId="8" borderId="0" xfId="0" applyNumberFormat="1" applyFont="1" applyFill="1" applyBorder="1" applyAlignment="1" applyProtection="1">
      <alignment vertical="center"/>
      <protection locked="0"/>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15" fillId="3" borderId="0" xfId="0" applyFont="1" applyFill="1" applyAlignment="1">
      <alignment vertical="center"/>
    </xf>
    <xf numFmtId="0" fontId="20" fillId="3" borderId="0" xfId="0" applyFont="1" applyFill="1" applyAlignment="1">
      <alignment vertical="center"/>
    </xf>
    <xf numFmtId="37" fontId="4" fillId="3" borderId="7" xfId="0" applyNumberFormat="1" applyFont="1" applyFill="1" applyBorder="1" applyAlignment="1">
      <alignment vertical="center"/>
    </xf>
    <xf numFmtId="37" fontId="17" fillId="3" borderId="0" xfId="0" applyNumberFormat="1" applyFont="1" applyFill="1" applyAlignment="1" applyProtection="1">
      <alignment horizontal="left" vertical="center"/>
    </xf>
    <xf numFmtId="0" fontId="3" fillId="2" borderId="7" xfId="0" applyFont="1" applyFill="1" applyBorder="1" applyAlignment="1" applyProtection="1">
      <alignment horizontal="center" vertical="center"/>
      <protection locked="0"/>
    </xf>
    <xf numFmtId="0" fontId="3" fillId="10" borderId="0" xfId="0" applyFont="1" applyFill="1" applyAlignment="1" applyProtection="1">
      <alignment vertical="center"/>
    </xf>
    <xf numFmtId="0" fontId="4" fillId="3" borderId="0" xfId="0" applyNumberFormat="1" applyFont="1" applyFill="1" applyAlignment="1" applyProtection="1">
      <alignment horizontal="center" vertical="center"/>
    </xf>
    <xf numFmtId="37" fontId="3" fillId="11" borderId="0" xfId="0" applyNumberFormat="1" applyFont="1" applyFill="1" applyAlignment="1" applyProtection="1">
      <alignment horizontal="left" vertical="center"/>
    </xf>
    <xf numFmtId="0" fontId="4" fillId="11" borderId="0" xfId="0" applyFont="1" applyFill="1" applyAlignment="1" applyProtection="1">
      <alignment vertical="center"/>
    </xf>
    <xf numFmtId="0" fontId="5" fillId="9" borderId="14" xfId="0" applyNumberFormat="1" applyFont="1" applyFill="1" applyBorder="1" applyAlignment="1" applyProtection="1">
      <alignment horizontal="center" vertical="center"/>
    </xf>
    <xf numFmtId="0" fontId="5" fillId="9" borderId="2" xfId="0" applyNumberFormat="1" applyFont="1" applyFill="1" applyBorder="1" applyAlignment="1" applyProtection="1">
      <alignment horizontal="center" vertical="center"/>
    </xf>
    <xf numFmtId="0" fontId="5" fillId="3" borderId="0" xfId="0" applyFont="1" applyFill="1" applyAlignment="1" applyProtection="1">
      <alignment horizontal="center" vertical="center"/>
    </xf>
    <xf numFmtId="0" fontId="4" fillId="9" borderId="8" xfId="0" applyFont="1" applyFill="1" applyBorder="1" applyAlignment="1">
      <alignment horizontal="center" vertical="center"/>
    </xf>
    <xf numFmtId="37" fontId="4" fillId="9" borderId="4" xfId="0" applyNumberFormat="1"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37" fontId="4" fillId="3" borderId="12" xfId="0" applyNumberFormat="1" applyFont="1" applyFill="1" applyBorder="1" applyAlignment="1" applyProtection="1">
      <alignment vertical="center"/>
    </xf>
    <xf numFmtId="37" fontId="4" fillId="6" borderId="7" xfId="0" applyNumberFormat="1" applyFont="1" applyFill="1" applyBorder="1" applyAlignment="1">
      <alignment vertical="center"/>
    </xf>
    <xf numFmtId="0" fontId="4" fillId="3" borderId="1" xfId="0" applyFont="1" applyFill="1" applyBorder="1" applyAlignment="1" applyProtection="1">
      <alignment vertical="center"/>
      <protection locked="0"/>
    </xf>
    <xf numFmtId="37" fontId="4" fillId="3" borderId="0" xfId="0" applyNumberFormat="1" applyFont="1" applyFill="1" applyBorder="1" applyAlignment="1" applyProtection="1">
      <alignment horizontal="right" vertical="center"/>
    </xf>
    <xf numFmtId="165" fontId="4" fillId="4" borderId="4" xfId="0" applyNumberFormat="1" applyFont="1" applyFill="1" applyBorder="1" applyAlignment="1" applyProtection="1">
      <alignment vertical="center"/>
      <protection locked="0"/>
    </xf>
    <xf numFmtId="165" fontId="4" fillId="4" borderId="7" xfId="0" applyNumberFormat="1" applyFont="1" applyFill="1" applyBorder="1" applyAlignment="1" applyProtection="1">
      <alignment vertical="center"/>
      <protection locked="0"/>
    </xf>
    <xf numFmtId="165" fontId="4" fillId="3" borderId="1" xfId="0" applyNumberFormat="1" applyFont="1" applyFill="1" applyBorder="1" applyAlignment="1" applyProtection="1">
      <alignment vertical="center"/>
    </xf>
    <xf numFmtId="165" fontId="4" fillId="6" borderId="11" xfId="0" applyNumberFormat="1" applyFont="1" applyFill="1" applyBorder="1" applyAlignment="1" applyProtection="1">
      <alignment vertical="center"/>
    </xf>
    <xf numFmtId="37" fontId="4" fillId="10" borderId="1" xfId="0" applyNumberFormat="1" applyFont="1" applyFill="1" applyBorder="1" applyAlignment="1" applyProtection="1">
      <alignment horizontal="left" vertical="center"/>
    </xf>
    <xf numFmtId="0" fontId="4" fillId="10" borderId="1" xfId="0" applyFont="1" applyFill="1" applyBorder="1" applyAlignment="1" applyProtection="1">
      <alignment vertical="center"/>
    </xf>
    <xf numFmtId="37" fontId="4" fillId="10" borderId="12" xfId="0" applyNumberFormat="1" applyFont="1" applyFill="1" applyBorder="1" applyAlignment="1" applyProtection="1">
      <alignment horizontal="left" vertical="center"/>
    </xf>
    <xf numFmtId="0" fontId="4" fillId="10" borderId="12" xfId="0" applyFont="1" applyFill="1" applyBorder="1" applyAlignment="1" applyProtection="1">
      <alignment vertical="center"/>
    </xf>
    <xf numFmtId="0" fontId="4" fillId="3" borderId="1" xfId="0" applyFont="1" applyFill="1" applyBorder="1" applyAlignment="1" applyProtection="1">
      <alignment horizontal="center" vertical="center"/>
    </xf>
    <xf numFmtId="0" fontId="4" fillId="3" borderId="3" xfId="0" applyFont="1" applyFill="1" applyBorder="1" applyAlignment="1" applyProtection="1">
      <alignment vertical="center"/>
      <protection locked="0"/>
    </xf>
    <xf numFmtId="0" fontId="4" fillId="3" borderId="6" xfId="0" applyFont="1" applyFill="1" applyBorder="1" applyAlignment="1" applyProtection="1">
      <alignment vertical="center"/>
      <protection locked="0"/>
    </xf>
    <xf numFmtId="0" fontId="4" fillId="3" borderId="12" xfId="0" applyFont="1" applyFill="1" applyBorder="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lignment vertical="center" wrapText="1"/>
    </xf>
    <xf numFmtId="0" fontId="4" fillId="0" borderId="0" xfId="0" applyFont="1" applyAlignment="1" applyProtection="1">
      <alignment horizontal="left" vertical="center" wrapText="1"/>
    </xf>
    <xf numFmtId="0" fontId="3" fillId="0" borderId="0" xfId="0" applyFont="1" applyAlignment="1">
      <alignment horizontal="center" vertical="center"/>
    </xf>
    <xf numFmtId="0" fontId="4" fillId="0" borderId="0" xfId="109" applyFont="1" applyAlignment="1">
      <alignment vertical="center" wrapText="1"/>
    </xf>
    <xf numFmtId="0" fontId="4" fillId="0" borderId="0" xfId="0" applyFont="1" applyAlignment="1">
      <alignment horizontal="left" vertical="center"/>
    </xf>
    <xf numFmtId="0" fontId="4" fillId="0" borderId="0" xfId="0" applyFont="1" applyAlignment="1" applyProtection="1">
      <alignment vertical="center" wrapText="1"/>
    </xf>
    <xf numFmtId="0" fontId="18" fillId="0" borderId="0" xfId="0" applyFont="1" applyAlignment="1">
      <alignment vertical="center" wrapText="1"/>
    </xf>
    <xf numFmtId="0" fontId="4" fillId="2" borderId="0" xfId="0" applyFont="1" applyFill="1" applyAlignment="1" applyProtection="1">
      <alignment vertical="center" wrapText="1"/>
    </xf>
    <xf numFmtId="0" fontId="4" fillId="0" borderId="0" xfId="0" applyFont="1" applyFill="1" applyAlignment="1" applyProtection="1">
      <alignment vertical="center" wrapText="1"/>
    </xf>
    <xf numFmtId="0" fontId="4" fillId="3" borderId="0" xfId="0" applyFont="1" applyFill="1" applyAlignment="1">
      <alignment vertical="center" wrapText="1"/>
    </xf>
    <xf numFmtId="0" fontId="4" fillId="9" borderId="0" xfId="0" applyFont="1" applyFill="1" applyAlignment="1">
      <alignment vertical="center" wrapText="1"/>
    </xf>
    <xf numFmtId="0" fontId="4" fillId="0" borderId="0" xfId="0" applyNumberFormat="1" applyFont="1" applyAlignment="1">
      <alignment vertical="center" wrapText="1"/>
    </xf>
    <xf numFmtId="0" fontId="5" fillId="0" borderId="0" xfId="0" applyFont="1" applyAlignment="1">
      <alignment vertical="center"/>
    </xf>
    <xf numFmtId="0" fontId="0" fillId="0" borderId="0" xfId="0" applyAlignment="1"/>
    <xf numFmtId="0" fontId="4" fillId="0" borderId="0" xfId="350" applyFont="1" applyAlignment="1">
      <alignment vertical="center"/>
    </xf>
    <xf numFmtId="0" fontId="4" fillId="0" borderId="0" xfId="379" applyFont="1" applyAlignment="1">
      <alignment vertical="center"/>
    </xf>
    <xf numFmtId="0" fontId="19" fillId="0" borderId="0" xfId="0" applyFont="1" applyAlignment="1"/>
    <xf numFmtId="0" fontId="19" fillId="0" borderId="0" xfId="0" applyFont="1"/>
    <xf numFmtId="0" fontId="2" fillId="0" borderId="0" xfId="0" applyFont="1"/>
    <xf numFmtId="0" fontId="31" fillId="0" borderId="0" xfId="0" applyFont="1" applyAlignment="1">
      <alignment horizontal="center"/>
    </xf>
    <xf numFmtId="0" fontId="4" fillId="12" borderId="0" xfId="0" applyFont="1" applyFill="1" applyAlignment="1" applyProtection="1">
      <alignment horizontal="centerContinuous" vertical="center"/>
    </xf>
    <xf numFmtId="37" fontId="4" fillId="12" borderId="0" xfId="0" applyNumberFormat="1" applyFont="1" applyFill="1" applyAlignment="1" applyProtection="1">
      <alignment horizontal="centerContinuous" vertical="center"/>
    </xf>
    <xf numFmtId="0" fontId="1" fillId="0" borderId="0" xfId="392"/>
    <xf numFmtId="0" fontId="4" fillId="0" borderId="0" xfId="392" applyFont="1" applyAlignment="1">
      <alignment horizontal="left" vertical="center"/>
    </xf>
    <xf numFmtId="0" fontId="1" fillId="0" borderId="0" xfId="392" applyNumberFormat="1" applyFont="1" applyAlignment="1">
      <alignment horizontal="left" vertical="center"/>
    </xf>
    <xf numFmtId="49" fontId="4" fillId="13" borderId="0" xfId="392" applyNumberFormat="1" applyFont="1" applyFill="1" applyAlignment="1" applyProtection="1">
      <alignment horizontal="left" vertical="center"/>
      <protection locked="0"/>
    </xf>
    <xf numFmtId="175" fontId="22" fillId="0" borderId="0" xfId="392" applyNumberFormat="1" applyFont="1" applyAlignment="1">
      <alignment horizontal="left" vertical="center"/>
    </xf>
    <xf numFmtId="49" fontId="4" fillId="0" borderId="0" xfId="392" applyNumberFormat="1" applyFont="1" applyAlignment="1">
      <alignment horizontal="left" vertical="center"/>
    </xf>
    <xf numFmtId="0" fontId="22" fillId="0" borderId="0" xfId="392" applyFont="1" applyAlignment="1">
      <alignment horizontal="left" vertical="center"/>
    </xf>
    <xf numFmtId="176" fontId="22" fillId="0" borderId="0" xfId="392" applyNumberFormat="1" applyFont="1" applyAlignment="1">
      <alignment horizontal="left" vertical="center"/>
    </xf>
    <xf numFmtId="0" fontId="4" fillId="13" borderId="0" xfId="392" applyFont="1" applyFill="1" applyAlignment="1" applyProtection="1">
      <alignment horizontal="left" vertical="center"/>
      <protection locked="0"/>
    </xf>
    <xf numFmtId="0" fontId="1" fillId="13" borderId="0" xfId="392" applyFill="1" applyAlignment="1" applyProtection="1">
      <alignment horizontal="left" vertical="center"/>
      <protection locked="0"/>
    </xf>
    <xf numFmtId="0" fontId="2" fillId="0" borderId="0" xfId="154" applyFont="1"/>
    <xf numFmtId="0" fontId="2" fillId="0" borderId="0" xfId="154" applyFont="1" applyFill="1"/>
    <xf numFmtId="0" fontId="4" fillId="0" borderId="0" xfId="88" applyFont="1" applyAlignment="1">
      <alignment vertical="center" wrapText="1"/>
    </xf>
    <xf numFmtId="0" fontId="2" fillId="0" borderId="0" xfId="0" quotePrefix="1" applyFont="1"/>
    <xf numFmtId="0" fontId="2" fillId="0" borderId="0" xfId="0" applyFont="1" applyAlignment="1"/>
    <xf numFmtId="0" fontId="19" fillId="0" borderId="0" xfId="0" applyFont="1" applyAlignment="1">
      <alignment horizontal="center"/>
    </xf>
    <xf numFmtId="0" fontId="4" fillId="0" borderId="0" xfId="405" applyFont="1" applyAlignment="1">
      <alignment vertical="center"/>
    </xf>
    <xf numFmtId="0" fontId="5" fillId="0" borderId="0" xfId="79" applyFont="1" applyAlignment="1">
      <alignment vertical="center"/>
    </xf>
    <xf numFmtId="0" fontId="4" fillId="0" borderId="0" xfId="84" applyFont="1" applyAlignment="1">
      <alignment vertical="center"/>
    </xf>
    <xf numFmtId="0" fontId="4" fillId="3" borderId="0" xfId="0" applyFont="1" applyFill="1"/>
    <xf numFmtId="0" fontId="5" fillId="0" borderId="0" xfId="78" applyFont="1" applyAlignment="1">
      <alignment vertical="center"/>
    </xf>
    <xf numFmtId="0" fontId="52" fillId="3" borderId="0" xfId="0" applyFont="1" applyFill="1" applyAlignment="1" applyProtection="1">
      <alignment horizontal="right" vertical="center"/>
      <protection locked="0"/>
    </xf>
    <xf numFmtId="0" fontId="7" fillId="3" borderId="0" xfId="0" applyFont="1" applyFill="1" applyAlignment="1" applyProtection="1">
      <alignment horizontal="left" vertical="center"/>
      <protection locked="0"/>
    </xf>
    <xf numFmtId="14" fontId="4" fillId="4" borderId="7"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horizontal="left"/>
      <protection locked="0"/>
    </xf>
    <xf numFmtId="37" fontId="4" fillId="2" borderId="12" xfId="0" applyNumberFormat="1" applyFont="1" applyFill="1" applyBorder="1" applyAlignment="1" applyProtection="1">
      <alignment horizontal="left"/>
      <protection locked="0"/>
    </xf>
    <xf numFmtId="37" fontId="4" fillId="4" borderId="7" xfId="0" applyNumberFormat="1" applyFont="1" applyFill="1" applyBorder="1" applyAlignment="1" applyProtection="1">
      <alignment horizontal="left"/>
      <protection locked="0"/>
    </xf>
    <xf numFmtId="0" fontId="4" fillId="4" borderId="7" xfId="0" applyFont="1" applyFill="1" applyBorder="1" applyAlignment="1" applyProtection="1">
      <alignment horizontal="center"/>
      <protection locked="0"/>
    </xf>
    <xf numFmtId="3" fontId="3" fillId="3" borderId="5" xfId="0" applyNumberFormat="1" applyFont="1" applyFill="1" applyBorder="1" applyAlignment="1" applyProtection="1">
      <alignment vertical="center"/>
    </xf>
    <xf numFmtId="3" fontId="4" fillId="6" borderId="5" xfId="0" applyNumberFormat="1" applyFont="1" applyFill="1" applyBorder="1" applyAlignment="1" applyProtection="1">
      <alignment vertical="center"/>
    </xf>
    <xf numFmtId="3" fontId="15" fillId="5" borderId="5" xfId="0" applyNumberFormat="1" applyFont="1" applyFill="1" applyBorder="1" applyAlignment="1" applyProtection="1">
      <alignment horizontal="center" vertical="center"/>
      <protection locked="0"/>
    </xf>
    <xf numFmtId="3" fontId="15" fillId="5" borderId="5" xfId="0" applyNumberFormat="1" applyFont="1" applyFill="1" applyBorder="1" applyAlignment="1" applyProtection="1">
      <alignment horizontal="center" vertical="center"/>
    </xf>
    <xf numFmtId="1" fontId="4" fillId="3" borderId="14"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horizontal="center" vertical="center"/>
    </xf>
    <xf numFmtId="3" fontId="4" fillId="3" borderId="5" xfId="0" applyNumberFormat="1" applyFont="1" applyFill="1" applyBorder="1" applyAlignment="1" applyProtection="1">
      <alignment vertical="center"/>
    </xf>
    <xf numFmtId="37" fontId="4" fillId="3" borderId="14" xfId="0" applyNumberFormat="1" applyFont="1" applyFill="1" applyBorder="1" applyAlignment="1" applyProtection="1">
      <alignment horizontal="center" vertical="center"/>
    </xf>
    <xf numFmtId="3" fontId="3" fillId="6" borderId="5" xfId="0" applyNumberFormat="1" applyFont="1" applyFill="1" applyBorder="1" applyAlignment="1" applyProtection="1">
      <alignment vertical="center"/>
    </xf>
    <xf numFmtId="3" fontId="15" fillId="7" borderId="5" xfId="0" applyNumberFormat="1" applyFont="1" applyFill="1" applyBorder="1" applyAlignment="1" applyProtection="1">
      <alignment horizontal="center" vertical="center"/>
    </xf>
    <xf numFmtId="0" fontId="4" fillId="12" borderId="0" xfId="0" applyFont="1" applyFill="1" applyAlignment="1" applyProtection="1">
      <alignment vertical="center"/>
      <protection locked="0"/>
    </xf>
    <xf numFmtId="49" fontId="4" fillId="4" borderId="7" xfId="0" applyNumberFormat="1" applyFont="1" applyFill="1" applyBorder="1" applyAlignment="1" applyProtection="1">
      <alignment horizontal="center" vertical="center"/>
      <protection locked="0"/>
    </xf>
    <xf numFmtId="0" fontId="13" fillId="0" borderId="0" xfId="0" applyFont="1" applyAlignment="1">
      <alignment wrapText="1"/>
    </xf>
    <xf numFmtId="0" fontId="16" fillId="3" borderId="7" xfId="0" applyFont="1" applyFill="1" applyBorder="1" applyAlignment="1" applyProtection="1">
      <alignment horizontal="center" vertical="center"/>
    </xf>
    <xf numFmtId="3" fontId="16" fillId="3" borderId="7" xfId="0" applyNumberFormat="1" applyFont="1" applyFill="1" applyBorder="1" applyAlignment="1" applyProtection="1">
      <alignment horizontal="center" vertical="center"/>
    </xf>
    <xf numFmtId="0" fontId="53" fillId="3" borderId="0" xfId="0" applyFont="1" applyFill="1" applyAlignment="1" applyProtection="1">
      <alignment horizontal="center" vertical="center"/>
    </xf>
    <xf numFmtId="37" fontId="3" fillId="3" borderId="0" xfId="0" applyNumberFormat="1" applyFont="1" applyFill="1" applyBorder="1" applyAlignment="1" applyProtection="1">
      <alignment vertical="center"/>
    </xf>
    <xf numFmtId="3" fontId="3" fillId="3" borderId="7" xfId="0" applyNumberFormat="1" applyFont="1" applyFill="1" applyBorder="1" applyAlignment="1" applyProtection="1">
      <alignment horizontal="center" vertical="center"/>
    </xf>
    <xf numFmtId="3" fontId="4" fillId="14" borderId="7" xfId="0" applyNumberFormat="1" applyFont="1" applyFill="1" applyBorder="1" applyAlignment="1" applyProtection="1">
      <alignment horizontal="center" vertical="center"/>
    </xf>
    <xf numFmtId="0" fontId="4" fillId="3" borderId="0" xfId="43" applyFont="1" applyFill="1" applyAlignment="1" applyProtection="1">
      <alignment horizontal="right" vertical="center"/>
    </xf>
    <xf numFmtId="1" fontId="3" fillId="3" borderId="7" xfId="0" applyNumberFormat="1" applyFont="1" applyFill="1" applyBorder="1" applyAlignment="1" applyProtection="1">
      <alignment horizontal="center" vertical="center"/>
    </xf>
    <xf numFmtId="0" fontId="4" fillId="13" borderId="0" xfId="0" applyFont="1" applyFill="1" applyAlignment="1" applyProtection="1">
      <alignment horizontal="left" vertical="center"/>
    </xf>
    <xf numFmtId="0" fontId="35" fillId="15" borderId="0" xfId="0" applyFont="1" applyFill="1"/>
    <xf numFmtId="0" fontId="35" fillId="0" borderId="0" xfId="0" applyFont="1"/>
    <xf numFmtId="0" fontId="35" fillId="12" borderId="0" xfId="0" applyFont="1" applyFill="1"/>
    <xf numFmtId="0" fontId="54" fillId="15" borderId="0" xfId="0" applyFont="1" applyFill="1" applyAlignment="1">
      <alignment horizontal="center" wrapText="1"/>
    </xf>
    <xf numFmtId="0" fontId="54" fillId="12" borderId="0" xfId="0" applyFont="1" applyFill="1"/>
    <xf numFmtId="0" fontId="35" fillId="12" borderId="0" xfId="0" applyFont="1" applyFill="1" applyAlignment="1">
      <alignment horizontal="center"/>
    </xf>
    <xf numFmtId="0" fontId="54" fillId="12" borderId="20" xfId="0" applyFont="1" applyFill="1" applyBorder="1"/>
    <xf numFmtId="0" fontId="35" fillId="12" borderId="21" xfId="0" applyFont="1" applyFill="1" applyBorder="1"/>
    <xf numFmtId="0" fontId="35" fillId="12" borderId="22" xfId="0" applyFont="1" applyFill="1" applyBorder="1"/>
    <xf numFmtId="177" fontId="35" fillId="12" borderId="23" xfId="0" applyNumberFormat="1" applyFont="1" applyFill="1" applyBorder="1"/>
    <xf numFmtId="0" fontId="35" fillId="12" borderId="0" xfId="0" applyFont="1" applyFill="1" applyBorder="1"/>
    <xf numFmtId="177" fontId="35" fillId="12" borderId="1" xfId="0" applyNumberFormat="1" applyFont="1" applyFill="1" applyBorder="1" applyAlignment="1">
      <alignment horizontal="center"/>
    </xf>
    <xf numFmtId="0" fontId="35" fillId="12" borderId="24" xfId="0" applyFont="1" applyFill="1" applyBorder="1"/>
    <xf numFmtId="0" fontId="35" fillId="12" borderId="25" xfId="0" applyFont="1" applyFill="1" applyBorder="1"/>
    <xf numFmtId="0" fontId="35" fillId="12" borderId="26" xfId="0" applyFont="1" applyFill="1" applyBorder="1"/>
    <xf numFmtId="0" fontId="35" fillId="12" borderId="27" xfId="0" applyFont="1" applyFill="1" applyBorder="1"/>
    <xf numFmtId="177" fontId="35" fillId="12" borderId="0" xfId="0" applyNumberFormat="1" applyFont="1" applyFill="1"/>
    <xf numFmtId="0" fontId="35" fillId="12" borderId="20" xfId="0" applyFont="1" applyFill="1" applyBorder="1"/>
    <xf numFmtId="0" fontId="35" fillId="12" borderId="28" xfId="0" applyFont="1" applyFill="1" applyBorder="1"/>
    <xf numFmtId="177" fontId="35" fillId="13" borderId="23" xfId="0" applyNumberFormat="1" applyFont="1" applyFill="1" applyBorder="1" applyAlignment="1" applyProtection="1">
      <alignment horizontal="center"/>
      <protection locked="0"/>
    </xf>
    <xf numFmtId="174" fontId="35" fillId="12" borderId="0" xfId="0" applyNumberFormat="1" applyFont="1" applyFill="1" applyBorder="1" applyAlignment="1">
      <alignment horizontal="center"/>
    </xf>
    <xf numFmtId="177" fontId="35" fillId="0" borderId="0" xfId="0" applyNumberFormat="1" applyFont="1"/>
    <xf numFmtId="0" fontId="55" fillId="0" borderId="0" xfId="0" applyFont="1" applyBorder="1"/>
    <xf numFmtId="0" fontId="35" fillId="0" borderId="0" xfId="0" applyFont="1" applyBorder="1"/>
    <xf numFmtId="0" fontId="54" fillId="0" borderId="0" xfId="0" applyFont="1" applyBorder="1" applyAlignment="1">
      <alignment horizontal="centerContinuous"/>
    </xf>
    <xf numFmtId="0" fontId="35" fillId="0" borderId="0" xfId="0" applyFont="1" applyBorder="1" applyAlignment="1">
      <alignment horizontal="centerContinuous"/>
    </xf>
    <xf numFmtId="0" fontId="35" fillId="15" borderId="0" xfId="0" applyFont="1" applyFill="1" applyBorder="1"/>
    <xf numFmtId="0" fontId="35" fillId="12" borderId="29" xfId="0" applyFont="1" applyFill="1" applyBorder="1"/>
    <xf numFmtId="0" fontId="35" fillId="12" borderId="15" xfId="0" applyFont="1" applyFill="1" applyBorder="1"/>
    <xf numFmtId="0" fontId="35" fillId="12" borderId="30" xfId="0" applyFont="1" applyFill="1" applyBorder="1"/>
    <xf numFmtId="5" fontId="35" fillId="12" borderId="26" xfId="0" applyNumberFormat="1" applyFont="1" applyFill="1" applyBorder="1" applyAlignment="1">
      <alignment horizontal="center"/>
    </xf>
    <xf numFmtId="0" fontId="35" fillId="12" borderId="26" xfId="0" applyFont="1" applyFill="1" applyBorder="1" applyAlignment="1">
      <alignment horizontal="center"/>
    </xf>
    <xf numFmtId="174" fontId="35" fillId="12" borderId="26" xfId="0" applyNumberFormat="1" applyFont="1" applyFill="1" applyBorder="1" applyAlignment="1">
      <alignment horizontal="center"/>
    </xf>
    <xf numFmtId="178" fontId="35" fillId="12" borderId="26" xfId="0" applyNumberFormat="1" applyFont="1" applyFill="1" applyBorder="1" applyAlignment="1">
      <alignment horizontal="center"/>
    </xf>
    <xf numFmtId="0" fontId="35" fillId="12" borderId="0" xfId="0" applyFont="1" applyFill="1" applyAlignment="1">
      <alignment horizontal="center" wrapText="1"/>
    </xf>
    <xf numFmtId="0" fontId="54" fillId="12" borderId="20" xfId="0" applyFont="1" applyFill="1" applyBorder="1" applyAlignment="1"/>
    <xf numFmtId="0" fontId="35" fillId="12" borderId="21" xfId="0" applyFont="1" applyFill="1" applyBorder="1" applyAlignment="1"/>
    <xf numFmtId="0" fontId="35" fillId="12" borderId="22" xfId="0" applyFont="1" applyFill="1" applyBorder="1" applyAlignment="1"/>
    <xf numFmtId="0" fontId="35" fillId="12" borderId="28" xfId="0" applyFont="1" applyFill="1" applyBorder="1" applyAlignment="1"/>
    <xf numFmtId="0" fontId="35" fillId="12" borderId="24" xfId="0" applyFont="1" applyFill="1" applyBorder="1" applyAlignment="1"/>
    <xf numFmtId="0" fontId="35" fillId="12" borderId="29" xfId="0" applyFont="1" applyFill="1" applyBorder="1" applyAlignment="1"/>
    <xf numFmtId="0" fontId="35" fillId="12" borderId="15" xfId="0" applyFont="1" applyFill="1" applyBorder="1" applyAlignment="1"/>
    <xf numFmtId="0" fontId="35" fillId="12" borderId="30" xfId="0" applyFont="1" applyFill="1" applyBorder="1" applyAlignment="1"/>
    <xf numFmtId="172" fontId="35" fillId="12" borderId="0" xfId="0" applyNumberFormat="1" applyFont="1" applyFill="1" applyBorder="1" applyAlignment="1">
      <alignment horizontal="center"/>
    </xf>
    <xf numFmtId="0" fontId="35" fillId="12" borderId="25" xfId="0" applyFont="1" applyFill="1" applyBorder="1" applyAlignment="1"/>
    <xf numFmtId="5" fontId="35" fillId="12" borderId="0" xfId="0" applyNumberFormat="1" applyFont="1" applyFill="1" applyBorder="1" applyAlignment="1">
      <alignment horizontal="center"/>
    </xf>
    <xf numFmtId="0" fontId="35" fillId="15" borderId="0" xfId="0" applyFont="1" applyFill="1" applyAlignment="1"/>
    <xf numFmtId="174" fontId="35" fillId="13" borderId="1" xfId="0" applyNumberFormat="1" applyFont="1" applyFill="1" applyBorder="1" applyAlignment="1" applyProtection="1">
      <alignment horizontal="center"/>
      <protection locked="0"/>
    </xf>
    <xf numFmtId="178" fontId="35" fillId="12" borderId="0" xfId="0" applyNumberFormat="1" applyFont="1" applyFill="1" applyBorder="1"/>
    <xf numFmtId="177" fontId="35" fillId="12" borderId="26" xfId="0" applyNumberFormat="1" applyFont="1" applyFill="1" applyBorder="1" applyAlignment="1">
      <alignment horizontal="center"/>
    </xf>
    <xf numFmtId="174" fontId="35" fillId="12" borderId="26" xfId="0" applyNumberFormat="1" applyFont="1" applyFill="1" applyBorder="1" applyAlignment="1" applyProtection="1">
      <alignment horizontal="center"/>
      <protection locked="0"/>
    </xf>
    <xf numFmtId="178" fontId="35" fillId="12" borderId="26" xfId="0" applyNumberFormat="1" applyFont="1" applyFill="1" applyBorder="1"/>
    <xf numFmtId="0" fontId="54" fillId="12" borderId="28" xfId="0" applyFont="1" applyFill="1" applyBorder="1" applyAlignment="1">
      <alignment horizontal="centerContinuous" vertical="center"/>
    </xf>
    <xf numFmtId="177" fontId="54" fillId="12" borderId="0" xfId="0" applyNumberFormat="1" applyFont="1" applyFill="1" applyBorder="1" applyAlignment="1">
      <alignment horizontal="centerContinuous" vertical="center"/>
    </xf>
    <xf numFmtId="0" fontId="54" fillId="12" borderId="0" xfId="0" applyFont="1" applyFill="1" applyBorder="1" applyAlignment="1">
      <alignment horizontal="centerContinuous" vertical="center"/>
    </xf>
    <xf numFmtId="174" fontId="54" fillId="12" borderId="0" xfId="0" applyNumberFormat="1" applyFont="1" applyFill="1" applyBorder="1" applyAlignment="1" applyProtection="1">
      <alignment horizontal="centerContinuous" vertical="center"/>
      <protection locked="0"/>
    </xf>
    <xf numFmtId="178" fontId="54" fillId="12" borderId="0" xfId="0" applyNumberFormat="1" applyFont="1" applyFill="1" applyBorder="1" applyAlignment="1">
      <alignment horizontal="centerContinuous" vertical="center"/>
    </xf>
    <xf numFmtId="0" fontId="54" fillId="12" borderId="24" xfId="0" applyFont="1" applyFill="1" applyBorder="1" applyAlignment="1">
      <alignment horizontal="centerContinuous" vertical="center"/>
    </xf>
    <xf numFmtId="0" fontId="54" fillId="12" borderId="28" xfId="0" applyFont="1" applyFill="1" applyBorder="1" applyAlignment="1">
      <alignment horizontal="centerContinuous"/>
    </xf>
    <xf numFmtId="177" fontId="54" fillId="12" borderId="0" xfId="0" applyNumberFormat="1" applyFont="1" applyFill="1" applyBorder="1" applyAlignment="1">
      <alignment horizontal="centerContinuous"/>
    </xf>
    <xf numFmtId="0" fontId="54" fillId="12" borderId="0" xfId="0" applyFont="1" applyFill="1" applyBorder="1" applyAlignment="1">
      <alignment horizontal="centerContinuous"/>
    </xf>
    <xf numFmtId="174" fontId="54" fillId="12" borderId="0" xfId="0" applyNumberFormat="1" applyFont="1" applyFill="1" applyBorder="1" applyAlignment="1" applyProtection="1">
      <alignment horizontal="centerContinuous"/>
      <protection locked="0"/>
    </xf>
    <xf numFmtId="178" fontId="54" fillId="12" borderId="0" xfId="0" applyNumberFormat="1" applyFont="1" applyFill="1" applyBorder="1" applyAlignment="1">
      <alignment horizontal="centerContinuous"/>
    </xf>
    <xf numFmtId="0" fontId="54" fillId="12" borderId="24" xfId="0" applyFont="1" applyFill="1" applyBorder="1" applyAlignment="1">
      <alignment horizontal="centerContinuous"/>
    </xf>
    <xf numFmtId="174" fontId="35" fillId="12" borderId="0" xfId="0" applyNumberFormat="1" applyFont="1" applyFill="1" applyBorder="1" applyAlignment="1" applyProtection="1">
      <alignment horizontal="center"/>
      <protection locked="0"/>
    </xf>
    <xf numFmtId="177" fontId="35" fillId="12" borderId="21" xfId="0" applyNumberFormat="1" applyFont="1" applyFill="1" applyBorder="1" applyAlignment="1">
      <alignment horizontal="center"/>
    </xf>
    <xf numFmtId="0" fontId="35" fillId="12" borderId="21" xfId="0" applyFont="1" applyFill="1" applyBorder="1" applyAlignment="1">
      <alignment horizontal="center"/>
    </xf>
    <xf numFmtId="174" fontId="35" fillId="12" borderId="21" xfId="0" applyNumberFormat="1" applyFont="1" applyFill="1" applyBorder="1" applyAlignment="1" applyProtection="1">
      <alignment horizontal="center"/>
      <protection locked="0"/>
    </xf>
    <xf numFmtId="178" fontId="35" fillId="12" borderId="21" xfId="0" applyNumberFormat="1" applyFont="1" applyFill="1" applyBorder="1"/>
    <xf numFmtId="177" fontId="35" fillId="12" borderId="0" xfId="0" applyNumberFormat="1" applyFont="1" applyFill="1" applyBorder="1" applyAlignment="1" applyProtection="1">
      <alignment horizontal="center"/>
      <protection locked="0"/>
    </xf>
    <xf numFmtId="0" fontId="35" fillId="16" borderId="0" xfId="0" applyFont="1" applyFill="1"/>
    <xf numFmtId="0" fontId="37" fillId="0" borderId="0" xfId="0" applyFont="1" applyAlignment="1">
      <alignment horizontal="center"/>
    </xf>
    <xf numFmtId="0" fontId="4" fillId="0" borderId="0" xfId="0" applyFont="1"/>
    <xf numFmtId="0" fontId="4" fillId="0" borderId="0" xfId="0" applyFont="1" applyAlignment="1">
      <alignment wrapText="1"/>
    </xf>
    <xf numFmtId="0" fontId="38" fillId="0" borderId="0" xfId="11" applyFont="1" applyAlignment="1" applyProtection="1"/>
    <xf numFmtId="37" fontId="3" fillId="3" borderId="1" xfId="0" applyNumberFormat="1" applyFont="1" applyFill="1" applyBorder="1" applyAlignment="1" applyProtection="1">
      <alignment vertical="center"/>
    </xf>
    <xf numFmtId="165" fontId="4" fillId="6" borderId="4" xfId="0" applyNumberFormat="1" applyFont="1" applyFill="1" applyBorder="1" applyAlignment="1" applyProtection="1">
      <alignment vertical="center"/>
    </xf>
    <xf numFmtId="37" fontId="4" fillId="3" borderId="31" xfId="0" applyNumberFormat="1" applyFont="1" applyFill="1" applyBorder="1" applyAlignment="1" applyProtection="1">
      <alignment vertical="center"/>
    </xf>
    <xf numFmtId="0" fontId="4" fillId="3" borderId="31" xfId="0" applyFont="1" applyFill="1" applyBorder="1" applyAlignment="1" applyProtection="1">
      <alignment vertical="center"/>
    </xf>
    <xf numFmtId="0" fontId="56" fillId="0" borderId="0" xfId="0" applyFont="1" applyAlignment="1">
      <alignment wrapText="1"/>
    </xf>
    <xf numFmtId="0" fontId="39" fillId="0" borderId="0" xfId="0" applyFont="1" applyAlignment="1" applyProtection="1">
      <alignment vertical="center"/>
    </xf>
    <xf numFmtId="0" fontId="4" fillId="12" borderId="16" xfId="0" applyFont="1" applyFill="1" applyBorder="1" applyAlignment="1" applyProtection="1">
      <alignment vertical="center"/>
    </xf>
    <xf numFmtId="0" fontId="4" fillId="12" borderId="0" xfId="0" applyFont="1" applyFill="1" applyBorder="1" applyAlignment="1" applyProtection="1">
      <alignment vertical="center"/>
    </xf>
    <xf numFmtId="0" fontId="4" fillId="12" borderId="10" xfId="0" applyFont="1" applyFill="1" applyBorder="1" applyAlignment="1" applyProtection="1">
      <alignment vertical="center"/>
    </xf>
    <xf numFmtId="177" fontId="8" fillId="12" borderId="16" xfId="0" applyNumberFormat="1" applyFont="1" applyFill="1" applyBorder="1" applyAlignment="1" applyProtection="1">
      <alignment horizontal="center" vertical="center"/>
    </xf>
    <xf numFmtId="0" fontId="8" fillId="12" borderId="0" xfId="0" applyFont="1" applyFill="1" applyBorder="1" applyAlignment="1" applyProtection="1">
      <alignment horizontal="left" vertical="center"/>
    </xf>
    <xf numFmtId="0" fontId="8" fillId="12" borderId="10" xfId="0" applyFont="1" applyFill="1" applyBorder="1" applyAlignment="1" applyProtection="1">
      <alignment vertical="center"/>
    </xf>
    <xf numFmtId="0" fontId="8" fillId="12" borderId="0" xfId="0" applyFont="1" applyFill="1" applyBorder="1" applyAlignment="1" applyProtection="1">
      <alignment vertical="center"/>
    </xf>
    <xf numFmtId="177" fontId="8" fillId="12" borderId="8" xfId="0" applyNumberFormat="1" applyFont="1" applyFill="1" applyBorder="1" applyAlignment="1" applyProtection="1">
      <alignment horizontal="center" vertical="center"/>
    </xf>
    <xf numFmtId="177" fontId="8" fillId="12" borderId="16" xfId="0" applyNumberFormat="1" applyFont="1" applyFill="1" applyBorder="1" applyAlignment="1" applyProtection="1">
      <alignment vertical="center"/>
    </xf>
    <xf numFmtId="177" fontId="41" fillId="17" borderId="8" xfId="0" applyNumberFormat="1" applyFont="1" applyFill="1" applyBorder="1" applyAlignment="1" applyProtection="1">
      <alignment horizontal="center" vertical="center"/>
    </xf>
    <xf numFmtId="0" fontId="41" fillId="17" borderId="1" xfId="0" applyFont="1" applyFill="1" applyBorder="1" applyAlignment="1" applyProtection="1">
      <alignment vertical="center"/>
    </xf>
    <xf numFmtId="0" fontId="8" fillId="17" borderId="3" xfId="0" applyFont="1" applyFill="1" applyBorder="1" applyAlignment="1" applyProtection="1">
      <alignment vertical="center"/>
    </xf>
    <xf numFmtId="0" fontId="4" fillId="17" borderId="3" xfId="0" applyFont="1" applyFill="1" applyBorder="1" applyAlignment="1" applyProtection="1">
      <alignment vertical="center"/>
    </xf>
    <xf numFmtId="0" fontId="4" fillId="0" borderId="0" xfId="0" applyFont="1" applyFill="1" applyBorder="1" applyAlignment="1" applyProtection="1">
      <alignment vertical="center"/>
    </xf>
    <xf numFmtId="0" fontId="8" fillId="12" borderId="16" xfId="0" applyFont="1" applyFill="1" applyBorder="1" applyAlignment="1" applyProtection="1">
      <alignment vertical="center"/>
    </xf>
    <xf numFmtId="177" fontId="8" fillId="12" borderId="10" xfId="0" applyNumberFormat="1" applyFont="1" applyFill="1" applyBorder="1" applyAlignment="1" applyProtection="1">
      <alignment horizontal="center" vertical="center"/>
    </xf>
    <xf numFmtId="0" fontId="8" fillId="12" borderId="16" xfId="0" applyFont="1" applyFill="1" applyBorder="1" applyAlignment="1" applyProtection="1">
      <alignment horizontal="left" vertical="center"/>
    </xf>
    <xf numFmtId="177" fontId="8" fillId="13" borderId="7" xfId="0" applyNumberFormat="1" applyFont="1" applyFill="1" applyBorder="1" applyAlignment="1" applyProtection="1">
      <alignment horizontal="center" vertical="center"/>
      <protection locked="0"/>
    </xf>
    <xf numFmtId="0" fontId="4" fillId="17" borderId="1" xfId="0" applyFont="1" applyFill="1" applyBorder="1" applyAlignment="1" applyProtection="1">
      <alignment vertical="center"/>
    </xf>
    <xf numFmtId="0" fontId="8" fillId="12" borderId="16" xfId="0" applyFont="1" applyFill="1" applyBorder="1" applyProtection="1"/>
    <xf numFmtId="0" fontId="4" fillId="12" borderId="0" xfId="0" applyFont="1" applyFill="1" applyBorder="1" applyProtection="1"/>
    <xf numFmtId="177" fontId="4" fillId="12" borderId="10" xfId="0" applyNumberFormat="1" applyFont="1" applyFill="1" applyBorder="1" applyAlignment="1" applyProtection="1">
      <alignment horizontal="center"/>
    </xf>
    <xf numFmtId="0" fontId="4" fillId="12" borderId="8" xfId="0" applyFont="1" applyFill="1" applyBorder="1" applyProtection="1"/>
    <xf numFmtId="0" fontId="4" fillId="12" borderId="1" xfId="0" applyFont="1" applyFill="1" applyBorder="1" applyProtection="1"/>
    <xf numFmtId="177" fontId="4" fillId="17" borderId="3" xfId="0" applyNumberFormat="1" applyFont="1" applyFill="1" applyBorder="1" applyAlignment="1" applyProtection="1">
      <alignment horizontal="center"/>
    </xf>
    <xf numFmtId="0" fontId="4" fillId="0" borderId="0" xfId="0" applyFont="1" applyFill="1" applyBorder="1" applyProtection="1"/>
    <xf numFmtId="0" fontId="4" fillId="12" borderId="16" xfId="0" applyFont="1" applyFill="1" applyBorder="1" applyProtection="1"/>
    <xf numFmtId="0" fontId="4" fillId="12" borderId="10" xfId="0" applyFont="1" applyFill="1" applyBorder="1" applyProtection="1"/>
    <xf numFmtId="172" fontId="4" fillId="12" borderId="10" xfId="0" applyNumberFormat="1" applyFont="1" applyFill="1" applyBorder="1" applyAlignment="1" applyProtection="1">
      <alignment horizontal="center"/>
    </xf>
    <xf numFmtId="0" fontId="4" fillId="17" borderId="16" xfId="0" applyFont="1" applyFill="1" applyBorder="1" applyProtection="1"/>
    <xf numFmtId="0" fontId="4" fillId="17" borderId="0" xfId="0" applyFont="1" applyFill="1" applyBorder="1" applyProtection="1"/>
    <xf numFmtId="0" fontId="4" fillId="17" borderId="8" xfId="0" applyFont="1" applyFill="1" applyBorder="1" applyProtection="1"/>
    <xf numFmtId="0" fontId="4" fillId="17" borderId="1" xfId="0" applyFont="1" applyFill="1" applyBorder="1" applyProtection="1"/>
    <xf numFmtId="0" fontId="4" fillId="0" borderId="0" xfId="0" applyFont="1" applyProtection="1"/>
    <xf numFmtId="177" fontId="4" fillId="12" borderId="3" xfId="0" applyNumberFormat="1" applyFont="1" applyFill="1" applyBorder="1" applyAlignment="1" applyProtection="1">
      <alignment horizontal="center"/>
    </xf>
    <xf numFmtId="174" fontId="4" fillId="13" borderId="10" xfId="0" applyNumberFormat="1" applyFont="1" applyFill="1" applyBorder="1" applyAlignment="1" applyProtection="1">
      <alignment horizontal="center"/>
      <protection locked="0"/>
    </xf>
    <xf numFmtId="177" fontId="4" fillId="17" borderId="10" xfId="0" applyNumberFormat="1" applyFont="1" applyFill="1" applyBorder="1" applyAlignment="1" applyProtection="1">
      <alignment horizontal="center"/>
    </xf>
    <xf numFmtId="0" fontId="4" fillId="17" borderId="8" xfId="0" applyFont="1" applyFill="1" applyBorder="1" applyAlignment="1" applyProtection="1">
      <alignment vertical="center"/>
    </xf>
    <xf numFmtId="177" fontId="4" fillId="17"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fill" vertical="center"/>
    </xf>
    <xf numFmtId="37" fontId="4" fillId="3" borderId="1" xfId="0" applyNumberFormat="1" applyFont="1" applyFill="1" applyBorder="1" applyAlignment="1" applyProtection="1">
      <alignment horizontal="center" vertical="center"/>
      <protection locked="0"/>
    </xf>
    <xf numFmtId="37" fontId="4" fillId="3" borderId="13" xfId="22" applyNumberFormat="1" applyFont="1" applyFill="1" applyBorder="1" applyAlignment="1" applyProtection="1">
      <alignment horizontal="center" vertical="center"/>
    </xf>
    <xf numFmtId="37" fontId="4" fillId="3" borderId="4" xfId="22" applyNumberFormat="1" applyFont="1" applyFill="1" applyBorder="1" applyAlignment="1" applyProtection="1">
      <alignment horizontal="center" vertical="center"/>
    </xf>
    <xf numFmtId="172" fontId="4" fillId="3" borderId="7" xfId="0" applyNumberFormat="1" applyFont="1" applyFill="1" applyBorder="1" applyAlignment="1" applyProtection="1">
      <alignment vertical="center"/>
    </xf>
    <xf numFmtId="3" fontId="4" fillId="3" borderId="31" xfId="0" applyNumberFormat="1" applyFont="1" applyFill="1" applyBorder="1" applyAlignment="1" applyProtection="1">
      <alignment vertical="center"/>
    </xf>
    <xf numFmtId="174" fontId="4" fillId="6" borderId="7"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1" xfId="0" applyNumberFormat="1" applyFont="1" applyFill="1" applyBorder="1" applyAlignment="1" applyProtection="1">
      <alignment vertical="center"/>
    </xf>
    <xf numFmtId="3" fontId="4" fillId="3" borderId="4" xfId="0" applyNumberFormat="1" applyFont="1" applyFill="1" applyBorder="1" applyAlignment="1" applyProtection="1">
      <alignment vertical="center"/>
    </xf>
    <xf numFmtId="174" fontId="4" fillId="6" borderId="4"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protection locked="0"/>
    </xf>
    <xf numFmtId="3" fontId="4" fillId="13" borderId="7" xfId="0" applyNumberFormat="1" applyFont="1" applyFill="1" applyBorder="1" applyAlignment="1" applyProtection="1">
      <alignment horizontal="center" vertical="center"/>
      <protection locked="0"/>
    </xf>
    <xf numFmtId="0" fontId="4" fillId="13" borderId="0" xfId="0" applyFont="1" applyFill="1" applyAlignment="1" applyProtection="1">
      <alignment horizontal="left" vertical="center"/>
      <protection locked="0"/>
    </xf>
    <xf numFmtId="3" fontId="4" fillId="13" borderId="7" xfId="0" applyNumberFormat="1" applyFont="1" applyFill="1" applyBorder="1" applyAlignment="1" applyProtection="1">
      <alignment vertical="center"/>
      <protection locked="0"/>
    </xf>
    <xf numFmtId="0" fontId="3" fillId="3" borderId="0" xfId="22" applyFont="1" applyFill="1" applyAlignment="1" applyProtection="1">
      <alignment vertical="center"/>
    </xf>
    <xf numFmtId="0" fontId="4" fillId="0" borderId="0" xfId="43" applyFont="1" applyAlignment="1">
      <alignment vertical="center" wrapText="1"/>
    </xf>
    <xf numFmtId="0" fontId="4" fillId="0" borderId="0" xfId="43" applyFont="1" applyAlignment="1">
      <alignment vertical="center"/>
    </xf>
    <xf numFmtId="37" fontId="4" fillId="0" borderId="0" xfId="0" applyNumberFormat="1" applyFont="1" applyFill="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37" fontId="4" fillId="0" borderId="0" xfId="0" applyNumberFormat="1" applyFont="1" applyFill="1" applyBorder="1" applyAlignment="1" applyProtection="1">
      <alignment horizontal="left" vertical="center"/>
      <protection locked="0"/>
    </xf>
    <xf numFmtId="0" fontId="4" fillId="3" borderId="0" xfId="10" applyNumberFormat="1" applyFont="1" applyFill="1" applyBorder="1" applyAlignment="1" applyProtection="1">
      <alignment horizontal="right" vertical="center"/>
    </xf>
    <xf numFmtId="0" fontId="54" fillId="12" borderId="0" xfId="0" applyFont="1" applyFill="1" applyAlignment="1">
      <alignment horizontal="center" wrapText="1"/>
    </xf>
    <xf numFmtId="0" fontId="54" fillId="12" borderId="0" xfId="0" applyFont="1" applyFill="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alignment horizontal="center"/>
    </xf>
    <xf numFmtId="0" fontId="35" fillId="12" borderId="0" xfId="0" applyFont="1" applyFill="1" applyBorder="1" applyAlignment="1"/>
    <xf numFmtId="0" fontId="35" fillId="12" borderId="27" xfId="0" applyFont="1" applyFill="1" applyBorder="1" applyAlignment="1"/>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178" fontId="35" fillId="12" borderId="0" xfId="0" applyNumberFormat="1" applyFont="1" applyFill="1" applyBorder="1" applyAlignment="1">
      <alignment horizontal="center"/>
    </xf>
    <xf numFmtId="0" fontId="4" fillId="0" borderId="0" xfId="0" applyFont="1" applyBorder="1" applyAlignment="1">
      <alignment vertical="center"/>
    </xf>
    <xf numFmtId="0" fontId="4" fillId="3" borderId="0" xfId="0" applyFont="1" applyFill="1" applyBorder="1" applyAlignment="1">
      <alignment vertical="center"/>
    </xf>
    <xf numFmtId="37" fontId="3" fillId="3" borderId="4" xfId="0" applyNumberFormat="1" applyFont="1" applyFill="1" applyBorder="1" applyAlignment="1" applyProtection="1">
      <alignment horizontal="center" vertical="center"/>
    </xf>
    <xf numFmtId="37" fontId="3" fillId="3" borderId="2" xfId="0" applyNumberFormat="1" applyFont="1" applyFill="1" applyBorder="1" applyAlignment="1" applyProtection="1">
      <alignment horizontal="center" vertical="center"/>
    </xf>
    <xf numFmtId="0" fontId="4" fillId="12" borderId="0" xfId="28" applyFont="1" applyFill="1"/>
    <xf numFmtId="0" fontId="2" fillId="0" borderId="0" xfId="28"/>
    <xf numFmtId="0" fontId="4" fillId="12" borderId="0" xfId="28" applyFont="1" applyFill="1" applyAlignment="1">
      <alignment vertical="center"/>
    </xf>
    <xf numFmtId="37" fontId="4" fillId="12" borderId="0" xfId="28" applyNumberFormat="1" applyFont="1" applyFill="1" applyAlignment="1">
      <alignment vertical="center"/>
    </xf>
    <xf numFmtId="0" fontId="4" fillId="12" borderId="1" xfId="28" applyFont="1" applyFill="1" applyBorder="1" applyAlignment="1">
      <alignment vertical="center"/>
    </xf>
    <xf numFmtId="0" fontId="4" fillId="12" borderId="0" xfId="28" applyFont="1" applyFill="1" applyAlignment="1">
      <alignment horizontal="center" vertical="center"/>
    </xf>
    <xf numFmtId="0" fontId="5" fillId="12" borderId="0" xfId="28" applyFont="1" applyFill="1" applyAlignment="1">
      <alignment horizontal="center" vertical="center"/>
    </xf>
    <xf numFmtId="177" fontId="4" fillId="12" borderId="0" xfId="28" applyNumberFormat="1" applyFont="1" applyFill="1" applyAlignment="1">
      <alignment vertical="center"/>
    </xf>
    <xf numFmtId="177" fontId="4" fillId="12" borderId="15" xfId="28" applyNumberFormat="1" applyFont="1" applyFill="1" applyBorder="1" applyAlignment="1">
      <alignment vertical="center"/>
    </xf>
    <xf numFmtId="6" fontId="4" fillId="12" borderId="0" xfId="28" applyNumberFormat="1" applyFont="1" applyFill="1" applyBorder="1" applyAlignment="1">
      <alignment vertical="center"/>
    </xf>
    <xf numFmtId="177" fontId="4" fillId="12" borderId="0" xfId="28" applyNumberFormat="1" applyFont="1" applyFill="1" applyBorder="1" applyAlignment="1">
      <alignment vertical="center"/>
    </xf>
    <xf numFmtId="0" fontId="57" fillId="17" borderId="0" xfId="28" applyFont="1" applyFill="1" applyAlignment="1">
      <alignment vertical="center"/>
    </xf>
    <xf numFmtId="0" fontId="57" fillId="12" borderId="0" xfId="28" applyFont="1" applyFill="1" applyAlignment="1">
      <alignment horizontal="center" vertical="center"/>
    </xf>
    <xf numFmtId="174" fontId="4" fillId="12" borderId="0" xfId="28" applyNumberFormat="1" applyFont="1" applyFill="1" applyAlignment="1">
      <alignment horizontal="center" vertical="center"/>
    </xf>
    <xf numFmtId="179" fontId="57" fillId="12" borderId="0" xfId="28" applyNumberFormat="1" applyFont="1" applyFill="1" applyAlignment="1">
      <alignment horizontal="center" vertical="center"/>
    </xf>
    <xf numFmtId="0" fontId="57" fillId="17" borderId="0" xfId="28" applyFont="1" applyFill="1" applyAlignment="1">
      <alignment horizontal="center" vertical="center"/>
    </xf>
    <xf numFmtId="0" fontId="49" fillId="17" borderId="0" xfId="28" applyFont="1" applyFill="1" applyAlignment="1">
      <alignment horizontal="center" vertical="center"/>
    </xf>
    <xf numFmtId="0" fontId="4" fillId="12" borderId="0" xfId="28" applyFont="1" applyFill="1" applyAlignment="1">
      <alignment horizontal="right" vertical="center"/>
    </xf>
    <xf numFmtId="0" fontId="4" fillId="12" borderId="0" xfId="28" applyFont="1" applyFill="1" applyAlignment="1">
      <alignment horizontal="left" vertical="center"/>
    </xf>
    <xf numFmtId="0" fontId="4" fillId="12" borderId="0" xfId="25" applyFont="1" applyFill="1"/>
    <xf numFmtId="0" fontId="2" fillId="12" borderId="0" xfId="28" applyFill="1"/>
    <xf numFmtId="0" fontId="3" fillId="12" borderId="0" xfId="25" applyFont="1" applyFill="1"/>
    <xf numFmtId="0" fontId="2" fillId="12" borderId="0" xfId="25" applyFill="1"/>
    <xf numFmtId="0" fontId="30" fillId="0" borderId="0" xfId="11" applyAlignment="1" applyProtection="1"/>
    <xf numFmtId="0" fontId="4" fillId="17" borderId="0" xfId="0" applyFont="1" applyFill="1" applyBorder="1" applyAlignment="1" applyProtection="1">
      <alignment vertical="center"/>
    </xf>
    <xf numFmtId="37" fontId="4" fillId="3" borderId="0" xfId="22" applyNumberFormat="1" applyFont="1" applyFill="1" applyAlignment="1" applyProtection="1">
      <alignment vertical="center"/>
    </xf>
    <xf numFmtId="0" fontId="4" fillId="3" borderId="0" xfId="22" applyFont="1" applyFill="1" applyAlignment="1" applyProtection="1">
      <alignment vertical="center"/>
    </xf>
    <xf numFmtId="1" fontId="4" fillId="3" borderId="0" xfId="22" applyNumberFormat="1" applyFont="1" applyFill="1" applyBorder="1" applyAlignment="1" applyProtection="1">
      <alignment horizontal="right" vertical="center"/>
    </xf>
    <xf numFmtId="0" fontId="4" fillId="0" borderId="0" xfId="22" applyFont="1" applyProtection="1">
      <protection locked="0"/>
    </xf>
    <xf numFmtId="37" fontId="4" fillId="3" borderId="0" xfId="22" applyNumberFormat="1" applyFont="1" applyFill="1" applyAlignment="1" applyProtection="1">
      <alignment horizontal="right" vertical="center"/>
    </xf>
    <xf numFmtId="37" fontId="4" fillId="3" borderId="0" xfId="22" applyNumberFormat="1" applyFont="1" applyFill="1" applyAlignment="1" applyProtection="1">
      <alignment horizontal="fill" vertical="center"/>
    </xf>
    <xf numFmtId="37" fontId="4" fillId="3" borderId="0" xfId="22" quotePrefix="1" applyNumberFormat="1" applyFont="1" applyFill="1" applyAlignment="1" applyProtection="1">
      <alignment horizontal="right" vertical="center"/>
    </xf>
    <xf numFmtId="37" fontId="4" fillId="3" borderId="0" xfId="22" applyNumberFormat="1" applyFont="1" applyFill="1" applyAlignment="1" applyProtection="1">
      <alignment horizontal="left" vertical="center"/>
    </xf>
    <xf numFmtId="1" fontId="4" fillId="3" borderId="2" xfId="22" applyNumberFormat="1" applyFont="1" applyFill="1" applyBorder="1" applyAlignment="1" applyProtection="1">
      <alignment horizontal="center" vertical="center"/>
    </xf>
    <xf numFmtId="37" fontId="4" fillId="3" borderId="14" xfId="22" applyNumberFormat="1" applyFont="1" applyFill="1" applyBorder="1" applyAlignment="1" applyProtection="1">
      <alignment horizontal="center" vertical="center"/>
    </xf>
    <xf numFmtId="37" fontId="4" fillId="3" borderId="2" xfId="22" applyNumberFormat="1" applyFont="1" applyFill="1" applyBorder="1" applyAlignment="1" applyProtection="1">
      <alignment horizontal="center" vertical="center"/>
    </xf>
    <xf numFmtId="37" fontId="3" fillId="3" borderId="1" xfId="22" applyNumberFormat="1" applyFont="1" applyFill="1" applyBorder="1" applyAlignment="1" applyProtection="1">
      <alignment vertical="center"/>
    </xf>
    <xf numFmtId="0" fontId="4" fillId="3" borderId="4" xfId="22" applyNumberFormat="1" applyFont="1" applyFill="1" applyBorder="1" applyAlignment="1" applyProtection="1">
      <alignment horizontal="center" vertical="center"/>
    </xf>
    <xf numFmtId="0" fontId="4" fillId="3" borderId="8" xfId="22" applyNumberFormat="1" applyFont="1" applyFill="1" applyBorder="1" applyAlignment="1" applyProtection="1">
      <alignment horizontal="center" vertical="center"/>
    </xf>
    <xf numFmtId="1" fontId="4" fillId="3" borderId="4" xfId="22" applyNumberFormat="1" applyFont="1" applyFill="1" applyBorder="1" applyAlignment="1" applyProtection="1">
      <alignment horizontal="center" vertical="center"/>
    </xf>
    <xf numFmtId="37" fontId="4" fillId="3" borderId="5" xfId="22" applyNumberFormat="1" applyFont="1" applyFill="1" applyBorder="1" applyAlignment="1" applyProtection="1">
      <alignment horizontal="left" vertical="center"/>
    </xf>
    <xf numFmtId="37" fontId="4" fillId="2" borderId="5" xfId="22" applyNumberFormat="1" applyFont="1" applyFill="1" applyBorder="1" applyAlignment="1" applyProtection="1">
      <alignment vertical="center"/>
      <protection locked="0"/>
    </xf>
    <xf numFmtId="3" fontId="4" fillId="3" borderId="5" xfId="22" applyNumberFormat="1" applyFont="1" applyFill="1" applyBorder="1" applyAlignment="1" applyProtection="1">
      <alignment vertical="center"/>
    </xf>
    <xf numFmtId="3" fontId="4" fillId="3" borderId="7" xfId="22" applyNumberFormat="1" applyFont="1" applyFill="1" applyBorder="1" applyAlignment="1" applyProtection="1">
      <alignment vertical="center"/>
    </xf>
    <xf numFmtId="37" fontId="4" fillId="3" borderId="5" xfId="22" applyNumberFormat="1" applyFont="1" applyFill="1" applyBorder="1" applyAlignment="1" applyProtection="1">
      <alignment vertical="center"/>
    </xf>
    <xf numFmtId="37" fontId="4" fillId="2" borderId="5" xfId="22" applyNumberFormat="1" applyFont="1" applyFill="1" applyBorder="1" applyAlignment="1" applyProtection="1">
      <alignment horizontal="right" vertical="center"/>
      <protection locked="0"/>
    </xf>
    <xf numFmtId="3" fontId="4" fillId="3" borderId="7" xfId="22" applyNumberFormat="1" applyFont="1" applyFill="1" applyBorder="1" applyAlignment="1" applyProtection="1">
      <alignment horizontal="fill" vertical="center"/>
    </xf>
    <xf numFmtId="3" fontId="4" fillId="4" borderId="5" xfId="22" applyNumberFormat="1" applyFont="1" applyFill="1" applyBorder="1" applyAlignment="1" applyProtection="1">
      <alignment vertical="center"/>
      <protection locked="0"/>
    </xf>
    <xf numFmtId="3" fontId="4" fillId="4" borderId="7" xfId="22" applyNumberFormat="1" applyFont="1" applyFill="1" applyBorder="1" applyAlignment="1" applyProtection="1">
      <alignment vertical="center"/>
      <protection locked="0"/>
    </xf>
    <xf numFmtId="0" fontId="4" fillId="3" borderId="5" xfId="22" applyFont="1" applyFill="1" applyBorder="1" applyAlignment="1" applyProtection="1">
      <alignment vertical="center"/>
    </xf>
    <xf numFmtId="0" fontId="4" fillId="4" borderId="5" xfId="22" applyFont="1" applyFill="1" applyBorder="1" applyAlignment="1" applyProtection="1">
      <alignment horizontal="left" vertical="center"/>
      <protection locked="0"/>
    </xf>
    <xf numFmtId="0" fontId="4" fillId="4" borderId="7" xfId="22" applyFont="1" applyFill="1" applyBorder="1" applyAlignment="1" applyProtection="1">
      <alignment horizontal="left" vertical="center"/>
      <protection locked="0"/>
    </xf>
    <xf numFmtId="37" fontId="4" fillId="4" borderId="5" xfId="22" applyNumberFormat="1" applyFont="1" applyFill="1" applyBorder="1" applyAlignment="1" applyProtection="1">
      <alignment horizontal="left" vertical="center"/>
      <protection locked="0"/>
    </xf>
    <xf numFmtId="3" fontId="4" fillId="2" borderId="5" xfId="22" applyNumberFormat="1" applyFont="1" applyFill="1" applyBorder="1" applyAlignment="1" applyProtection="1">
      <alignment horizontal="right" vertical="center"/>
      <protection locked="0"/>
    </xf>
    <xf numFmtId="3" fontId="15" fillId="7" borderId="5" xfId="22" applyNumberFormat="1" applyFont="1" applyFill="1" applyBorder="1" applyAlignment="1" applyProtection="1">
      <alignment horizontal="center" vertical="center"/>
    </xf>
    <xf numFmtId="3" fontId="15" fillId="7" borderId="7" xfId="22" applyNumberFormat="1" applyFont="1" applyFill="1" applyBorder="1" applyAlignment="1" applyProtection="1">
      <alignment horizontal="center" vertical="center"/>
    </xf>
    <xf numFmtId="37" fontId="3" fillId="3" borderId="5" xfId="22" applyNumberFormat="1" applyFont="1" applyFill="1" applyBorder="1" applyAlignment="1" applyProtection="1">
      <alignment horizontal="left" vertical="center"/>
    </xf>
    <xf numFmtId="3" fontId="3" fillId="3" borderId="5" xfId="22" applyNumberFormat="1" applyFont="1" applyFill="1" applyBorder="1" applyAlignment="1" applyProtection="1">
      <alignment vertical="center"/>
    </xf>
    <xf numFmtId="3" fontId="3" fillId="3" borderId="7" xfId="22" applyNumberFormat="1" applyFont="1" applyFill="1" applyBorder="1" applyAlignment="1" applyProtection="1">
      <alignment vertical="center"/>
    </xf>
    <xf numFmtId="0" fontId="8" fillId="12" borderId="16" xfId="22" applyFont="1" applyFill="1" applyBorder="1" applyAlignment="1" applyProtection="1">
      <alignment vertical="center"/>
    </xf>
    <xf numFmtId="0" fontId="4" fillId="12" borderId="0" xfId="22" applyFont="1" applyFill="1" applyBorder="1" applyAlignment="1" applyProtection="1">
      <alignment vertical="center"/>
    </xf>
    <xf numFmtId="0" fontId="8" fillId="12" borderId="0" xfId="22" applyFont="1" applyFill="1" applyBorder="1" applyAlignment="1" applyProtection="1">
      <alignment vertical="center"/>
    </xf>
    <xf numFmtId="177" fontId="8" fillId="12" borderId="10" xfId="22" applyNumberFormat="1" applyFont="1" applyFill="1" applyBorder="1" applyAlignment="1" applyProtection="1">
      <alignment horizontal="center" vertical="center"/>
    </xf>
    <xf numFmtId="0" fontId="8" fillId="12" borderId="16" xfId="22" applyFont="1" applyFill="1" applyBorder="1" applyAlignment="1" applyProtection="1">
      <alignment horizontal="left" vertical="center"/>
    </xf>
    <xf numFmtId="177" fontId="8" fillId="13" borderId="7" xfId="22" applyNumberFormat="1" applyFont="1" applyFill="1" applyBorder="1" applyAlignment="1" applyProtection="1">
      <alignment horizontal="center" vertical="center"/>
      <protection locked="0"/>
    </xf>
    <xf numFmtId="174" fontId="41" fillId="12" borderId="6" xfId="22" applyNumberFormat="1" applyFont="1" applyFill="1" applyBorder="1" applyAlignment="1" applyProtection="1">
      <alignment horizontal="center" vertical="center"/>
    </xf>
    <xf numFmtId="0" fontId="41" fillId="17" borderId="16" xfId="22" applyFont="1" applyFill="1" applyBorder="1" applyAlignment="1" applyProtection="1">
      <alignment vertical="center"/>
    </xf>
    <xf numFmtId="0" fontId="4" fillId="17" borderId="0" xfId="22" applyFont="1" applyFill="1" applyBorder="1" applyAlignment="1" applyProtection="1">
      <alignment vertical="center"/>
    </xf>
    <xf numFmtId="0" fontId="8" fillId="17" borderId="0" xfId="22" applyFont="1" applyFill="1" applyBorder="1" applyAlignment="1" applyProtection="1">
      <alignment vertical="center"/>
    </xf>
    <xf numFmtId="177" fontId="41" fillId="17" borderId="6" xfId="22" applyNumberFormat="1" applyFont="1" applyFill="1" applyBorder="1" applyAlignment="1" applyProtection="1">
      <alignment horizontal="center" vertical="center"/>
    </xf>
    <xf numFmtId="37" fontId="8" fillId="3" borderId="8" xfId="22" applyNumberFormat="1" applyFont="1" applyFill="1" applyBorder="1" applyAlignment="1" applyProtection="1">
      <alignment horizontal="left" vertical="center"/>
    </xf>
    <xf numFmtId="0" fontId="45" fillId="12" borderId="1" xfId="22" applyFont="1" applyFill="1" applyBorder="1" applyAlignment="1">
      <alignment horizontal="left" vertical="center"/>
    </xf>
    <xf numFmtId="177" fontId="41" fillId="17" borderId="3" xfId="22" applyNumberFormat="1" applyFont="1" applyFill="1" applyBorder="1" applyAlignment="1" applyProtection="1">
      <alignment horizontal="center" vertical="center"/>
      <protection locked="0"/>
    </xf>
    <xf numFmtId="0" fontId="4" fillId="3" borderId="5" xfId="22" applyFont="1" applyFill="1" applyBorder="1" applyAlignment="1" applyProtection="1">
      <alignment vertical="center"/>
      <protection locked="0"/>
    </xf>
    <xf numFmtId="37" fontId="4" fillId="3" borderId="10" xfId="22" applyNumberFormat="1" applyFont="1" applyFill="1" applyBorder="1" applyAlignment="1" applyProtection="1">
      <alignment horizontal="right" vertical="center"/>
    </xf>
    <xf numFmtId="3" fontId="3" fillId="6" borderId="5" xfId="22" applyNumberFormat="1" applyFont="1" applyFill="1" applyBorder="1" applyAlignment="1" applyProtection="1">
      <alignment vertical="center"/>
    </xf>
    <xf numFmtId="3" fontId="3" fillId="6" borderId="7" xfId="22" applyNumberFormat="1" applyFont="1" applyFill="1" applyBorder="1" applyAlignment="1" applyProtection="1">
      <alignment vertical="center"/>
    </xf>
    <xf numFmtId="177" fontId="8" fillId="12" borderId="16" xfId="22" applyNumberFormat="1" applyFont="1" applyFill="1" applyBorder="1" applyAlignment="1" applyProtection="1">
      <alignment horizontal="center" vertical="center"/>
    </xf>
    <xf numFmtId="0" fontId="8" fillId="12" borderId="0" xfId="22" applyFont="1" applyFill="1" applyBorder="1" applyAlignment="1" applyProtection="1">
      <alignment horizontal="left" vertical="center"/>
    </xf>
    <xf numFmtId="0" fontId="8" fillId="12" borderId="10" xfId="22" applyFont="1" applyFill="1" applyBorder="1" applyAlignment="1" applyProtection="1">
      <alignment vertical="center"/>
    </xf>
    <xf numFmtId="3" fontId="4" fillId="6" borderId="5" xfId="22" applyNumberFormat="1" applyFont="1" applyFill="1" applyBorder="1" applyAlignment="1" applyProtection="1">
      <alignment vertical="center"/>
    </xf>
    <xf numFmtId="0" fontId="2" fillId="0" borderId="0" xfId="22"/>
    <xf numFmtId="0" fontId="4" fillId="3" borderId="0" xfId="22" applyFont="1" applyFill="1" applyAlignment="1" applyProtection="1">
      <alignment horizontal="right" vertical="center"/>
    </xf>
    <xf numFmtId="3" fontId="4" fillId="3" borderId="7" xfId="22" applyNumberFormat="1" applyFont="1" applyFill="1" applyBorder="1" applyAlignment="1" applyProtection="1">
      <alignment horizontal="center" vertical="center"/>
    </xf>
    <xf numFmtId="3" fontId="4" fillId="3" borderId="0" xfId="22" applyNumberFormat="1" applyFont="1" applyFill="1" applyAlignment="1" applyProtection="1">
      <alignment horizontal="center" vertical="center"/>
    </xf>
    <xf numFmtId="0" fontId="15" fillId="0" borderId="0" xfId="22" applyFont="1" applyAlignment="1" applyProtection="1">
      <alignment vertical="center"/>
    </xf>
    <xf numFmtId="177" fontId="8" fillId="12" borderId="8" xfId="22" applyNumberFormat="1" applyFont="1" applyFill="1" applyBorder="1" applyAlignment="1" applyProtection="1">
      <alignment horizontal="center" vertical="center"/>
    </xf>
    <xf numFmtId="0" fontId="58" fillId="0" borderId="0" xfId="22" applyFont="1" applyProtection="1">
      <protection locked="0"/>
    </xf>
    <xf numFmtId="0" fontId="46" fillId="0" borderId="0" xfId="22" applyFont="1" applyAlignment="1" applyProtection="1">
      <alignment vertical="center"/>
    </xf>
    <xf numFmtId="0" fontId="53" fillId="3" borderId="0" xfId="22" applyFont="1" applyFill="1" applyAlignment="1" applyProtection="1">
      <alignment horizontal="center" vertical="center"/>
    </xf>
    <xf numFmtId="177" fontId="8" fillId="12" borderId="16" xfId="22" applyNumberFormat="1" applyFont="1" applyFill="1" applyBorder="1" applyAlignment="1" applyProtection="1">
      <alignment vertical="center"/>
    </xf>
    <xf numFmtId="0" fontId="16" fillId="3" borderId="0" xfId="22" applyFont="1" applyFill="1" applyAlignment="1" applyProtection="1">
      <alignment horizontal="center" vertical="center"/>
    </xf>
    <xf numFmtId="3" fontId="4" fillId="6" borderId="7" xfId="22" applyNumberFormat="1" applyFont="1" applyFill="1" applyBorder="1" applyAlignment="1" applyProtection="1">
      <alignment vertical="center"/>
    </xf>
    <xf numFmtId="180" fontId="4" fillId="12" borderId="0" xfId="43" applyNumberFormat="1" applyFont="1" applyFill="1" applyAlignment="1">
      <alignment horizontal="center" vertical="center"/>
    </xf>
    <xf numFmtId="177" fontId="8" fillId="17" borderId="8" xfId="22" applyNumberFormat="1" applyFont="1" applyFill="1" applyBorder="1" applyAlignment="1" applyProtection="1">
      <alignment horizontal="center" vertical="center"/>
    </xf>
    <xf numFmtId="0" fontId="8" fillId="17" borderId="1" xfId="22" applyFont="1" applyFill="1" applyBorder="1" applyAlignment="1" applyProtection="1">
      <alignment vertical="center"/>
    </xf>
    <xf numFmtId="0" fontId="8" fillId="17" borderId="3" xfId="22" applyFont="1" applyFill="1" applyBorder="1" applyAlignment="1" applyProtection="1">
      <alignment vertical="center"/>
    </xf>
    <xf numFmtId="37" fontId="4" fillId="17" borderId="3" xfId="22" applyNumberFormat="1" applyFont="1" applyFill="1" applyBorder="1" applyAlignment="1" applyProtection="1">
      <alignment horizontal="right" vertical="center"/>
    </xf>
    <xf numFmtId="0" fontId="4" fillId="3" borderId="0" xfId="11" applyNumberFormat="1" applyFont="1" applyFill="1" applyBorder="1" applyAlignment="1" applyProtection="1">
      <alignment horizontal="right" vertical="center"/>
    </xf>
    <xf numFmtId="3" fontId="4" fillId="5" borderId="11" xfId="22" applyNumberFormat="1" applyFont="1" applyFill="1" applyBorder="1" applyAlignment="1" applyProtection="1">
      <alignment vertical="center"/>
    </xf>
    <xf numFmtId="174" fontId="4" fillId="12" borderId="0" xfId="22" applyNumberFormat="1" applyFont="1" applyFill="1" applyBorder="1" applyAlignment="1" applyProtection="1">
      <alignment vertical="center"/>
    </xf>
    <xf numFmtId="174" fontId="8" fillId="12" borderId="16" xfId="22" applyNumberFormat="1" applyFont="1" applyFill="1" applyBorder="1" applyAlignment="1" applyProtection="1">
      <alignment horizontal="center" vertical="center"/>
    </xf>
    <xf numFmtId="0" fontId="40" fillId="12" borderId="0" xfId="22" applyFont="1" applyFill="1" applyBorder="1" applyAlignment="1" applyProtection="1">
      <alignment horizontal="center" vertical="center"/>
    </xf>
    <xf numFmtId="0" fontId="2" fillId="12" borderId="10" xfId="22" applyFill="1" applyBorder="1" applyAlignment="1" applyProtection="1">
      <alignment vertical="center"/>
    </xf>
    <xf numFmtId="174" fontId="8" fillId="17" borderId="8" xfId="22" applyNumberFormat="1" applyFont="1" applyFill="1" applyBorder="1" applyAlignment="1" applyProtection="1">
      <alignment horizontal="center" vertical="center"/>
    </xf>
    <xf numFmtId="174" fontId="8" fillId="12" borderId="5" xfId="22" applyNumberFormat="1" applyFont="1" applyFill="1" applyBorder="1" applyAlignment="1" applyProtection="1">
      <alignment horizontal="center" vertical="center"/>
    </xf>
    <xf numFmtId="37" fontId="3" fillId="3" borderId="0" xfId="22" applyNumberFormat="1" applyFont="1" applyFill="1" applyBorder="1" applyAlignment="1" applyProtection="1">
      <alignment vertical="center"/>
    </xf>
    <xf numFmtId="174" fontId="8" fillId="17" borderId="5" xfId="22" applyNumberFormat="1" applyFont="1" applyFill="1" applyBorder="1" applyAlignment="1" applyProtection="1">
      <alignment horizontal="center" vertical="center"/>
    </xf>
    <xf numFmtId="0" fontId="8" fillId="12" borderId="1" xfId="22" applyFont="1" applyFill="1" applyBorder="1" applyAlignment="1" applyProtection="1">
      <alignment horizontal="left" vertical="center"/>
    </xf>
    <xf numFmtId="0" fontId="40" fillId="12" borderId="1" xfId="22" applyFont="1" applyFill="1" applyBorder="1" applyAlignment="1" applyProtection="1">
      <alignment horizontal="center" vertical="center"/>
    </xf>
    <xf numFmtId="0" fontId="2" fillId="12" borderId="3" xfId="22" applyFill="1" applyBorder="1" applyAlignment="1" applyProtection="1">
      <alignment vertical="center"/>
    </xf>
    <xf numFmtId="37" fontId="4" fillId="3" borderId="8" xfId="22" applyNumberFormat="1" applyFont="1" applyFill="1" applyBorder="1" applyAlignment="1" applyProtection="1">
      <alignment horizontal="left" vertical="center"/>
    </xf>
    <xf numFmtId="3" fontId="4" fillId="2" borderId="7" xfId="22" applyNumberFormat="1" applyFont="1" applyFill="1" applyBorder="1" applyAlignment="1" applyProtection="1">
      <alignment horizontal="right" vertical="center"/>
      <protection locked="0"/>
    </xf>
    <xf numFmtId="0" fontId="4" fillId="12" borderId="16" xfId="22" applyFont="1" applyFill="1" applyBorder="1" applyAlignment="1" applyProtection="1">
      <alignment vertical="center"/>
    </xf>
    <xf numFmtId="0" fontId="4" fillId="12" borderId="10" xfId="22" applyFont="1" applyFill="1" applyBorder="1" applyProtection="1">
      <protection locked="0"/>
    </xf>
    <xf numFmtId="0" fontId="39" fillId="0" borderId="0" xfId="22" applyFont="1" applyAlignment="1" applyProtection="1">
      <alignment horizontal="right" vertical="center"/>
    </xf>
    <xf numFmtId="177" fontId="22" fillId="12" borderId="16" xfId="22" applyNumberFormat="1" applyFont="1" applyFill="1" applyBorder="1" applyAlignment="1" applyProtection="1">
      <alignment horizontal="center" vertical="center"/>
    </xf>
    <xf numFmtId="0" fontId="4" fillId="12" borderId="10" xfId="22" applyFont="1" applyFill="1" applyBorder="1" applyAlignment="1" applyProtection="1">
      <alignment vertical="center"/>
    </xf>
    <xf numFmtId="177" fontId="22" fillId="12" borderId="16" xfId="22" applyNumberFormat="1" applyFont="1" applyFill="1" applyBorder="1" applyAlignment="1" applyProtection="1">
      <alignment vertical="center"/>
    </xf>
    <xf numFmtId="0" fontId="22" fillId="12" borderId="0" xfId="22" applyFont="1" applyFill="1" applyBorder="1" applyAlignment="1" applyProtection="1">
      <alignment vertical="center"/>
    </xf>
    <xf numFmtId="0" fontId="4" fillId="17" borderId="3" xfId="22" applyFont="1" applyFill="1" applyBorder="1" applyAlignment="1" applyProtection="1">
      <alignment vertical="center"/>
    </xf>
    <xf numFmtId="0" fontId="4" fillId="17" borderId="3" xfId="22" applyFont="1" applyFill="1" applyBorder="1" applyProtection="1">
      <protection locked="0"/>
    </xf>
    <xf numFmtId="0" fontId="58" fillId="0" borderId="0" xfId="22" applyFont="1"/>
    <xf numFmtId="37" fontId="4" fillId="2" borderId="0" xfId="22" applyNumberFormat="1" applyFont="1" applyFill="1" applyAlignment="1" applyProtection="1">
      <alignment horizontal="left" vertical="center"/>
      <protection locked="0"/>
    </xf>
    <xf numFmtId="174" fontId="8" fillId="0" borderId="0" xfId="11" applyNumberFormat="1" applyFont="1" applyFill="1" applyBorder="1" applyAlignment="1" applyProtection="1">
      <alignment horizontal="center" vertical="center"/>
    </xf>
    <xf numFmtId="0" fontId="4" fillId="0" borderId="0" xfId="22" applyFont="1" applyAlignment="1" applyProtection="1">
      <alignment vertical="center"/>
      <protection locked="0"/>
    </xf>
    <xf numFmtId="0" fontId="53" fillId="0" borderId="0" xfId="22" applyFont="1" applyProtection="1">
      <protection locked="0"/>
    </xf>
    <xf numFmtId="0" fontId="53" fillId="0" borderId="0" xfId="43" applyFont="1" applyAlignment="1" applyProtection="1">
      <alignment vertical="center"/>
      <protection locked="0"/>
    </xf>
    <xf numFmtId="37" fontId="4" fillId="3" borderId="7" xfId="0" applyNumberFormat="1" applyFont="1" applyFill="1" applyBorder="1" applyAlignment="1" applyProtection="1">
      <alignment horizontal="center" vertical="center"/>
      <protection locked="0"/>
    </xf>
    <xf numFmtId="0" fontId="3" fillId="3" borderId="5" xfId="415" applyFont="1" applyFill="1" applyBorder="1" applyAlignment="1" applyProtection="1">
      <alignment vertical="center"/>
    </xf>
    <xf numFmtId="0" fontId="3" fillId="3" borderId="12" xfId="415" applyFont="1" applyFill="1" applyBorder="1" applyAlignment="1" applyProtection="1">
      <alignment vertical="center"/>
    </xf>
    <xf numFmtId="3" fontId="3" fillId="3" borderId="6" xfId="415" applyNumberFormat="1" applyFont="1" applyFill="1" applyBorder="1" applyAlignment="1" applyProtection="1">
      <alignment vertical="center"/>
    </xf>
    <xf numFmtId="0" fontId="3" fillId="3" borderId="6" xfId="415" applyFont="1" applyFill="1" applyBorder="1" applyAlignment="1" applyProtection="1">
      <alignment vertical="center"/>
    </xf>
    <xf numFmtId="0" fontId="3" fillId="3" borderId="7" xfId="415" applyFont="1" applyFill="1" applyBorder="1" applyAlignment="1" applyProtection="1">
      <alignment horizontal="center" vertical="center"/>
    </xf>
    <xf numFmtId="0" fontId="3" fillId="3" borderId="0" xfId="415" applyFont="1" applyFill="1" applyBorder="1" applyAlignment="1" applyProtection="1">
      <alignment horizontal="left" vertical="center"/>
    </xf>
    <xf numFmtId="180" fontId="4" fillId="3" borderId="0" xfId="0" applyNumberFormat="1" applyFont="1" applyFill="1" applyBorder="1" applyAlignment="1">
      <alignment horizontal="center" vertical="center"/>
    </xf>
    <xf numFmtId="0" fontId="8" fillId="17" borderId="0" xfId="0" applyFont="1" applyFill="1" applyBorder="1" applyAlignment="1" applyProtection="1">
      <alignment vertical="center"/>
    </xf>
    <xf numFmtId="0" fontId="40" fillId="12"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177" fontId="41"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1" fillId="12" borderId="6" xfId="0" applyFont="1" applyFill="1" applyBorder="1" applyAlignment="1" applyProtection="1">
      <alignment horizontal="center" vertical="center"/>
    </xf>
    <xf numFmtId="0" fontId="41" fillId="17" borderId="16" xfId="0" applyFont="1" applyFill="1" applyBorder="1" applyAlignment="1" applyProtection="1">
      <alignment vertical="center"/>
    </xf>
    <xf numFmtId="177" fontId="41" fillId="17" borderId="6" xfId="0" applyNumberFormat="1" applyFont="1" applyFill="1" applyBorder="1" applyAlignment="1" applyProtection="1">
      <alignment horizontal="center" vertical="center"/>
    </xf>
    <xf numFmtId="37" fontId="8" fillId="3" borderId="8" xfId="0" applyNumberFormat="1" applyFont="1" applyFill="1" applyBorder="1" applyAlignment="1" applyProtection="1">
      <alignment horizontal="left" vertical="center"/>
    </xf>
    <xf numFmtId="0" fontId="45" fillId="12" borderId="1" xfId="0" applyFont="1" applyFill="1" applyBorder="1" applyAlignment="1">
      <alignment horizontal="left" vertical="center"/>
    </xf>
    <xf numFmtId="177" fontId="41" fillId="17" borderId="3" xfId="0" applyNumberFormat="1" applyFont="1" applyFill="1" applyBorder="1" applyAlignment="1" applyProtection="1">
      <alignment horizontal="center" vertical="center"/>
      <protection locked="0"/>
    </xf>
    <xf numFmtId="0" fontId="58" fillId="0" borderId="0" xfId="0" applyFont="1" applyProtection="1">
      <protection locked="0"/>
    </xf>
    <xf numFmtId="174" fontId="8" fillId="12" borderId="16" xfId="0" applyNumberFormat="1" applyFont="1" applyFill="1" applyBorder="1" applyAlignment="1" applyProtection="1">
      <alignment horizontal="center" vertical="center"/>
    </xf>
    <xf numFmtId="0" fontId="0" fillId="12" borderId="10" xfId="0" applyFill="1" applyBorder="1" applyAlignment="1" applyProtection="1">
      <alignment vertical="center"/>
    </xf>
    <xf numFmtId="174" fontId="8" fillId="17" borderId="8" xfId="0" applyNumberFormat="1" applyFont="1" applyFill="1" applyBorder="1" applyAlignment="1" applyProtection="1">
      <alignment horizontal="center" vertical="center"/>
    </xf>
    <xf numFmtId="174" fontId="8" fillId="12" borderId="5" xfId="0" applyNumberFormat="1" applyFont="1" applyFill="1" applyBorder="1" applyAlignment="1" applyProtection="1">
      <alignment horizontal="center" vertical="center"/>
    </xf>
    <xf numFmtId="174" fontId="8" fillId="17" borderId="5" xfId="0" applyNumberFormat="1" applyFont="1" applyFill="1" applyBorder="1" applyAlignment="1" applyProtection="1">
      <alignment horizontal="center" vertical="center"/>
    </xf>
    <xf numFmtId="0" fontId="8" fillId="12" borderId="1" xfId="0" applyFont="1" applyFill="1" applyBorder="1" applyAlignment="1" applyProtection="1">
      <alignment horizontal="left" vertical="center"/>
    </xf>
    <xf numFmtId="0" fontId="40" fillId="12" borderId="1" xfId="0" applyFont="1" applyFill="1" applyBorder="1" applyAlignment="1" applyProtection="1">
      <alignment horizontal="center" vertical="center"/>
    </xf>
    <xf numFmtId="0" fontId="0" fillId="12" borderId="3" xfId="0" applyFill="1" applyBorder="1" applyAlignment="1" applyProtection="1">
      <alignment vertical="center"/>
    </xf>
    <xf numFmtId="49" fontId="4" fillId="0" borderId="0" xfId="392" applyNumberFormat="1" applyFont="1" applyFill="1" applyAlignment="1" applyProtection="1">
      <alignment horizontal="left" vertical="center"/>
      <protection locked="0"/>
    </xf>
    <xf numFmtId="0" fontId="59" fillId="0" borderId="0" xfId="0" applyFont="1"/>
    <xf numFmtId="0" fontId="60" fillId="0" borderId="0" xfId="392" applyFont="1"/>
    <xf numFmtId="175" fontId="61" fillId="0" borderId="0" xfId="392" applyNumberFormat="1" applyFont="1" applyAlignment="1">
      <alignment horizontal="left" vertical="center"/>
    </xf>
    <xf numFmtId="0" fontId="61" fillId="0" borderId="0" xfId="392" applyNumberFormat="1" applyFont="1" applyAlignment="1">
      <alignment horizontal="left" vertical="center"/>
    </xf>
    <xf numFmtId="1" fontId="61" fillId="0" borderId="0" xfId="392" applyNumberFormat="1" applyFont="1" applyAlignment="1">
      <alignment horizontal="left" vertical="center"/>
    </xf>
    <xf numFmtId="0" fontId="62" fillId="0" borderId="0" xfId="392" applyFont="1" applyAlignment="1">
      <alignment horizontal="left" vertical="center"/>
    </xf>
    <xf numFmtId="3" fontId="4" fillId="4" borderId="7" xfId="0" applyNumberFormat="1"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37" fontId="4" fillId="7" borderId="11" xfId="0" applyNumberFormat="1" applyFont="1" applyFill="1" applyBorder="1" applyAlignment="1" applyProtection="1">
      <alignment horizontal="center" vertical="center"/>
    </xf>
    <xf numFmtId="174" fontId="4" fillId="7" borderId="11" xfId="0" applyNumberFormat="1" applyFont="1" applyFill="1" applyBorder="1" applyAlignment="1" applyProtection="1">
      <alignment horizontal="center" vertical="center"/>
    </xf>
    <xf numFmtId="3" fontId="4" fillId="7" borderId="1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right" vertical="center"/>
    </xf>
    <xf numFmtId="165" fontId="4" fillId="3" borderId="7" xfId="0" applyNumberFormat="1" applyFont="1" applyFill="1" applyBorder="1" applyAlignment="1" applyProtection="1">
      <alignment horizontal="right" vertical="center"/>
    </xf>
    <xf numFmtId="37" fontId="4" fillId="3" borderId="11" xfId="0" applyNumberFormat="1" applyFont="1" applyFill="1" applyBorder="1" applyAlignment="1" applyProtection="1">
      <alignment horizontal="right" vertical="center"/>
    </xf>
    <xf numFmtId="170" fontId="4" fillId="3" borderId="11" xfId="0" applyNumberFormat="1" applyFont="1" applyFill="1" applyBorder="1" applyAlignment="1" applyProtection="1">
      <alignment horizontal="right" vertical="center"/>
    </xf>
    <xf numFmtId="0" fontId="4" fillId="3" borderId="0" xfId="0" applyFont="1" applyFill="1" applyBorder="1" applyAlignment="1" applyProtection="1"/>
    <xf numFmtId="0" fontId="4" fillId="3" borderId="0" xfId="0" applyFont="1" applyFill="1" applyAlignment="1" applyProtection="1"/>
    <xf numFmtId="37" fontId="4" fillId="3" borderId="0" xfId="0" applyNumberFormat="1" applyFont="1" applyFill="1" applyBorder="1" applyAlignment="1" applyProtection="1">
      <alignment horizontal="fill"/>
    </xf>
    <xf numFmtId="37" fontId="4" fillId="3" borderId="0" xfId="0" applyNumberFormat="1" applyFont="1" applyFill="1" applyBorder="1" applyAlignment="1" applyProtection="1">
      <alignment horizontal="left"/>
    </xf>
    <xf numFmtId="180" fontId="4" fillId="2" borderId="7" xfId="0" applyNumberFormat="1" applyFont="1" applyFill="1" applyBorder="1" applyAlignment="1" applyProtection="1">
      <alignment vertical="center"/>
      <protection locked="0"/>
    </xf>
    <xf numFmtId="180" fontId="4" fillId="4" borderId="7" xfId="0" applyNumberFormat="1" applyFont="1" applyFill="1" applyBorder="1" applyAlignment="1" applyProtection="1">
      <alignment vertical="center"/>
      <protection locked="0"/>
    </xf>
    <xf numFmtId="0" fontId="4" fillId="0" borderId="0" xfId="22" applyFont="1" applyAlignment="1">
      <alignment vertical="center" wrapText="1"/>
    </xf>
    <xf numFmtId="37" fontId="4" fillId="0" borderId="0" xfId="22" applyNumberFormat="1" applyFont="1" applyFill="1" applyAlignment="1" applyProtection="1">
      <alignment horizontal="left" vertical="center" wrapText="1"/>
    </xf>
    <xf numFmtId="0" fontId="4" fillId="0" borderId="0" xfId="408" applyFont="1" applyAlignment="1">
      <alignment vertical="center" wrapText="1"/>
    </xf>
    <xf numFmtId="0" fontId="4" fillId="0" borderId="0" xfId="23" applyFont="1" applyAlignment="1">
      <alignment vertical="center" wrapText="1"/>
    </xf>
    <xf numFmtId="0" fontId="4" fillId="0" borderId="0" xfId="67" applyFont="1" applyAlignment="1">
      <alignment vertical="center" wrapText="1"/>
    </xf>
    <xf numFmtId="37" fontId="4" fillId="3" borderId="0" xfId="22" applyNumberFormat="1" applyFont="1" applyFill="1" applyBorder="1" applyAlignment="1" applyProtection="1">
      <alignment horizontal="right" vertical="center"/>
    </xf>
    <xf numFmtId="0" fontId="58" fillId="0" borderId="16" xfId="22" applyFont="1" applyBorder="1" applyProtection="1">
      <protection locked="0"/>
    </xf>
    <xf numFmtId="0" fontId="30" fillId="18" borderId="0" xfId="12" applyFill="1" applyAlignment="1" applyProtection="1"/>
    <xf numFmtId="0" fontId="48" fillId="18" borderId="0" xfId="349" applyFill="1"/>
    <xf numFmtId="0" fontId="4" fillId="0" borderId="0" xfId="152" applyFont="1" applyAlignment="1">
      <alignment vertical="center"/>
    </xf>
    <xf numFmtId="37" fontId="4" fillId="10" borderId="2" xfId="0" applyNumberFormat="1" applyFont="1" applyFill="1" applyBorder="1" applyAlignment="1" applyProtection="1">
      <alignment horizontal="center" vertical="center" wrapText="1"/>
    </xf>
    <xf numFmtId="0" fontId="0" fillId="10" borderId="4" xfId="0" applyFill="1" applyBorder="1" applyAlignment="1">
      <alignment vertical="center" wrapText="1"/>
    </xf>
    <xf numFmtId="37" fontId="16" fillId="3" borderId="0" xfId="0" applyNumberFormat="1" applyFont="1" applyFill="1" applyAlignment="1" applyProtection="1">
      <alignment horizontal="center" vertical="center"/>
    </xf>
    <xf numFmtId="0" fontId="17" fillId="0" borderId="0" xfId="0" applyFont="1" applyAlignment="1">
      <alignment horizontal="center" vertical="center"/>
    </xf>
    <xf numFmtId="0" fontId="4" fillId="3"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37" fontId="17" fillId="3"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9" borderId="0" xfId="0" applyFont="1" applyFill="1" applyBorder="1" applyAlignment="1">
      <alignment horizontal="center" vertical="center"/>
    </xf>
    <xf numFmtId="0" fontId="19" fillId="9" borderId="0" xfId="0" applyFont="1" applyFill="1" applyBorder="1" applyAlignment="1">
      <alignment horizontal="center" vertical="center"/>
    </xf>
    <xf numFmtId="0" fontId="15" fillId="3" borderId="0" xfId="0" applyFont="1" applyFill="1" applyBorder="1" applyAlignment="1">
      <alignment vertical="center"/>
    </xf>
    <xf numFmtId="0" fontId="20" fillId="0" borderId="0" xfId="0" applyFont="1" applyAlignment="1">
      <alignment vertical="center"/>
    </xf>
    <xf numFmtId="0" fontId="4" fillId="0" borderId="0" xfId="392" applyFont="1" applyAlignment="1">
      <alignment horizontal="left" vertical="center" wrapText="1"/>
    </xf>
    <xf numFmtId="0" fontId="1" fillId="0" borderId="0" xfId="392" applyAlignment="1">
      <alignment horizontal="left" vertical="center" wrapText="1"/>
    </xf>
    <xf numFmtId="0" fontId="17" fillId="0" borderId="0" xfId="392" applyFont="1" applyAlignment="1">
      <alignment horizontal="left" vertical="center"/>
    </xf>
    <xf numFmtId="37" fontId="4" fillId="3" borderId="0" xfId="0" applyNumberFormat="1" applyFont="1" applyFill="1" applyBorder="1" applyAlignment="1" applyProtection="1">
      <alignment horizontal="center" vertical="center"/>
    </xf>
    <xf numFmtId="0" fontId="0" fillId="0" borderId="0" xfId="0" applyAlignment="1">
      <alignment vertical="center"/>
    </xf>
    <xf numFmtId="0" fontId="3" fillId="3" borderId="0" xfId="0" applyFont="1" applyFill="1" applyAlignment="1" applyProtection="1">
      <alignment horizontal="center" vertical="center"/>
    </xf>
    <xf numFmtId="37" fontId="4" fillId="3" borderId="2" xfId="0" applyNumberFormat="1"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3" borderId="5" xfId="0" applyNumberFormat="1" applyFont="1" applyFill="1" applyBorder="1" applyAlignment="1" applyProtection="1">
      <alignment horizontal="center" vertical="center"/>
    </xf>
    <xf numFmtId="0" fontId="0" fillId="0" borderId="12" xfId="0" applyBorder="1" applyAlignment="1" applyProtection="1">
      <alignment vertical="center"/>
    </xf>
    <xf numFmtId="0" fontId="0" fillId="0" borderId="6" xfId="0" applyBorder="1" applyAlignment="1" applyProtection="1">
      <alignment vertical="center"/>
    </xf>
    <xf numFmtId="0" fontId="4" fillId="3" borderId="0" xfId="0" applyFont="1" applyFill="1" applyAlignment="1" applyProtection="1">
      <alignment horizontal="center" vertical="center"/>
    </xf>
    <xf numFmtId="0" fontId="0" fillId="0" borderId="0" xfId="0" applyAlignment="1" applyProtection="1">
      <alignment vertical="center"/>
    </xf>
    <xf numFmtId="37" fontId="4" fillId="3" borderId="0" xfId="0" applyNumberFormat="1" applyFont="1" applyFill="1" applyAlignment="1" applyProtection="1">
      <alignment horizontal="center" vertical="center"/>
    </xf>
    <xf numFmtId="0" fontId="0" fillId="0" borderId="0" xfId="0" applyAlignment="1" applyProtection="1">
      <alignment horizontal="center" vertical="center"/>
    </xf>
    <xf numFmtId="0" fontId="8" fillId="9" borderId="14" xfId="0" applyFont="1" applyFill="1" applyBorder="1" applyAlignment="1" applyProtection="1">
      <alignment horizontal="center" vertical="center"/>
    </xf>
    <xf numFmtId="0" fontId="0" fillId="0" borderId="9" xfId="0" applyBorder="1" applyAlignment="1" applyProtection="1">
      <alignment vertical="center"/>
    </xf>
    <xf numFmtId="3" fontId="4" fillId="2" borderId="5" xfId="0" applyNumberFormat="1" applyFont="1" applyFill="1" applyBorder="1" applyAlignment="1" applyProtection="1">
      <alignment vertical="center"/>
      <protection locked="0"/>
    </xf>
    <xf numFmtId="3" fontId="0" fillId="0" borderId="6" xfId="0" applyNumberFormat="1" applyBorder="1" applyAlignment="1" applyProtection="1">
      <alignment vertical="center"/>
      <protection locked="0"/>
    </xf>
    <xf numFmtId="0" fontId="8" fillId="9" borderId="8" xfId="0" applyFont="1" applyFill="1" applyBorder="1" applyAlignment="1" applyProtection="1">
      <alignment horizontal="center" vertical="center"/>
    </xf>
    <xf numFmtId="0" fontId="0" fillId="0" borderId="3" xfId="0" applyBorder="1" applyAlignment="1">
      <alignment vertical="center"/>
    </xf>
    <xf numFmtId="0" fontId="0" fillId="0" borderId="0" xfId="0" applyAlignment="1">
      <alignment horizontal="center" vertical="center"/>
    </xf>
    <xf numFmtId="37" fontId="17" fillId="3" borderId="0" xfId="0" applyNumberFormat="1" applyFont="1" applyFill="1" applyAlignment="1" applyProtection="1">
      <alignment horizontal="center" vertical="center"/>
    </xf>
    <xf numFmtId="0" fontId="6"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37" fontId="8" fillId="3" borderId="2"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37" fontId="3" fillId="3" borderId="5" xfId="0" applyNumberFormat="1" applyFont="1" applyFill="1" applyBorder="1" applyAlignment="1" applyProtection="1">
      <alignment horizontal="center" vertical="center"/>
    </xf>
    <xf numFmtId="0" fontId="44" fillId="0" borderId="12" xfId="0" applyFont="1" applyBorder="1" applyAlignment="1">
      <alignment vertical="center"/>
    </xf>
    <xf numFmtId="0" fontId="44" fillId="0" borderId="6" xfId="0" applyFont="1" applyBorder="1" applyAlignment="1">
      <alignment vertical="center"/>
    </xf>
    <xf numFmtId="37" fontId="3" fillId="3" borderId="0" xfId="0" applyNumberFormat="1" applyFont="1" applyFill="1" applyBorder="1" applyAlignment="1" applyProtection="1">
      <alignment horizontal="center" vertical="center"/>
    </xf>
    <xf numFmtId="0" fontId="3" fillId="3" borderId="0" xfId="416" applyFont="1" applyFill="1" applyAlignment="1" applyProtection="1">
      <alignment horizontal="center" vertical="center"/>
    </xf>
    <xf numFmtId="0" fontId="17" fillId="12" borderId="0" xfId="406" applyFont="1" applyFill="1" applyAlignment="1">
      <alignment horizontal="center"/>
    </xf>
    <xf numFmtId="0" fontId="2" fillId="12" borderId="0" xfId="28" applyFill="1" applyAlignment="1">
      <alignment horizontal="center"/>
    </xf>
    <xf numFmtId="0" fontId="3" fillId="12" borderId="0" xfId="28" applyFont="1" applyFill="1" applyAlignment="1">
      <alignment horizontal="center" vertical="center"/>
    </xf>
    <xf numFmtId="0" fontId="17" fillId="12" borderId="0" xfId="28" applyFont="1" applyFill="1" applyAlignment="1">
      <alignment horizontal="center" vertical="center"/>
    </xf>
    <xf numFmtId="0" fontId="4" fillId="12" borderId="0" xfId="28" applyFont="1" applyFill="1" applyAlignment="1">
      <alignment vertical="center" wrapText="1"/>
    </xf>
    <xf numFmtId="174" fontId="40" fillId="12" borderId="14" xfId="0" applyNumberFormat="1" applyFont="1" applyFill="1" applyBorder="1" applyAlignment="1" applyProtection="1">
      <alignment horizontal="center"/>
    </xf>
    <xf numFmtId="0" fontId="31" fillId="0" borderId="15" xfId="0" applyFont="1" applyBorder="1" applyAlignment="1"/>
    <xf numFmtId="0" fontId="31" fillId="0" borderId="9" xfId="0" applyFont="1" applyBorder="1" applyAlignment="1"/>
    <xf numFmtId="0" fontId="4" fillId="3" borderId="0" xfId="10" applyNumberFormat="1" applyFont="1" applyFill="1" applyBorder="1" applyAlignment="1" applyProtection="1">
      <alignment horizontal="right" vertical="center"/>
    </xf>
    <xf numFmtId="0" fontId="4" fillId="0" borderId="0" xfId="10" applyFont="1" applyAlignment="1" applyProtection="1">
      <alignment horizontal="right" vertical="center"/>
    </xf>
    <xf numFmtId="3" fontId="4" fillId="3" borderId="15" xfId="43" applyNumberFormat="1" applyFont="1" applyFill="1" applyBorder="1" applyAlignment="1" applyProtection="1">
      <alignment horizontal="right" vertical="center"/>
    </xf>
    <xf numFmtId="0" fontId="2" fillId="0" borderId="9" xfId="43" applyBorder="1" applyAlignment="1">
      <alignment horizontal="right" vertical="center"/>
    </xf>
    <xf numFmtId="0" fontId="4" fillId="3" borderId="0" xfId="43" applyFont="1" applyFill="1" applyAlignment="1" applyProtection="1">
      <alignment horizontal="right" vertical="center"/>
    </xf>
    <xf numFmtId="0" fontId="4" fillId="0" borderId="10" xfId="43" applyFont="1" applyBorder="1" applyAlignment="1">
      <alignment horizontal="right" vertical="center"/>
    </xf>
    <xf numFmtId="0" fontId="40" fillId="12" borderId="14" xfId="0" applyFont="1" applyFill="1" applyBorder="1" applyAlignment="1" applyProtection="1">
      <alignment horizontal="center" vertical="center"/>
    </xf>
    <xf numFmtId="0" fontId="0" fillId="0" borderId="15" xfId="0" applyBorder="1" applyAlignment="1">
      <alignment vertical="center"/>
    </xf>
    <xf numFmtId="0" fontId="0" fillId="0" borderId="9" xfId="0" applyBorder="1" applyAlignment="1">
      <alignment vertical="center"/>
    </xf>
    <xf numFmtId="0" fontId="4" fillId="3" borderId="0" xfId="11" applyNumberFormat="1" applyFont="1" applyFill="1" applyBorder="1" applyAlignment="1" applyProtection="1">
      <alignment horizontal="right" vertical="center"/>
    </xf>
    <xf numFmtId="0" fontId="4" fillId="0" borderId="0" xfId="11" applyFont="1" applyAlignment="1" applyProtection="1">
      <alignment horizontal="right" vertical="center"/>
    </xf>
    <xf numFmtId="174" fontId="40" fillId="12" borderId="14" xfId="22" applyNumberFormat="1" applyFont="1" applyFill="1" applyBorder="1" applyAlignment="1" applyProtection="1">
      <alignment horizontal="center"/>
    </xf>
    <xf numFmtId="0" fontId="31" fillId="0" borderId="15" xfId="22" applyFont="1" applyBorder="1" applyAlignment="1"/>
    <xf numFmtId="0" fontId="31" fillId="0" borderId="9" xfId="22" applyFont="1" applyBorder="1" applyAlignment="1"/>
    <xf numFmtId="0" fontId="40" fillId="12" borderId="14" xfId="22" applyFont="1" applyFill="1" applyBorder="1" applyAlignment="1" applyProtection="1">
      <alignment horizontal="center" vertical="center"/>
    </xf>
    <xf numFmtId="0" fontId="2" fillId="0" borderId="15" xfId="22" applyBorder="1" applyAlignment="1">
      <alignment vertical="center"/>
    </xf>
    <xf numFmtId="0" fontId="2" fillId="0" borderId="9" xfId="22" applyBorder="1" applyAlignment="1">
      <alignment vertical="center"/>
    </xf>
    <xf numFmtId="0" fontId="45" fillId="0" borderId="15" xfId="22" applyFont="1" applyBorder="1" applyAlignment="1">
      <alignment horizontal="center" vertical="center"/>
    </xf>
    <xf numFmtId="0" fontId="2" fillId="0" borderId="9" xfId="22" applyBorder="1" applyAlignment="1"/>
    <xf numFmtId="0" fontId="2" fillId="0" borderId="15" xfId="22" applyBorder="1" applyAlignment="1">
      <alignment horizontal="center" vertical="center"/>
    </xf>
    <xf numFmtId="0" fontId="15" fillId="3" borderId="16" xfId="23" applyFont="1" applyFill="1" applyBorder="1" applyAlignment="1" applyProtection="1">
      <alignment vertical="center" wrapText="1"/>
    </xf>
    <xf numFmtId="0" fontId="0" fillId="0" borderId="0" xfId="0"/>
    <xf numFmtId="0" fontId="0" fillId="0" borderId="16" xfId="0" applyBorder="1"/>
    <xf numFmtId="0" fontId="3" fillId="3" borderId="5" xfId="0" applyFont="1" applyFill="1" applyBorder="1" applyAlignment="1">
      <alignment vertical="center"/>
    </xf>
    <xf numFmtId="0" fontId="3" fillId="3" borderId="6" xfId="0" applyFont="1" applyFill="1" applyBorder="1" applyAlignment="1">
      <alignment vertical="center"/>
    </xf>
    <xf numFmtId="37" fontId="3" fillId="3" borderId="5" xfId="0" applyNumberFormat="1" applyFont="1" applyFill="1" applyBorder="1" applyAlignment="1">
      <alignment vertical="center"/>
    </xf>
    <xf numFmtId="37" fontId="4" fillId="3" borderId="15" xfId="0" applyNumberFormat="1" applyFont="1" applyFill="1" applyBorder="1" applyAlignment="1" applyProtection="1">
      <alignment horizontal="center" vertical="center"/>
    </xf>
    <xf numFmtId="0" fontId="0" fillId="0" borderId="15" xfId="0" applyBorder="1" applyAlignment="1">
      <alignment horizontal="center" vertical="center"/>
    </xf>
    <xf numFmtId="37" fontId="4" fillId="3" borderId="1" xfId="0" applyNumberFormat="1" applyFont="1" applyFill="1" applyBorder="1" applyAlignment="1" applyProtection="1">
      <alignment horizontal="center" vertical="center"/>
      <protection locked="0"/>
    </xf>
    <xf numFmtId="0" fontId="17" fillId="12" borderId="14" xfId="0" applyFont="1" applyFill="1" applyBorder="1" applyAlignment="1" applyProtection="1">
      <alignment horizontal="center"/>
    </xf>
    <xf numFmtId="0" fontId="17" fillId="12" borderId="15" xfId="0" applyFont="1" applyFill="1" applyBorder="1" applyAlignment="1" applyProtection="1">
      <alignment horizontal="center"/>
    </xf>
    <xf numFmtId="0" fontId="17" fillId="12" borderId="9" xfId="0" applyFont="1" applyFill="1" applyBorder="1" applyAlignment="1" applyProtection="1">
      <alignment horizontal="center"/>
    </xf>
    <xf numFmtId="0" fontId="0" fillId="0" borderId="15" xfId="0" applyBorder="1" applyAlignment="1" applyProtection="1">
      <alignment horizontal="center"/>
    </xf>
    <xf numFmtId="0" fontId="0" fillId="0" borderId="9" xfId="0" applyBorder="1" applyAlignment="1" applyProtection="1">
      <alignment horizontal="center"/>
    </xf>
    <xf numFmtId="0" fontId="0" fillId="0" borderId="15" xfId="0" applyBorder="1" applyAlignment="1">
      <alignment horizontal="center"/>
    </xf>
    <xf numFmtId="0" fontId="0" fillId="0" borderId="9" xfId="0" applyBorder="1" applyAlignment="1">
      <alignment horizontal="center"/>
    </xf>
    <xf numFmtId="0" fontId="0" fillId="0" borderId="13" xfId="0" applyBorder="1" applyAlignment="1" applyProtection="1">
      <alignment horizontal="center" vertical="center"/>
    </xf>
    <xf numFmtId="0" fontId="0" fillId="0" borderId="4" xfId="0" applyBorder="1" applyAlignment="1" applyProtection="1">
      <alignment horizontal="center" vertical="center"/>
    </xf>
    <xf numFmtId="37" fontId="4" fillId="12" borderId="0" xfId="0" applyNumberFormat="1" applyFont="1" applyFill="1" applyAlignment="1" applyProtection="1">
      <alignment horizontal="center" vertical="center"/>
    </xf>
    <xf numFmtId="0" fontId="4" fillId="3" borderId="0" xfId="0" applyFont="1" applyFill="1" applyAlignment="1">
      <alignment horizontal="right" vertical="center"/>
    </xf>
    <xf numFmtId="0" fontId="0" fillId="0" borderId="0" xfId="0" applyAlignment="1">
      <alignment horizontal="right" vertical="center"/>
    </xf>
    <xf numFmtId="0" fontId="4" fillId="3" borderId="0" xfId="0" applyFont="1" applyFill="1" applyAlignment="1" applyProtection="1">
      <alignment horizontal="right" vertical="center"/>
    </xf>
    <xf numFmtId="0" fontId="13" fillId="0" borderId="0" xfId="0" applyFont="1" applyAlignment="1">
      <alignment wrapText="1"/>
    </xf>
    <xf numFmtId="0" fontId="0" fillId="0" borderId="0" xfId="0" applyAlignment="1">
      <alignment wrapText="1"/>
    </xf>
    <xf numFmtId="0" fontId="7" fillId="0" borderId="0" xfId="0" applyFont="1" applyAlignment="1">
      <alignment horizontal="left" wrapText="1"/>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0" fontId="7" fillId="0" borderId="0" xfId="0" applyFont="1" applyAlignment="1">
      <alignment horizontal="center"/>
    </xf>
    <xf numFmtId="0" fontId="7" fillId="0" borderId="0" xfId="0" applyFont="1" applyAlignment="1">
      <alignment horizontal="left"/>
    </xf>
    <xf numFmtId="0" fontId="7" fillId="0" borderId="0" xfId="0" applyFont="1" applyAlignment="1">
      <alignment wrapText="1"/>
    </xf>
    <xf numFmtId="177" fontId="35" fillId="13" borderId="1" xfId="0" applyNumberFormat="1" applyFont="1" applyFill="1" applyBorder="1" applyAlignment="1" applyProtection="1">
      <alignment horizontal="center"/>
      <protection locked="0"/>
    </xf>
    <xf numFmtId="0" fontId="54" fillId="12" borderId="0" xfId="0" applyFont="1" applyFill="1" applyAlignment="1">
      <alignment horizontal="center" wrapText="1"/>
    </xf>
    <xf numFmtId="0" fontId="35" fillId="0" borderId="0" xfId="0" applyFont="1" applyAlignment="1">
      <alignment horizontal="center" wrapText="1"/>
    </xf>
    <xf numFmtId="0" fontId="54" fillId="12" borderId="0" xfId="0" applyFont="1" applyFill="1" applyAlignment="1">
      <alignment horizontal="center" vertical="center"/>
    </xf>
    <xf numFmtId="0" fontId="54" fillId="0" borderId="0" xfId="0" applyFont="1" applyAlignment="1">
      <alignment horizontal="center" vertical="center"/>
    </xf>
    <xf numFmtId="0" fontId="54" fillId="12" borderId="0" xfId="0" applyFont="1" applyFill="1" applyAlignment="1">
      <alignment horizontal="center"/>
    </xf>
    <xf numFmtId="0" fontId="35" fillId="12" borderId="0" xfId="0" applyFont="1" applyFill="1" applyAlignment="1">
      <alignment wrapText="1"/>
    </xf>
    <xf numFmtId="177" fontId="35" fillId="12" borderId="0" xfId="0" applyNumberFormat="1" applyFont="1" applyFill="1" applyAlignment="1"/>
    <xf numFmtId="0" fontId="54" fillId="12" borderId="21" xfId="0" applyFont="1" applyFill="1" applyBorder="1" applyAlignment="1">
      <alignment horizontal="center" vertical="center"/>
    </xf>
    <xf numFmtId="0" fontId="35" fillId="0" borderId="0" xfId="0" applyFont="1" applyAlignment="1">
      <alignment wrapText="1"/>
    </xf>
    <xf numFmtId="177" fontId="35" fillId="12" borderId="0" xfId="0" applyNumberFormat="1" applyFont="1" applyFill="1" applyAlignment="1">
      <alignment horizontal="center"/>
    </xf>
    <xf numFmtId="177" fontId="35" fillId="13" borderId="23" xfId="0" applyNumberFormat="1" applyFont="1" applyFill="1" applyBorder="1" applyAlignment="1" applyProtection="1">
      <alignment horizontal="center"/>
      <protection locked="0"/>
    </xf>
    <xf numFmtId="0" fontId="35" fillId="12" borderId="0" xfId="0" applyFont="1" applyFill="1" applyBorder="1" applyAlignment="1"/>
    <xf numFmtId="0" fontId="35" fillId="0" borderId="0" xfId="0" applyFont="1" applyBorder="1" applyAlignment="1"/>
    <xf numFmtId="0" fontId="35" fillId="12" borderId="26" xfId="0" applyFont="1" applyFill="1" applyBorder="1" applyAlignment="1"/>
    <xf numFmtId="0" fontId="35" fillId="12" borderId="27" xfId="0" applyFont="1" applyFill="1" applyBorder="1" applyAlignment="1"/>
    <xf numFmtId="5" fontId="35" fillId="12" borderId="1" xfId="0" applyNumberFormat="1" applyFont="1" applyFill="1" applyBorder="1" applyAlignment="1">
      <alignment horizontal="center"/>
    </xf>
    <xf numFmtId="0" fontId="35" fillId="0" borderId="21" xfId="0" applyFont="1" applyBorder="1" applyAlignment="1">
      <alignment horizontal="center" vertical="center"/>
    </xf>
    <xf numFmtId="0" fontId="54" fillId="12" borderId="0" xfId="0" applyFont="1" applyFill="1" applyBorder="1" applyAlignment="1">
      <alignment horizontal="center" wrapText="1"/>
    </xf>
    <xf numFmtId="0" fontId="54" fillId="0" borderId="0" xfId="0" applyFont="1" applyAlignment="1">
      <alignment horizontal="center" wrapText="1"/>
    </xf>
    <xf numFmtId="0" fontId="35" fillId="12" borderId="0" xfId="0" applyFont="1" applyFill="1" applyBorder="1" applyAlignment="1">
      <alignment wrapText="1"/>
    </xf>
    <xf numFmtId="172" fontId="35" fillId="13" borderId="1" xfId="0" applyNumberFormat="1" applyFont="1" applyFill="1" applyBorder="1" applyAlignment="1" applyProtection="1">
      <alignment horizontal="center"/>
      <protection locked="0"/>
    </xf>
    <xf numFmtId="178" fontId="35" fillId="12" borderId="0" xfId="0" applyNumberFormat="1" applyFont="1" applyFill="1" applyBorder="1" applyAlignment="1">
      <alignment horizontal="center"/>
    </xf>
    <xf numFmtId="178" fontId="35" fillId="0" borderId="24" xfId="0" applyNumberFormat="1" applyFont="1" applyBorder="1" applyAlignment="1">
      <alignment horizontal="center"/>
    </xf>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0" fontId="35" fillId="12" borderId="28" xfId="0" applyFont="1" applyFill="1" applyBorder="1" applyAlignment="1">
      <alignment vertical="top" wrapText="1"/>
    </xf>
    <xf numFmtId="0" fontId="35" fillId="0" borderId="0" xfId="0" applyFont="1" applyAlignment="1">
      <alignment vertical="top" wrapText="1"/>
    </xf>
    <xf numFmtId="0" fontId="35" fillId="0" borderId="24" xfId="0" applyFont="1" applyBorder="1" applyAlignment="1">
      <alignment vertical="top" wrapText="1"/>
    </xf>
    <xf numFmtId="0" fontId="35" fillId="0" borderId="24" xfId="0" applyFont="1" applyBorder="1" applyAlignment="1">
      <alignment horizontal="center"/>
    </xf>
  </cellXfs>
  <cellStyles count="417">
    <cellStyle name="Comma" xfId="1" builtinId="3"/>
    <cellStyle name="Comma 11 2" xfId="2"/>
    <cellStyle name="Comma 16" xfId="3"/>
    <cellStyle name="Comma 16 2" xfId="4"/>
    <cellStyle name="Comma 16 3" xfId="5"/>
    <cellStyle name="Comma 2 2" xfId="6"/>
    <cellStyle name="Comma 3 2" xfId="7"/>
    <cellStyle name="Comma 7" xfId="8"/>
    <cellStyle name="Comma 7 2" xfId="9"/>
    <cellStyle name="Hyperlink" xfId="10" builtinId="8"/>
    <cellStyle name="Hyperlink 2" xfId="11"/>
    <cellStyle name="Hyperlink 2 2" xfId="12"/>
    <cellStyle name="Hyperlink 2 3" xfId="13"/>
    <cellStyle name="Hyperlink 3 2" xfId="14"/>
    <cellStyle name="Hyperlink 3 3" xfId="15"/>
    <cellStyle name="Hyperlink 3 4" xfId="16"/>
    <cellStyle name="Hyperlink 4" xfId="17"/>
    <cellStyle name="Hyperlink 4 2" xfId="18"/>
    <cellStyle name="Hyperlink 7" xfId="19"/>
    <cellStyle name="Hyperlink 7 2" xfId="20"/>
    <cellStyle name="Hyperlink 7 3" xfId="21"/>
    <cellStyle name="Normal" xfId="0" builtinId="0"/>
    <cellStyle name="Normal 10" xfId="22"/>
    <cellStyle name="Normal 10 2" xfId="23"/>
    <cellStyle name="Normal 10 2 2" xfId="24"/>
    <cellStyle name="Normal 10 2 2 2" xfId="25"/>
    <cellStyle name="Normal 10 3" xfId="26"/>
    <cellStyle name="Normal 10 4" xfId="27"/>
    <cellStyle name="Normal 10 5" xfId="28"/>
    <cellStyle name="Normal 10 6" xfId="29"/>
    <cellStyle name="Normal 10 7" xfId="30"/>
    <cellStyle name="Normal 11" xfId="31"/>
    <cellStyle name="Normal 11 2" xfId="32"/>
    <cellStyle name="Normal 11 2 2" xfId="33"/>
    <cellStyle name="Normal 11 3" xfId="34"/>
    <cellStyle name="Normal 11 4" xfId="35"/>
    <cellStyle name="Normal 11 5" xfId="36"/>
    <cellStyle name="Normal 11 6" xfId="37"/>
    <cellStyle name="Normal 12" xfId="38"/>
    <cellStyle name="Normal 12 10" xfId="39"/>
    <cellStyle name="Normal 12 11" xfId="40"/>
    <cellStyle name="Normal 12 12" xfId="41"/>
    <cellStyle name="Normal 12 13" xfId="42"/>
    <cellStyle name="Normal 12 2" xfId="43"/>
    <cellStyle name="Normal 12 2 2" xfId="44"/>
    <cellStyle name="Normal 12 3" xfId="45"/>
    <cellStyle name="Normal 12 4" xfId="46"/>
    <cellStyle name="Normal 12 5" xfId="47"/>
    <cellStyle name="Normal 12 6" xfId="48"/>
    <cellStyle name="Normal 12 7" xfId="49"/>
    <cellStyle name="Normal 12 8" xfId="50"/>
    <cellStyle name="Normal 12 9" xfId="51"/>
    <cellStyle name="Normal 13" xfId="52"/>
    <cellStyle name="Normal 13 10" xfId="53"/>
    <cellStyle name="Normal 13 11" xfId="54"/>
    <cellStyle name="Normal 13 12" xfId="55"/>
    <cellStyle name="Normal 13 13" xfId="56"/>
    <cellStyle name="Normal 13 2" xfId="57"/>
    <cellStyle name="Normal 13 2 2" xfId="58"/>
    <cellStyle name="Normal 13 3" xfId="59"/>
    <cellStyle name="Normal 13 4" xfId="60"/>
    <cellStyle name="Normal 13 5" xfId="61"/>
    <cellStyle name="Normal 13 6" xfId="62"/>
    <cellStyle name="Normal 13 7" xfId="63"/>
    <cellStyle name="Normal 13 8" xfId="64"/>
    <cellStyle name="Normal 13 9" xfId="65"/>
    <cellStyle name="Normal 14" xfId="66"/>
    <cellStyle name="Normal 14 2" xfId="67"/>
    <cellStyle name="Normal 14 3" xfId="68"/>
    <cellStyle name="Normal 14 4" xfId="69"/>
    <cellStyle name="Normal 14 5" xfId="70"/>
    <cellStyle name="Normal 14 6" xfId="71"/>
    <cellStyle name="Normal 14 7" xfId="72"/>
    <cellStyle name="Normal 15" xfId="73"/>
    <cellStyle name="Normal 15 2" xfId="74"/>
    <cellStyle name="Normal 15 3" xfId="75"/>
    <cellStyle name="Normal 15 4" xfId="76"/>
    <cellStyle name="Normal 15 5" xfId="77"/>
    <cellStyle name="Normal 16" xfId="78"/>
    <cellStyle name="Normal 16 2" xfId="79"/>
    <cellStyle name="Normal 16 3" xfId="80"/>
    <cellStyle name="Normal 16 4" xfId="81"/>
    <cellStyle name="Normal 16 5" xfId="82"/>
    <cellStyle name="Normal 17" xfId="83"/>
    <cellStyle name="Normal 17 2" xfId="84"/>
    <cellStyle name="Normal 17 3" xfId="85"/>
    <cellStyle name="Normal 17 4" xfId="86"/>
    <cellStyle name="Normal 17 5" xfId="87"/>
    <cellStyle name="Normal 18" xfId="88"/>
    <cellStyle name="Normal 18 2" xfId="89"/>
    <cellStyle name="Normal 18 2 2" xfId="90"/>
    <cellStyle name="Normal 18 2 3" xfId="91"/>
    <cellStyle name="Normal 18 3" xfId="92"/>
    <cellStyle name="Normal 18 4" xfId="93"/>
    <cellStyle name="Normal 18 5" xfId="94"/>
    <cellStyle name="Normal 18 6" xfId="95"/>
    <cellStyle name="Normal 18 7" xfId="96"/>
    <cellStyle name="Normal 18 8" xfId="97"/>
    <cellStyle name="Normal 18 9" xfId="98"/>
    <cellStyle name="Normal 19" xfId="99"/>
    <cellStyle name="Normal 19 2" xfId="100"/>
    <cellStyle name="Normal 19 2 2" xfId="101"/>
    <cellStyle name="Normal 19 2 3" xfId="102"/>
    <cellStyle name="Normal 19 3" xfId="103"/>
    <cellStyle name="Normal 19 4" xfId="104"/>
    <cellStyle name="Normal 19 5" xfId="105"/>
    <cellStyle name="Normal 19 6" xfId="106"/>
    <cellStyle name="Normal 19 7" xfId="107"/>
    <cellStyle name="Normal 19 8" xfId="108"/>
    <cellStyle name="Normal 2" xfId="109"/>
    <cellStyle name="Normal 2 10" xfId="110"/>
    <cellStyle name="Normal 2 10 10" xfId="111"/>
    <cellStyle name="Normal 2 10 11" xfId="112"/>
    <cellStyle name="Normal 2 10 11 2" xfId="113"/>
    <cellStyle name="Normal 2 10 2" xfId="114"/>
    <cellStyle name="Normal 2 10 2 2" xfId="115"/>
    <cellStyle name="Normal 2 10 3" xfId="116"/>
    <cellStyle name="Normal 2 10 3 2" xfId="117"/>
    <cellStyle name="Normal 2 10 4" xfId="118"/>
    <cellStyle name="Normal 2 10 4 2" xfId="119"/>
    <cellStyle name="Normal 2 10 5" xfId="120"/>
    <cellStyle name="Normal 2 10 5 2" xfId="121"/>
    <cellStyle name="Normal 2 10 6" xfId="122"/>
    <cellStyle name="Normal 2 10 6 2" xfId="123"/>
    <cellStyle name="Normal 2 10 7" xfId="124"/>
    <cellStyle name="Normal 2 10 7 2" xfId="125"/>
    <cellStyle name="Normal 2 10 8" xfId="126"/>
    <cellStyle name="Normal 2 10 8 2" xfId="127"/>
    <cellStyle name="Normal 2 10 9" xfId="128"/>
    <cellStyle name="Normal 2 11" xfId="129"/>
    <cellStyle name="Normal 2 11 10" xfId="130"/>
    <cellStyle name="Normal 2 11 11" xfId="131"/>
    <cellStyle name="Normal 2 11 2" xfId="132"/>
    <cellStyle name="Normal 2 11 2 2" xfId="133"/>
    <cellStyle name="Normal 2 11 3" xfId="134"/>
    <cellStyle name="Normal 2 11 3 2" xfId="135"/>
    <cellStyle name="Normal 2 11 4" xfId="136"/>
    <cellStyle name="Normal 2 11 4 2" xfId="137"/>
    <cellStyle name="Normal 2 11 5" xfId="138"/>
    <cellStyle name="Normal 2 11 5 2" xfId="139"/>
    <cellStyle name="Normal 2 11 6" xfId="140"/>
    <cellStyle name="Normal 2 11 6 2" xfId="141"/>
    <cellStyle name="Normal 2 11 7" xfId="142"/>
    <cellStyle name="Normal 2 11 7 2" xfId="143"/>
    <cellStyle name="Normal 2 11 8" xfId="144"/>
    <cellStyle name="Normal 2 11 8 2" xfId="145"/>
    <cellStyle name="Normal 2 11 9" xfId="146"/>
    <cellStyle name="Normal 2 12" xfId="147"/>
    <cellStyle name="Normal 2 13" xfId="148"/>
    <cellStyle name="Normal 2 14" xfId="149"/>
    <cellStyle name="Normal 2 15" xfId="150"/>
    <cellStyle name="Normal 2 16" xfId="151"/>
    <cellStyle name="Normal 2 17" xfId="152"/>
    <cellStyle name="Normal 2 2" xfId="153"/>
    <cellStyle name="Normal 2 2 10" xfId="154"/>
    <cellStyle name="Normal 2 2 10 2" xfId="155"/>
    <cellStyle name="Normal 2 2 11" xfId="156"/>
    <cellStyle name="Normal 2 2 11 2" xfId="157"/>
    <cellStyle name="Normal 2 2 12" xfId="158"/>
    <cellStyle name="Normal 2 2 12 2" xfId="159"/>
    <cellStyle name="Normal 2 2 12 2 2" xfId="160"/>
    <cellStyle name="Normal 2 2 13" xfId="161"/>
    <cellStyle name="Normal 2 2 13 2" xfId="162"/>
    <cellStyle name="Normal 2 2 13 2 2" xfId="163"/>
    <cellStyle name="Normal 2 2 14" xfId="164"/>
    <cellStyle name="Normal 2 2 14 2" xfId="165"/>
    <cellStyle name="Normal 2 2 15" xfId="166"/>
    <cellStyle name="Normal 2 2 15 2" xfId="167"/>
    <cellStyle name="Normal 2 2 16" xfId="168"/>
    <cellStyle name="Normal 2 2 16 2" xfId="169"/>
    <cellStyle name="Normal 2 2 16 3" xfId="170"/>
    <cellStyle name="Normal 2 2 17" xfId="171"/>
    <cellStyle name="Normal 2 2 18" xfId="172"/>
    <cellStyle name="Normal 2 2 19" xfId="173"/>
    <cellStyle name="Normal 2 2 2" xfId="174"/>
    <cellStyle name="Normal 2 2 2 2" xfId="175"/>
    <cellStyle name="Normal 2 2 2 2 2" xfId="176"/>
    <cellStyle name="Normal 2 2 2 2 3" xfId="177"/>
    <cellStyle name="Normal 2 2 2 3" xfId="178"/>
    <cellStyle name="Normal 2 2 2 3 2" xfId="179"/>
    <cellStyle name="Normal 2 2 2 4" xfId="180"/>
    <cellStyle name="Normal 2 2 2 4 2" xfId="181"/>
    <cellStyle name="Normal 2 2 2 5" xfId="182"/>
    <cellStyle name="Normal 2 2 2 5 2" xfId="183"/>
    <cellStyle name="Normal 2 2 2 6" xfId="184"/>
    <cellStyle name="Normal 2 2 2 6 2" xfId="185"/>
    <cellStyle name="Normal 2 2 2 7" xfId="186"/>
    <cellStyle name="Normal 2 2 2 8" xfId="187"/>
    <cellStyle name="Normal 2 2 20" xfId="188"/>
    <cellStyle name="Normal 2 2 21" xfId="189"/>
    <cellStyle name="Normal 2 2 22" xfId="190"/>
    <cellStyle name="Normal 2 2 3" xfId="191"/>
    <cellStyle name="Normal 2 2 3 2" xfId="192"/>
    <cellStyle name="Normal 2 2 4" xfId="193"/>
    <cellStyle name="Normal 2 2 4 2" xfId="194"/>
    <cellStyle name="Normal 2 2 5" xfId="195"/>
    <cellStyle name="Normal 2 2 5 2" xfId="196"/>
    <cellStyle name="Normal 2 2 6" xfId="197"/>
    <cellStyle name="Normal 2 2 6 2" xfId="198"/>
    <cellStyle name="Normal 2 2 7" xfId="199"/>
    <cellStyle name="Normal 2 2 7 2" xfId="200"/>
    <cellStyle name="Normal 2 2 8" xfId="201"/>
    <cellStyle name="Normal 2 2 8 2" xfId="202"/>
    <cellStyle name="Normal 2 2 9" xfId="203"/>
    <cellStyle name="Normal 2 2 9 2" xfId="204"/>
    <cellStyle name="Normal 2 3" xfId="205"/>
    <cellStyle name="Normal 2 3 10" xfId="206"/>
    <cellStyle name="Normal 2 3 11" xfId="207"/>
    <cellStyle name="Normal 2 3 12" xfId="208"/>
    <cellStyle name="Normal 2 3 13" xfId="209"/>
    <cellStyle name="Normal 2 3 14" xfId="210"/>
    <cellStyle name="Normal 2 3 15" xfId="211"/>
    <cellStyle name="Normal 2 3 2" xfId="212"/>
    <cellStyle name="Normal 2 3 2 2" xfId="213"/>
    <cellStyle name="Normal 2 3 2 2 2" xfId="214"/>
    <cellStyle name="Normal 2 3 2 2 3" xfId="215"/>
    <cellStyle name="Normal 2 3 2 3" xfId="216"/>
    <cellStyle name="Normal 2 3 2 4" xfId="217"/>
    <cellStyle name="Normal 2 3 3" xfId="218"/>
    <cellStyle name="Normal 2 3 3 2" xfId="219"/>
    <cellStyle name="Normal 2 3 3 3" xfId="220"/>
    <cellStyle name="Normal 2 3 4" xfId="221"/>
    <cellStyle name="Normal 2 3 5" xfId="222"/>
    <cellStyle name="Normal 2 3 6" xfId="223"/>
    <cellStyle name="Normal 2 3 7" xfId="224"/>
    <cellStyle name="Normal 2 3 8" xfId="225"/>
    <cellStyle name="Normal 2 3 9" xfId="226"/>
    <cellStyle name="Normal 2 4" xfId="227"/>
    <cellStyle name="Normal 2 4 10" xfId="228"/>
    <cellStyle name="Normal 2 4 11" xfId="229"/>
    <cellStyle name="Normal 2 4 12" xfId="230"/>
    <cellStyle name="Normal 2 4 13" xfId="231"/>
    <cellStyle name="Normal 2 4 2" xfId="232"/>
    <cellStyle name="Normal 2 4 2 2" xfId="233"/>
    <cellStyle name="Normal 2 4 2 2 2" xfId="234"/>
    <cellStyle name="Normal 2 4 2 2 3" xfId="235"/>
    <cellStyle name="Normal 2 4 2 3" xfId="236"/>
    <cellStyle name="Normal 2 4 2 4" xfId="237"/>
    <cellStyle name="Normal 2 4 3" xfId="238"/>
    <cellStyle name="Normal 2 4 3 2" xfId="239"/>
    <cellStyle name="Normal 2 4 3 3" xfId="240"/>
    <cellStyle name="Normal 2 4 4" xfId="241"/>
    <cellStyle name="Normal 2 4 5" xfId="242"/>
    <cellStyle name="Normal 2 4 6" xfId="243"/>
    <cellStyle name="Normal 2 4 7" xfId="244"/>
    <cellStyle name="Normal 2 4 8" xfId="245"/>
    <cellStyle name="Normal 2 4 9" xfId="246"/>
    <cellStyle name="Normal 2 5" xfId="247"/>
    <cellStyle name="Normal 2 5 10" xfId="248"/>
    <cellStyle name="Normal 2 5 11" xfId="249"/>
    <cellStyle name="Normal 2 5 12" xfId="250"/>
    <cellStyle name="Normal 2 5 12 2" xfId="251"/>
    <cellStyle name="Normal 2 5 2" xfId="252"/>
    <cellStyle name="Normal 2 5 2 2" xfId="253"/>
    <cellStyle name="Normal 2 5 3" xfId="254"/>
    <cellStyle name="Normal 2 5 3 2" xfId="255"/>
    <cellStyle name="Normal 2 5 4" xfId="256"/>
    <cellStyle name="Normal 2 5 5" xfId="257"/>
    <cellStyle name="Normal 2 5 6" xfId="258"/>
    <cellStyle name="Normal 2 5 7" xfId="259"/>
    <cellStyle name="Normal 2 5 8" xfId="260"/>
    <cellStyle name="Normal 2 5 9" xfId="261"/>
    <cellStyle name="Normal 2 6" xfId="262"/>
    <cellStyle name="Normal 2 6 10" xfId="263"/>
    <cellStyle name="Normal 2 6 11" xfId="264"/>
    <cellStyle name="Normal 2 6 12" xfId="265"/>
    <cellStyle name="Normal 2 6 2" xfId="266"/>
    <cellStyle name="Normal 2 6 2 2" xfId="267"/>
    <cellStyle name="Normal 2 6 3" xfId="268"/>
    <cellStyle name="Normal 2 6 3 2" xfId="269"/>
    <cellStyle name="Normal 2 6 4" xfId="270"/>
    <cellStyle name="Normal 2 6 5" xfId="271"/>
    <cellStyle name="Normal 2 6 6" xfId="272"/>
    <cellStyle name="Normal 2 6 7" xfId="273"/>
    <cellStyle name="Normal 2 6 8" xfId="274"/>
    <cellStyle name="Normal 2 6 9" xfId="275"/>
    <cellStyle name="Normal 2 7" xfId="276"/>
    <cellStyle name="Normal 2 7 10" xfId="277"/>
    <cellStyle name="Normal 2 7 11" xfId="278"/>
    <cellStyle name="Normal 2 7 2" xfId="279"/>
    <cellStyle name="Normal 2 7 2 2" xfId="280"/>
    <cellStyle name="Normal 2 7 2 3" xfId="281"/>
    <cellStyle name="Normal 2 7 3" xfId="282"/>
    <cellStyle name="Normal 2 7 3 2" xfId="283"/>
    <cellStyle name="Normal 2 7 4" xfId="284"/>
    <cellStyle name="Normal 2 7 4 2" xfId="285"/>
    <cellStyle name="Normal 2 7 5" xfId="286"/>
    <cellStyle name="Normal 2 7 5 2" xfId="287"/>
    <cellStyle name="Normal 2 7 6" xfId="288"/>
    <cellStyle name="Normal 2 7 6 2" xfId="289"/>
    <cellStyle name="Normal 2 7 7" xfId="290"/>
    <cellStyle name="Normal 2 7 7 2" xfId="291"/>
    <cellStyle name="Normal 2 7 8" xfId="292"/>
    <cellStyle name="Normal 2 7 8 2" xfId="293"/>
    <cellStyle name="Normal 2 7 9" xfId="294"/>
    <cellStyle name="Normal 2 8" xfId="295"/>
    <cellStyle name="Normal 2 8 10" xfId="296"/>
    <cellStyle name="Normal 2 8 11" xfId="297"/>
    <cellStyle name="Normal 2 8 2" xfId="298"/>
    <cellStyle name="Normal 2 8 2 2" xfId="299"/>
    <cellStyle name="Normal 2 8 3" xfId="300"/>
    <cellStyle name="Normal 2 8 3 2" xfId="301"/>
    <cellStyle name="Normal 2 8 4" xfId="302"/>
    <cellStyle name="Normal 2 8 4 2" xfId="303"/>
    <cellStyle name="Normal 2 8 5" xfId="304"/>
    <cellStyle name="Normal 2 8 5 2" xfId="305"/>
    <cellStyle name="Normal 2 8 6" xfId="306"/>
    <cellStyle name="Normal 2 8 6 2" xfId="307"/>
    <cellStyle name="Normal 2 8 7" xfId="308"/>
    <cellStyle name="Normal 2 8 7 2" xfId="309"/>
    <cellStyle name="Normal 2 8 8" xfId="310"/>
    <cellStyle name="Normal 2 8 8 2" xfId="311"/>
    <cellStyle name="Normal 2 8 9" xfId="312"/>
    <cellStyle name="Normal 2 9" xfId="313"/>
    <cellStyle name="Normal 2 9 10" xfId="314"/>
    <cellStyle name="Normal 2 9 11" xfId="315"/>
    <cellStyle name="Normal 2 9 2" xfId="316"/>
    <cellStyle name="Normal 2 9 2 2" xfId="317"/>
    <cellStyle name="Normal 2 9 3" xfId="318"/>
    <cellStyle name="Normal 2 9 3 2" xfId="319"/>
    <cellStyle name="Normal 2 9 4" xfId="320"/>
    <cellStyle name="Normal 2 9 4 2" xfId="321"/>
    <cellStyle name="Normal 2 9 5" xfId="322"/>
    <cellStyle name="Normal 2 9 5 2" xfId="323"/>
    <cellStyle name="Normal 2 9 6" xfId="324"/>
    <cellStyle name="Normal 2 9 6 2" xfId="325"/>
    <cellStyle name="Normal 2 9 7" xfId="326"/>
    <cellStyle name="Normal 2 9 7 2" xfId="327"/>
    <cellStyle name="Normal 2 9 8" xfId="328"/>
    <cellStyle name="Normal 2 9 8 2" xfId="329"/>
    <cellStyle name="Normal 2 9 9" xfId="330"/>
    <cellStyle name="Normal 20" xfId="331"/>
    <cellStyle name="Normal 20 2" xfId="332"/>
    <cellStyle name="Normal 20 3" xfId="333"/>
    <cellStyle name="Normal 21" xfId="334"/>
    <cellStyle name="Normal 21 2" xfId="335"/>
    <cellStyle name="Normal 21 3" xfId="336"/>
    <cellStyle name="Normal 22" xfId="337"/>
    <cellStyle name="Normal 22 2" xfId="338"/>
    <cellStyle name="Normal 22 3" xfId="339"/>
    <cellStyle name="Normal 23" xfId="340"/>
    <cellStyle name="Normal 23 2" xfId="341"/>
    <cellStyle name="Normal 23 3" xfId="342"/>
    <cellStyle name="Normal 24" xfId="343"/>
    <cellStyle name="Normal 24 2" xfId="344"/>
    <cellStyle name="Normal 24 3" xfId="345"/>
    <cellStyle name="Normal 25" xfId="346"/>
    <cellStyle name="Normal 25 2" xfId="347"/>
    <cellStyle name="Normal 25 3" xfId="348"/>
    <cellStyle name="Normal 26" xfId="349"/>
    <cellStyle name="Normal 3" xfId="350"/>
    <cellStyle name="Normal 3 10" xfId="351"/>
    <cellStyle name="Normal 3 2" xfId="352"/>
    <cellStyle name="Normal 3 2 2" xfId="353"/>
    <cellStyle name="Normal 3 2 2 2" xfId="354"/>
    <cellStyle name="Normal 3 2 3" xfId="355"/>
    <cellStyle name="Normal 3 2 4" xfId="356"/>
    <cellStyle name="Normal 3 3" xfId="357"/>
    <cellStyle name="Normal 3 3 2" xfId="358"/>
    <cellStyle name="Normal 3 3 2 2" xfId="359"/>
    <cellStyle name="Normal 3 3 3" xfId="360"/>
    <cellStyle name="Normal 3 4" xfId="361"/>
    <cellStyle name="Normal 3 5" xfId="362"/>
    <cellStyle name="Normal 3 6" xfId="363"/>
    <cellStyle name="Normal 3 7" xfId="364"/>
    <cellStyle name="Normal 3 8" xfId="365"/>
    <cellStyle name="Normal 3 9" xfId="366"/>
    <cellStyle name="Normal 4" xfId="367"/>
    <cellStyle name="Normal 4 2" xfId="368"/>
    <cellStyle name="Normal 4 2 2" xfId="369"/>
    <cellStyle name="Normal 4 2 2 2" xfId="370"/>
    <cellStyle name="Normal 4 2 3" xfId="371"/>
    <cellStyle name="Normal 4 2 4" xfId="372"/>
    <cellStyle name="Normal 4 3" xfId="373"/>
    <cellStyle name="Normal 4 3 2" xfId="374"/>
    <cellStyle name="Normal 4 3 3" xfId="375"/>
    <cellStyle name="Normal 4 4" xfId="376"/>
    <cellStyle name="Normal 4 5" xfId="377"/>
    <cellStyle name="Normal 4 6" xfId="378"/>
    <cellStyle name="Normal 5" xfId="379"/>
    <cellStyle name="Normal 5 2" xfId="380"/>
    <cellStyle name="Normal 5 3" xfId="381"/>
    <cellStyle name="Normal 5 3 2" xfId="382"/>
    <cellStyle name="Normal 5 3 3" xfId="383"/>
    <cellStyle name="Normal 5 4" xfId="384"/>
    <cellStyle name="Normal 5 5" xfId="385"/>
    <cellStyle name="Normal 5 6" xfId="386"/>
    <cellStyle name="Normal 6" xfId="387"/>
    <cellStyle name="Normal 6 2" xfId="388"/>
    <cellStyle name="Normal 6 3" xfId="389"/>
    <cellStyle name="Normal 6 4" xfId="390"/>
    <cellStyle name="Normal 6 5" xfId="391"/>
    <cellStyle name="Normal 7 2" xfId="392"/>
    <cellStyle name="Normal 7 2 2" xfId="393"/>
    <cellStyle name="Normal 7 2 2 2" xfId="394"/>
    <cellStyle name="Normal 7 2 3" xfId="395"/>
    <cellStyle name="Normal 7 2 4" xfId="396"/>
    <cellStyle name="Normal 7 3" xfId="397"/>
    <cellStyle name="Normal 7 4" xfId="398"/>
    <cellStyle name="Normal 7 4 2" xfId="399"/>
    <cellStyle name="Normal 7 4 3" xfId="400"/>
    <cellStyle name="Normal 7 5" xfId="401"/>
    <cellStyle name="Normal 7 5 2" xfId="402"/>
    <cellStyle name="Normal 7 5 3" xfId="403"/>
    <cellStyle name="Normal 7 6" xfId="404"/>
    <cellStyle name="Normal 8" xfId="405"/>
    <cellStyle name="Normal 8 2" xfId="406"/>
    <cellStyle name="Normal 8 3" xfId="407"/>
    <cellStyle name="Normal 9" xfId="408"/>
    <cellStyle name="Normal 9 2" xfId="409"/>
    <cellStyle name="Normal 9 2 2" xfId="410"/>
    <cellStyle name="Normal 9 3" xfId="411"/>
    <cellStyle name="Normal 9 4" xfId="412"/>
    <cellStyle name="Normal 9 5" xfId="413"/>
    <cellStyle name="Normal 9 6" xfId="414"/>
    <cellStyle name="Normal_debt" xfId="415"/>
    <cellStyle name="Normal_lpform" xfId="416"/>
  </cellStyles>
  <dxfs count="129">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peter.haxton@library.ks.go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1"/>
  <sheetViews>
    <sheetView zoomScaleNormal="100" workbookViewId="0">
      <selection activeCell="D14" sqref="D14"/>
    </sheetView>
  </sheetViews>
  <sheetFormatPr defaultRowHeight="15.75" x14ac:dyDescent="0.25"/>
  <cols>
    <col min="1" max="1" width="81.59765625" style="80" customWidth="1"/>
    <col min="2" max="16384" width="8.796875" style="80"/>
  </cols>
  <sheetData>
    <row r="1" spans="1:1" x14ac:dyDescent="0.25">
      <c r="A1" s="336" t="s">
        <v>187</v>
      </c>
    </row>
    <row r="3" spans="1:1" ht="34.5" customHeight="1" x14ac:dyDescent="0.25">
      <c r="A3" s="335" t="s">
        <v>178</v>
      </c>
    </row>
    <row r="4" spans="1:1" x14ac:dyDescent="0.25">
      <c r="A4" s="338"/>
    </row>
    <row r="5" spans="1:1" ht="52.5" customHeight="1" x14ac:dyDescent="0.25">
      <c r="A5" s="334" t="s">
        <v>325</v>
      </c>
    </row>
    <row r="6" spans="1:1" x14ac:dyDescent="0.25">
      <c r="A6" s="334"/>
    </row>
    <row r="7" spans="1:1" ht="34.5" customHeight="1" x14ac:dyDescent="0.25">
      <c r="A7" s="334" t="s">
        <v>854</v>
      </c>
    </row>
    <row r="8" spans="1:1" x14ac:dyDescent="0.25">
      <c r="A8" s="334"/>
    </row>
    <row r="9" spans="1:1" x14ac:dyDescent="0.25">
      <c r="A9" s="334" t="s">
        <v>179</v>
      </c>
    </row>
    <row r="12" spans="1:1" x14ac:dyDescent="0.25">
      <c r="A12" s="336" t="s">
        <v>222</v>
      </c>
    </row>
    <row r="13" spans="1:1" x14ac:dyDescent="0.25">
      <c r="A13" s="336"/>
    </row>
    <row r="14" spans="1:1" ht="18.75" customHeight="1" x14ac:dyDescent="0.25">
      <c r="A14" s="338" t="s">
        <v>224</v>
      </c>
    </row>
    <row r="16" spans="1:1" ht="39" customHeight="1" x14ac:dyDescent="0.25">
      <c r="A16" s="339" t="s">
        <v>356</v>
      </c>
    </row>
    <row r="17" spans="1:1" ht="9.75" customHeight="1" x14ac:dyDescent="0.25">
      <c r="A17" s="339"/>
    </row>
    <row r="20" spans="1:1" x14ac:dyDescent="0.25">
      <c r="A20" s="336" t="s">
        <v>180</v>
      </c>
    </row>
    <row r="22" spans="1:1" ht="34.5" customHeight="1" x14ac:dyDescent="0.25">
      <c r="A22" s="334" t="s">
        <v>225</v>
      </c>
    </row>
    <row r="23" spans="1:1" ht="9.75" customHeight="1" x14ac:dyDescent="0.25">
      <c r="A23" s="334"/>
    </row>
    <row r="24" spans="1:1" x14ac:dyDescent="0.25">
      <c r="A24" s="340" t="s">
        <v>181</v>
      </c>
    </row>
    <row r="25" spans="1:1" x14ac:dyDescent="0.25">
      <c r="A25" s="334"/>
    </row>
    <row r="26" spans="1:1" ht="17.25" customHeight="1" x14ac:dyDescent="0.25">
      <c r="A26" s="341" t="s">
        <v>182</v>
      </c>
    </row>
    <row r="27" spans="1:1" ht="17.25" customHeight="1" x14ac:dyDescent="0.25">
      <c r="A27" s="342"/>
    </row>
    <row r="28" spans="1:1" ht="87.75" customHeight="1" x14ac:dyDescent="0.25">
      <c r="A28" s="343" t="s">
        <v>203</v>
      </c>
    </row>
    <row r="30" spans="1:1" x14ac:dyDescent="0.25">
      <c r="A30" s="344" t="s">
        <v>183</v>
      </c>
    </row>
    <row r="32" spans="1:1" x14ac:dyDescent="0.25">
      <c r="A32" s="121" t="s">
        <v>223</v>
      </c>
    </row>
    <row r="34" spans="1:1" x14ac:dyDescent="0.25">
      <c r="A34" s="334" t="s">
        <v>184</v>
      </c>
    </row>
    <row r="37" spans="1:1" x14ac:dyDescent="0.25">
      <c r="A37" s="336" t="s">
        <v>185</v>
      </c>
    </row>
    <row r="39" spans="1:1" ht="68.25" customHeight="1" x14ac:dyDescent="0.25">
      <c r="A39" s="334" t="s">
        <v>926</v>
      </c>
    </row>
    <row r="40" spans="1:1" ht="32.25" customHeight="1" x14ac:dyDescent="0.25">
      <c r="A40" s="742" t="s">
        <v>855</v>
      </c>
    </row>
    <row r="41" spans="1:1" ht="51.75" customHeight="1" x14ac:dyDescent="0.25">
      <c r="A41" s="743" t="s">
        <v>856</v>
      </c>
    </row>
    <row r="42" spans="1:1" ht="88.5" customHeight="1" x14ac:dyDescent="0.25">
      <c r="A42" s="743" t="s">
        <v>858</v>
      </c>
    </row>
    <row r="43" spans="1:1" ht="10.5" customHeight="1" x14ac:dyDescent="0.25">
      <c r="A43" s="334"/>
    </row>
    <row r="44" spans="1:1" ht="65.25" customHeight="1" x14ac:dyDescent="0.25">
      <c r="A44" s="334" t="s">
        <v>722</v>
      </c>
    </row>
    <row r="45" spans="1:1" ht="59.25" customHeight="1" x14ac:dyDescent="0.25">
      <c r="A45" s="334" t="s">
        <v>186</v>
      </c>
    </row>
    <row r="46" spans="1:1" ht="84.75" customHeight="1" x14ac:dyDescent="0.25">
      <c r="A46" s="334" t="s">
        <v>262</v>
      </c>
    </row>
    <row r="47" spans="1:1" ht="12" customHeight="1" x14ac:dyDescent="0.25">
      <c r="A47" s="334"/>
    </row>
    <row r="48" spans="1:1" ht="67.5" customHeight="1" x14ac:dyDescent="0.25">
      <c r="A48" s="744" t="s">
        <v>859</v>
      </c>
    </row>
    <row r="49" spans="1:1" ht="69.95" customHeight="1" x14ac:dyDescent="0.25">
      <c r="A49" s="368" t="s">
        <v>594</v>
      </c>
    </row>
    <row r="50" spans="1:1" ht="54" customHeight="1" x14ac:dyDescent="0.25">
      <c r="A50" s="745" t="s">
        <v>860</v>
      </c>
    </row>
    <row r="51" spans="1:1" ht="12" customHeight="1" x14ac:dyDescent="0.25">
      <c r="A51" s="334"/>
    </row>
    <row r="52" spans="1:1" ht="68.25" customHeight="1" x14ac:dyDescent="0.25">
      <c r="A52" s="334" t="s">
        <v>595</v>
      </c>
    </row>
    <row r="53" spans="1:1" ht="74.25" customHeight="1" x14ac:dyDescent="0.25">
      <c r="A53" s="334" t="s">
        <v>596</v>
      </c>
    </row>
    <row r="54" spans="1:1" ht="45" customHeight="1" x14ac:dyDescent="0.25">
      <c r="A54" s="334" t="s">
        <v>861</v>
      </c>
    </row>
    <row r="55" spans="1:1" ht="72" customHeight="1" x14ac:dyDescent="0.25">
      <c r="A55" s="742" t="s">
        <v>862</v>
      </c>
    </row>
    <row r="56" spans="1:1" ht="15.75" customHeight="1" x14ac:dyDescent="0.25"/>
    <row r="57" spans="1:1" ht="80.25" customHeight="1" x14ac:dyDescent="0.25">
      <c r="A57" s="334" t="s">
        <v>597</v>
      </c>
    </row>
    <row r="58" spans="1:1" ht="40.5" customHeight="1" x14ac:dyDescent="0.25">
      <c r="A58" s="334" t="s">
        <v>598</v>
      </c>
    </row>
    <row r="59" spans="1:1" ht="45" customHeight="1" x14ac:dyDescent="0.25">
      <c r="A59" s="334" t="s">
        <v>599</v>
      </c>
    </row>
    <row r="60" spans="1:1" x14ac:dyDescent="0.25">
      <c r="A60" s="334"/>
    </row>
    <row r="61" spans="1:1" ht="68.25" customHeight="1" x14ac:dyDescent="0.25">
      <c r="A61" s="742" t="s">
        <v>863</v>
      </c>
    </row>
    <row r="62" spans="1:1" x14ac:dyDescent="0.25">
      <c r="A62" s="334"/>
    </row>
    <row r="63" spans="1:1" ht="40.5" customHeight="1" x14ac:dyDescent="0.25">
      <c r="A63" s="334" t="s">
        <v>600</v>
      </c>
    </row>
    <row r="64" spans="1:1" ht="34.5" customHeight="1" x14ac:dyDescent="0.25">
      <c r="A64" s="334" t="s">
        <v>608</v>
      </c>
    </row>
    <row r="65" spans="1:1" ht="77.25" customHeight="1" x14ac:dyDescent="0.25">
      <c r="A65" s="334" t="s">
        <v>609</v>
      </c>
    </row>
    <row r="66" spans="1:1" ht="41.25" customHeight="1" x14ac:dyDescent="0.25">
      <c r="A66" s="334" t="s">
        <v>606</v>
      </c>
    </row>
    <row r="67" spans="1:1" ht="41.25" customHeight="1" x14ac:dyDescent="0.25">
      <c r="A67" s="334" t="s">
        <v>607</v>
      </c>
    </row>
    <row r="68" spans="1:1" ht="9" customHeight="1" x14ac:dyDescent="0.25">
      <c r="A68" s="334"/>
    </row>
    <row r="69" spans="1:1" ht="58.5" customHeight="1" x14ac:dyDescent="0.25">
      <c r="A69" s="334" t="s">
        <v>601</v>
      </c>
    </row>
    <row r="70" spans="1:1" ht="9.75" customHeight="1" x14ac:dyDescent="0.25"/>
    <row r="71" spans="1:1" s="334" customFormat="1" ht="69" customHeight="1" x14ac:dyDescent="0.25">
      <c r="A71" s="334" t="s">
        <v>602</v>
      </c>
    </row>
    <row r="72" spans="1:1" ht="14.25" customHeight="1" x14ac:dyDescent="0.25"/>
    <row r="73" spans="1:1" ht="121.5" customHeight="1" x14ac:dyDescent="0.25">
      <c r="A73" s="742" t="s">
        <v>864</v>
      </c>
    </row>
    <row r="74" spans="1:1" ht="12" customHeight="1" x14ac:dyDescent="0.25">
      <c r="A74" s="742"/>
    </row>
    <row r="75" spans="1:1" ht="70.5" customHeight="1" x14ac:dyDescent="0.25">
      <c r="A75" s="334" t="s">
        <v>865</v>
      </c>
    </row>
    <row r="76" spans="1:1" ht="60.75" customHeight="1" x14ac:dyDescent="0.25">
      <c r="A76" s="742" t="s">
        <v>866</v>
      </c>
    </row>
    <row r="77" spans="1:1" ht="90.75" customHeight="1" x14ac:dyDescent="0.25">
      <c r="A77" s="542" t="s">
        <v>867</v>
      </c>
    </row>
    <row r="78" spans="1:1" ht="60.75" customHeight="1" x14ac:dyDescent="0.25">
      <c r="A78" s="542" t="s">
        <v>868</v>
      </c>
    </row>
    <row r="79" spans="1:1" ht="60.75" customHeight="1" x14ac:dyDescent="0.25">
      <c r="A79" s="542" t="s">
        <v>869</v>
      </c>
    </row>
    <row r="80" spans="1:1" ht="60" customHeight="1" x14ac:dyDescent="0.25">
      <c r="A80" s="334" t="s">
        <v>872</v>
      </c>
    </row>
    <row r="81" spans="1:1" ht="117.75" customHeight="1" x14ac:dyDescent="0.25">
      <c r="A81" s="334" t="s">
        <v>870</v>
      </c>
    </row>
    <row r="82" spans="1:1" ht="59.25" customHeight="1" x14ac:dyDescent="0.25">
      <c r="A82" s="334" t="s">
        <v>871</v>
      </c>
    </row>
    <row r="83" spans="1:1" ht="84.75" customHeight="1" x14ac:dyDescent="0.25">
      <c r="A83" s="334" t="s">
        <v>873</v>
      </c>
    </row>
    <row r="84" spans="1:1" ht="102.75" customHeight="1" x14ac:dyDescent="0.25">
      <c r="A84" s="334" t="s">
        <v>874</v>
      </c>
    </row>
    <row r="85" spans="1:1" ht="102.75" customHeight="1" x14ac:dyDescent="0.25">
      <c r="A85" s="345" t="s">
        <v>875</v>
      </c>
    </row>
    <row r="86" spans="1:1" ht="54" customHeight="1" x14ac:dyDescent="0.25">
      <c r="A86" s="337" t="s">
        <v>876</v>
      </c>
    </row>
    <row r="87" spans="1:1" ht="115.5" customHeight="1" x14ac:dyDescent="0.25">
      <c r="A87" s="334" t="s">
        <v>927</v>
      </c>
    </row>
    <row r="88" spans="1:1" ht="78" customHeight="1" x14ac:dyDescent="0.25">
      <c r="A88" s="345" t="s">
        <v>877</v>
      </c>
    </row>
    <row r="89" spans="1:1" ht="124.5" customHeight="1" x14ac:dyDescent="0.25">
      <c r="A89" s="345" t="s">
        <v>928</v>
      </c>
    </row>
    <row r="90" spans="1:1" ht="138" customHeight="1" x14ac:dyDescent="0.25">
      <c r="A90" s="334" t="s">
        <v>878</v>
      </c>
    </row>
    <row r="91" spans="1:1" ht="147" customHeight="1" x14ac:dyDescent="0.25">
      <c r="A91" s="334" t="s">
        <v>879</v>
      </c>
    </row>
    <row r="92" spans="1:1" ht="101.25" customHeight="1" x14ac:dyDescent="0.25">
      <c r="A92" s="334" t="s">
        <v>880</v>
      </c>
    </row>
    <row r="94" spans="1:1" ht="102.75" customHeight="1" x14ac:dyDescent="0.25">
      <c r="A94" s="334" t="s">
        <v>881</v>
      </c>
    </row>
    <row r="95" spans="1:1" ht="89.25" customHeight="1" x14ac:dyDescent="0.25">
      <c r="A95" s="345" t="s">
        <v>882</v>
      </c>
    </row>
    <row r="96" spans="1:1" ht="57" customHeight="1" x14ac:dyDescent="0.25">
      <c r="A96" s="345" t="s">
        <v>883</v>
      </c>
    </row>
    <row r="97" spans="1:1" ht="20.25" customHeight="1" x14ac:dyDescent="0.25">
      <c r="A97" s="334" t="s">
        <v>884</v>
      </c>
    </row>
    <row r="99" spans="1:1" ht="53.25" customHeight="1" x14ac:dyDescent="0.25">
      <c r="A99" s="334" t="s">
        <v>885</v>
      </c>
    </row>
    <row r="100" spans="1:1" ht="21" customHeight="1" x14ac:dyDescent="0.25">
      <c r="A100" s="334" t="s">
        <v>886</v>
      </c>
    </row>
    <row r="101" spans="1:1" ht="39.75" customHeight="1" x14ac:dyDescent="0.25">
      <c r="A101" s="542" t="s">
        <v>887</v>
      </c>
    </row>
    <row r="102" spans="1:1" ht="103.5" customHeight="1" x14ac:dyDescent="0.25">
      <c r="A102" s="542" t="s">
        <v>888</v>
      </c>
    </row>
    <row r="103" spans="1:1" ht="114" customHeight="1" x14ac:dyDescent="0.25">
      <c r="A103" s="542" t="s">
        <v>889</v>
      </c>
    </row>
    <row r="104" spans="1:1" ht="74.25" customHeight="1" x14ac:dyDescent="0.25">
      <c r="A104" s="746" t="s">
        <v>891</v>
      </c>
    </row>
    <row r="105" spans="1:1" ht="51.75" customHeight="1" x14ac:dyDescent="0.25">
      <c r="A105" s="334" t="s">
        <v>890</v>
      </c>
    </row>
    <row r="106" spans="1:1" ht="14.25" customHeight="1" x14ac:dyDescent="0.25"/>
    <row r="107" spans="1:1" ht="69.75" customHeight="1" x14ac:dyDescent="0.25">
      <c r="A107" s="334" t="s">
        <v>892</v>
      </c>
    </row>
    <row r="109" spans="1:1" ht="54" customHeight="1" x14ac:dyDescent="0.25">
      <c r="A109" s="542" t="s">
        <v>893</v>
      </c>
    </row>
    <row r="110" spans="1:1" ht="85.5" customHeight="1" x14ac:dyDescent="0.25">
      <c r="A110" s="542" t="s">
        <v>894</v>
      </c>
    </row>
    <row r="111" spans="1:1" ht="99" customHeight="1" x14ac:dyDescent="0.25">
      <c r="A111" s="542" t="s">
        <v>895</v>
      </c>
    </row>
  </sheetData>
  <sheetProtection sheet="1"/>
  <phoneticPr fontId="0" type="noConversion"/>
  <pageMargins left="0.5" right="0.5" top="0.5" bottom="0.5" header="0.5" footer="0"/>
  <pageSetup fitToHeight="2"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9"/>
  <sheetViews>
    <sheetView zoomScale="75" workbookViewId="0">
      <selection activeCell="F13" sqref="F13"/>
    </sheetView>
  </sheetViews>
  <sheetFormatPr defaultRowHeight="15.75" x14ac:dyDescent="0.25"/>
  <cols>
    <col min="1" max="1" width="8.796875" style="168"/>
    <col min="2" max="2" width="18.69921875" style="168" customWidth="1"/>
    <col min="3" max="3" width="8.796875" style="168"/>
    <col min="4" max="4" width="7.8984375" style="168" customWidth="1"/>
    <col min="5" max="5" width="8.796875" style="168"/>
    <col min="6" max="6" width="16.19921875" style="168" customWidth="1"/>
    <col min="7" max="16384" width="8.796875" style="168"/>
  </cols>
  <sheetData>
    <row r="1" spans="2:12" x14ac:dyDescent="0.25">
      <c r="B1" s="166" t="str">
        <f>inputPrYr!$D$2</f>
        <v>Delhi Township</v>
      </c>
      <c r="C1" s="167"/>
      <c r="D1" s="167"/>
      <c r="E1" s="167"/>
      <c r="F1" s="167"/>
      <c r="G1" s="167"/>
      <c r="H1" s="167"/>
      <c r="I1" s="167"/>
      <c r="J1" s="14"/>
      <c r="K1" s="14"/>
      <c r="L1" s="15">
        <f>inputPrYr!D5</f>
        <v>2013</v>
      </c>
    </row>
    <row r="2" spans="2:12" x14ac:dyDescent="0.25">
      <c r="B2" s="166" t="str">
        <f>inputPrYr!$D$3</f>
        <v>Osborne County</v>
      </c>
      <c r="C2" s="167"/>
      <c r="D2" s="167"/>
      <c r="E2" s="167"/>
      <c r="F2" s="167"/>
      <c r="G2" s="167"/>
      <c r="H2" s="167"/>
      <c r="I2" s="167"/>
      <c r="J2" s="14"/>
      <c r="K2" s="14"/>
      <c r="L2" s="52"/>
    </row>
    <row r="3" spans="2:12" x14ac:dyDescent="0.25">
      <c r="B3" s="169" t="s">
        <v>74</v>
      </c>
      <c r="C3" s="170"/>
      <c r="D3" s="170"/>
      <c r="E3" s="145"/>
      <c r="F3" s="170"/>
      <c r="G3" s="170"/>
      <c r="H3" s="170"/>
      <c r="I3" s="170"/>
      <c r="J3" s="170"/>
      <c r="K3" s="170"/>
      <c r="L3" s="170"/>
    </row>
    <row r="4" spans="2:12" x14ac:dyDescent="0.25">
      <c r="B4" s="167"/>
      <c r="C4" s="167"/>
      <c r="D4" s="167"/>
      <c r="E4" s="167"/>
      <c r="F4" s="167"/>
      <c r="G4" s="167"/>
      <c r="H4" s="167"/>
      <c r="I4" s="167"/>
      <c r="J4" s="167"/>
      <c r="K4" s="167"/>
      <c r="L4" s="167"/>
    </row>
    <row r="5" spans="2:12" x14ac:dyDescent="0.25">
      <c r="B5" s="171" t="s">
        <v>831</v>
      </c>
      <c r="C5" s="171" t="s">
        <v>54</v>
      </c>
      <c r="D5" s="171" t="s">
        <v>61</v>
      </c>
      <c r="E5" s="171"/>
      <c r="F5" s="171" t="s">
        <v>4</v>
      </c>
      <c r="G5" s="172"/>
      <c r="H5" s="173"/>
      <c r="I5" s="172" t="s">
        <v>55</v>
      </c>
      <c r="J5" s="173"/>
      <c r="K5" s="172" t="s">
        <v>55</v>
      </c>
      <c r="L5" s="173"/>
    </row>
    <row r="6" spans="2:12" x14ac:dyDescent="0.25">
      <c r="B6" s="174" t="s">
        <v>56</v>
      </c>
      <c r="C6" s="174" t="s">
        <v>56</v>
      </c>
      <c r="D6" s="174" t="s">
        <v>3</v>
      </c>
      <c r="E6" s="174" t="s">
        <v>4</v>
      </c>
      <c r="F6" s="174" t="s">
        <v>122</v>
      </c>
      <c r="G6" s="175" t="s">
        <v>57</v>
      </c>
      <c r="H6" s="176"/>
      <c r="I6" s="175">
        <f>L1-1</f>
        <v>2012</v>
      </c>
      <c r="J6" s="176"/>
      <c r="K6" s="175">
        <f>L1</f>
        <v>2013</v>
      </c>
      <c r="L6" s="176"/>
    </row>
    <row r="7" spans="2:12" x14ac:dyDescent="0.25">
      <c r="B7" s="177" t="s">
        <v>832</v>
      </c>
      <c r="C7" s="177" t="s">
        <v>58</v>
      </c>
      <c r="D7" s="177" t="s">
        <v>29</v>
      </c>
      <c r="E7" s="177" t="s">
        <v>59</v>
      </c>
      <c r="F7" s="178" t="str">
        <f>CONCATENATE("Jan 1,",L1-1,"")</f>
        <v>Jan 1,2012</v>
      </c>
      <c r="G7" s="179" t="s">
        <v>61</v>
      </c>
      <c r="H7" s="179" t="s">
        <v>62</v>
      </c>
      <c r="I7" s="179" t="s">
        <v>61</v>
      </c>
      <c r="J7" s="179" t="s">
        <v>62</v>
      </c>
      <c r="K7" s="179" t="s">
        <v>61</v>
      </c>
      <c r="L7" s="179" t="s">
        <v>62</v>
      </c>
    </row>
    <row r="8" spans="2:12" x14ac:dyDescent="0.25">
      <c r="B8" s="180" t="s">
        <v>51</v>
      </c>
      <c r="C8" s="181"/>
      <c r="D8" s="180"/>
      <c r="E8" s="180"/>
      <c r="F8" s="180"/>
      <c r="G8" s="182"/>
      <c r="H8" s="182"/>
      <c r="I8" s="180"/>
      <c r="J8" s="180"/>
      <c r="K8" s="180"/>
      <c r="L8" s="183"/>
    </row>
    <row r="9" spans="2:12" x14ac:dyDescent="0.25">
      <c r="B9" s="184"/>
      <c r="C9" s="379"/>
      <c r="D9" s="186"/>
      <c r="E9" s="34"/>
      <c r="F9" s="187"/>
      <c r="G9" s="188"/>
      <c r="H9" s="188"/>
      <c r="I9" s="187"/>
      <c r="J9" s="187"/>
      <c r="K9" s="187"/>
      <c r="L9" s="187"/>
    </row>
    <row r="10" spans="2:12" x14ac:dyDescent="0.25">
      <c r="B10" s="184"/>
      <c r="C10" s="379"/>
      <c r="D10" s="186"/>
      <c r="E10" s="34"/>
      <c r="F10" s="187"/>
      <c r="G10" s="188"/>
      <c r="H10" s="188"/>
      <c r="I10" s="187"/>
      <c r="J10" s="187"/>
      <c r="K10" s="187"/>
      <c r="L10" s="187"/>
    </row>
    <row r="11" spans="2:12" x14ac:dyDescent="0.25">
      <c r="B11" s="73" t="s">
        <v>154</v>
      </c>
      <c r="C11" s="189"/>
      <c r="D11" s="190"/>
      <c r="E11" s="32"/>
      <c r="F11" s="158">
        <f>SUM(F9:F10)</f>
        <v>0</v>
      </c>
      <c r="G11" s="191"/>
      <c r="H11" s="191"/>
      <c r="I11" s="158">
        <f>SUM(I9:I10)</f>
        <v>0</v>
      </c>
      <c r="J11" s="158">
        <f>SUM(J9:J10)</f>
        <v>0</v>
      </c>
      <c r="K11" s="158">
        <f>SUM(K9:K10)</f>
        <v>0</v>
      </c>
      <c r="L11" s="158">
        <f>SUM(L9:L10)</f>
        <v>0</v>
      </c>
    </row>
    <row r="12" spans="2:12" x14ac:dyDescent="0.25">
      <c r="B12" s="73" t="s">
        <v>21</v>
      </c>
      <c r="C12" s="189"/>
      <c r="D12" s="190"/>
      <c r="E12" s="32"/>
      <c r="F12" s="85"/>
      <c r="G12" s="191"/>
      <c r="H12" s="191"/>
      <c r="I12" s="85"/>
      <c r="J12" s="85"/>
      <c r="K12" s="85"/>
      <c r="L12" s="85"/>
    </row>
    <row r="13" spans="2:12" x14ac:dyDescent="0.25">
      <c r="B13" s="184"/>
      <c r="C13" s="379"/>
      <c r="D13" s="186"/>
      <c r="E13" s="34"/>
      <c r="F13" s="187"/>
      <c r="G13" s="188"/>
      <c r="H13" s="188"/>
      <c r="I13" s="187"/>
      <c r="J13" s="187"/>
      <c r="K13" s="187"/>
      <c r="L13" s="187"/>
    </row>
    <row r="14" spans="2:12" x14ac:dyDescent="0.25">
      <c r="B14" s="184"/>
      <c r="C14" s="379"/>
      <c r="D14" s="186"/>
      <c r="E14" s="34"/>
      <c r="F14" s="187"/>
      <c r="G14" s="188"/>
      <c r="H14" s="188"/>
      <c r="I14" s="187"/>
      <c r="J14" s="187"/>
      <c r="K14" s="187"/>
      <c r="L14" s="187"/>
    </row>
    <row r="15" spans="2:12" x14ac:dyDescent="0.25">
      <c r="B15" s="73" t="s">
        <v>155</v>
      </c>
      <c r="C15" s="189"/>
      <c r="D15" s="190"/>
      <c r="E15" s="32"/>
      <c r="F15" s="158">
        <f>SUM(F13:F14)</f>
        <v>0</v>
      </c>
      <c r="G15" s="191"/>
      <c r="H15" s="191"/>
      <c r="I15" s="158">
        <f>SUM(I13:I14)</f>
        <v>0</v>
      </c>
      <c r="J15" s="158">
        <f>SUM(J13:J14)</f>
        <v>0</v>
      </c>
      <c r="K15" s="158">
        <f>SUM(K13:K14)</f>
        <v>0</v>
      </c>
      <c r="L15" s="158">
        <f>SUM(L13:L14)</f>
        <v>0</v>
      </c>
    </row>
    <row r="16" spans="2:12" x14ac:dyDescent="0.25">
      <c r="B16" s="192" t="s">
        <v>833</v>
      </c>
      <c r="C16" s="692"/>
      <c r="D16" s="693"/>
      <c r="E16" s="694"/>
      <c r="F16" s="194">
        <f>SUM(F11+F15)</f>
        <v>0</v>
      </c>
      <c r="G16" s="692"/>
      <c r="H16" s="695"/>
      <c r="I16" s="194">
        <f>SUM(I11+I15)</f>
        <v>0</v>
      </c>
      <c r="J16" s="194">
        <f>SUM(J11+J15)</f>
        <v>0</v>
      </c>
      <c r="K16" s="194">
        <f>SUM(K11+K15)</f>
        <v>0</v>
      </c>
      <c r="L16" s="194">
        <f>SUM(L11+L15)</f>
        <v>0</v>
      </c>
    </row>
    <row r="17" spans="2:25" x14ac:dyDescent="0.25">
      <c r="B17" s="14"/>
      <c r="C17" s="14"/>
      <c r="D17" s="19"/>
      <c r="E17" s="19"/>
      <c r="F17" s="19"/>
      <c r="G17" s="19"/>
      <c r="H17" s="19"/>
      <c r="I17" s="19"/>
      <c r="J17" s="19"/>
      <c r="K17" s="19"/>
      <c r="L17" s="19"/>
      <c r="M17" s="80"/>
      <c r="N17" s="80"/>
      <c r="O17" s="80"/>
      <c r="P17" s="80"/>
      <c r="Q17" s="80"/>
      <c r="R17" s="80"/>
      <c r="S17" s="80"/>
      <c r="T17" s="80"/>
      <c r="U17" s="80"/>
      <c r="V17" s="80"/>
      <c r="W17" s="80"/>
      <c r="X17" s="80"/>
      <c r="Y17" s="80"/>
    </row>
    <row r="18" spans="2:25" s="197" customFormat="1" x14ac:dyDescent="0.25">
      <c r="B18" s="797" t="s">
        <v>73</v>
      </c>
      <c r="C18" s="787"/>
      <c r="D18" s="787"/>
      <c r="E18" s="787"/>
      <c r="F18" s="787"/>
      <c r="G18" s="787"/>
      <c r="H18" s="787"/>
      <c r="I18" s="787"/>
      <c r="J18" s="195"/>
      <c r="K18" s="195"/>
      <c r="L18" s="196"/>
    </row>
    <row r="19" spans="2:25" s="197" customFormat="1" x14ac:dyDescent="0.25">
      <c r="B19" s="19"/>
      <c r="C19" s="198"/>
      <c r="D19" s="198"/>
      <c r="E19" s="198"/>
      <c r="F19" s="198"/>
      <c r="G19" s="198"/>
      <c r="H19" s="198"/>
      <c r="I19" s="198"/>
      <c r="J19" s="199"/>
      <c r="K19" s="199"/>
      <c r="L19" s="196"/>
    </row>
    <row r="20" spans="2:25" s="197" customFormat="1" x14ac:dyDescent="0.25">
      <c r="B20" s="155"/>
      <c r="C20" s="155"/>
      <c r="D20" s="171" t="s">
        <v>60</v>
      </c>
      <c r="E20" s="155"/>
      <c r="F20" s="171" t="s">
        <v>276</v>
      </c>
      <c r="G20" s="155"/>
      <c r="H20" s="155"/>
      <c r="I20" s="155"/>
      <c r="J20" s="200"/>
      <c r="K20" s="201"/>
      <c r="L20" s="196"/>
    </row>
    <row r="21" spans="2:25" s="197" customFormat="1" x14ac:dyDescent="0.25">
      <c r="B21" s="202"/>
      <c r="C21" s="174"/>
      <c r="D21" s="174" t="s">
        <v>56</v>
      </c>
      <c r="E21" s="174" t="s">
        <v>61</v>
      </c>
      <c r="F21" s="174" t="s">
        <v>4</v>
      </c>
      <c r="G21" s="174" t="s">
        <v>62</v>
      </c>
      <c r="H21" s="174" t="s">
        <v>63</v>
      </c>
      <c r="I21" s="174" t="s">
        <v>63</v>
      </c>
      <c r="J21" s="196"/>
      <c r="K21" s="196"/>
      <c r="L21" s="196"/>
    </row>
    <row r="22" spans="2:25" s="197" customFormat="1" x14ac:dyDescent="0.25">
      <c r="B22" s="174" t="s">
        <v>834</v>
      </c>
      <c r="C22" s="174" t="s">
        <v>64</v>
      </c>
      <c r="D22" s="174" t="s">
        <v>65</v>
      </c>
      <c r="E22" s="174" t="s">
        <v>3</v>
      </c>
      <c r="F22" s="174" t="s">
        <v>66</v>
      </c>
      <c r="G22" s="174" t="s">
        <v>106</v>
      </c>
      <c r="H22" s="174" t="s">
        <v>67</v>
      </c>
      <c r="I22" s="174" t="s">
        <v>67</v>
      </c>
      <c r="J22" s="196"/>
      <c r="K22" s="196"/>
      <c r="L22" s="196"/>
    </row>
    <row r="23" spans="2:25" s="197" customFormat="1" x14ac:dyDescent="0.25">
      <c r="B23" s="177" t="s">
        <v>835</v>
      </c>
      <c r="C23" s="177" t="s">
        <v>54</v>
      </c>
      <c r="D23" s="203" t="s">
        <v>68</v>
      </c>
      <c r="E23" s="177" t="s">
        <v>29</v>
      </c>
      <c r="F23" s="203" t="s">
        <v>123</v>
      </c>
      <c r="G23" s="178" t="str">
        <f>CONCATENATE("Jan 1,",L1-1,"")</f>
        <v>Jan 1,2012</v>
      </c>
      <c r="H23" s="177">
        <f>L1-1</f>
        <v>2012</v>
      </c>
      <c r="I23" s="177">
        <f>L1</f>
        <v>2013</v>
      </c>
      <c r="J23" s="196"/>
      <c r="K23" s="196"/>
      <c r="L23" s="196"/>
    </row>
    <row r="24" spans="2:25" s="197" customFormat="1" x14ac:dyDescent="0.25">
      <c r="B24" s="184"/>
      <c r="C24" s="185"/>
      <c r="D24" s="204"/>
      <c r="E24" s="186"/>
      <c r="F24" s="34"/>
      <c r="G24" s="34"/>
      <c r="H24" s="34"/>
      <c r="I24" s="34"/>
      <c r="J24" s="196"/>
      <c r="K24" s="196"/>
      <c r="L24" s="196"/>
    </row>
    <row r="25" spans="2:25" s="197" customFormat="1" x14ac:dyDescent="0.25">
      <c r="B25" s="184"/>
      <c r="C25" s="185"/>
      <c r="D25" s="204"/>
      <c r="E25" s="186"/>
      <c r="F25" s="34"/>
      <c r="G25" s="34"/>
      <c r="H25" s="34"/>
      <c r="I25" s="34"/>
      <c r="J25" s="196"/>
      <c r="K25" s="196"/>
      <c r="L25" s="196"/>
    </row>
    <row r="26" spans="2:25" s="197" customFormat="1" x14ac:dyDescent="0.25">
      <c r="B26" s="184"/>
      <c r="C26" s="185"/>
      <c r="D26" s="204"/>
      <c r="E26" s="186"/>
      <c r="F26" s="34"/>
      <c r="G26" s="34"/>
      <c r="H26" s="34"/>
      <c r="I26" s="34"/>
      <c r="J26" s="196"/>
      <c r="K26" s="196"/>
      <c r="L26" s="196"/>
    </row>
    <row r="27" spans="2:25" s="197" customFormat="1" x14ac:dyDescent="0.25">
      <c r="B27" s="184"/>
      <c r="C27" s="185"/>
      <c r="D27" s="204"/>
      <c r="E27" s="186"/>
      <c r="F27" s="34"/>
      <c r="G27" s="34"/>
      <c r="H27" s="34"/>
      <c r="I27" s="34"/>
      <c r="J27" s="196"/>
      <c r="K27" s="196"/>
      <c r="L27" s="196"/>
    </row>
    <row r="28" spans="2:25" s="197" customFormat="1" x14ac:dyDescent="0.25">
      <c r="B28" s="184"/>
      <c r="C28" s="185"/>
      <c r="D28" s="204"/>
      <c r="E28" s="186"/>
      <c r="F28" s="34"/>
      <c r="G28" s="34"/>
      <c r="H28" s="34"/>
      <c r="I28" s="34"/>
      <c r="J28" s="196"/>
      <c r="K28" s="196"/>
      <c r="L28" s="196"/>
    </row>
    <row r="29" spans="2:25" s="197" customFormat="1" x14ac:dyDescent="0.25">
      <c r="B29" s="184"/>
      <c r="C29" s="185"/>
      <c r="D29" s="204"/>
      <c r="E29" s="186"/>
      <c r="F29" s="34"/>
      <c r="G29" s="34"/>
      <c r="H29" s="34"/>
      <c r="I29" s="34"/>
      <c r="J29" s="196"/>
      <c r="K29" s="196"/>
      <c r="L29" s="196"/>
    </row>
    <row r="30" spans="2:25" s="197" customFormat="1" x14ac:dyDescent="0.25">
      <c r="B30" s="184"/>
      <c r="C30" s="185"/>
      <c r="D30" s="204"/>
      <c r="E30" s="186"/>
      <c r="F30" s="34"/>
      <c r="G30" s="34"/>
      <c r="H30" s="34"/>
      <c r="I30" s="34"/>
      <c r="J30" s="196"/>
      <c r="K30" s="196"/>
      <c r="L30" s="196"/>
    </row>
    <row r="31" spans="2:25" s="197" customFormat="1" x14ac:dyDescent="0.25">
      <c r="B31" s="184"/>
      <c r="C31" s="185"/>
      <c r="D31" s="204"/>
      <c r="E31" s="186"/>
      <c r="F31" s="34"/>
      <c r="G31" s="34"/>
      <c r="H31" s="34"/>
      <c r="I31" s="34"/>
      <c r="J31" s="196"/>
      <c r="K31" s="196"/>
      <c r="L31" s="196"/>
    </row>
    <row r="32" spans="2:25" s="197" customFormat="1" x14ac:dyDescent="0.25">
      <c r="B32" s="184"/>
      <c r="C32" s="185"/>
      <c r="D32" s="204"/>
      <c r="E32" s="186"/>
      <c r="F32" s="34"/>
      <c r="G32" s="34"/>
      <c r="H32" s="34"/>
      <c r="I32" s="34"/>
      <c r="J32" s="196"/>
      <c r="K32" s="196"/>
      <c r="L32" s="196"/>
    </row>
    <row r="33" spans="2:12" s="197" customFormat="1" x14ac:dyDescent="0.25">
      <c r="B33" s="184"/>
      <c r="C33" s="185"/>
      <c r="D33" s="204"/>
      <c r="E33" s="186"/>
      <c r="F33" s="34"/>
      <c r="G33" s="34"/>
      <c r="H33" s="34"/>
      <c r="I33" s="34"/>
      <c r="J33" s="196"/>
      <c r="K33" s="196"/>
      <c r="L33" s="196"/>
    </row>
    <row r="34" spans="2:12" s="197" customFormat="1" x14ac:dyDescent="0.25">
      <c r="B34" s="184"/>
      <c r="C34" s="185"/>
      <c r="D34" s="204"/>
      <c r="E34" s="186"/>
      <c r="F34" s="34"/>
      <c r="G34" s="34"/>
      <c r="H34" s="34"/>
      <c r="I34" s="34"/>
      <c r="J34" s="196"/>
      <c r="K34" s="196"/>
      <c r="L34" s="196"/>
    </row>
    <row r="35" spans="2:12" s="197" customFormat="1" x14ac:dyDescent="0.25">
      <c r="B35" s="184"/>
      <c r="C35" s="185"/>
      <c r="D35" s="204"/>
      <c r="E35" s="186"/>
      <c r="F35" s="34"/>
      <c r="G35" s="34"/>
      <c r="H35" s="34"/>
      <c r="I35" s="34"/>
      <c r="J35" s="196"/>
      <c r="K35" s="196"/>
      <c r="L35" s="196"/>
    </row>
    <row r="36" spans="2:12" x14ac:dyDescent="0.25">
      <c r="B36" s="697"/>
      <c r="C36" s="193"/>
      <c r="D36" s="193"/>
      <c r="E36" s="205"/>
      <c r="F36" s="696" t="s">
        <v>276</v>
      </c>
      <c r="G36" s="194">
        <f>SUM(G24:G35)</f>
        <v>0</v>
      </c>
      <c r="H36" s="194">
        <f>SUM(H24:H35)</f>
        <v>0</v>
      </c>
      <c r="I36" s="194">
        <f>SUM(I24:I35)</f>
        <v>0</v>
      </c>
      <c r="J36" s="167"/>
      <c r="K36" s="167"/>
      <c r="L36" s="206"/>
    </row>
    <row r="37" spans="2:12" x14ac:dyDescent="0.25">
      <c r="B37" s="167"/>
      <c r="C37" s="167"/>
      <c r="D37" s="167"/>
      <c r="E37" s="167"/>
      <c r="F37" s="167"/>
      <c r="G37" s="167"/>
      <c r="H37" s="167"/>
      <c r="I37" s="167"/>
      <c r="J37" s="167"/>
      <c r="K37" s="167"/>
      <c r="L37" s="167"/>
    </row>
    <row r="38" spans="2:12" x14ac:dyDescent="0.25">
      <c r="B38" s="207" t="s">
        <v>246</v>
      </c>
      <c r="C38" s="207"/>
      <c r="D38" s="207"/>
      <c r="E38" s="207"/>
      <c r="F38" s="207"/>
      <c r="G38" s="207"/>
      <c r="H38" s="207"/>
      <c r="I38" s="167"/>
      <c r="J38" s="167"/>
      <c r="K38" s="167"/>
      <c r="L38" s="167"/>
    </row>
    <row r="39" spans="2:12" x14ac:dyDescent="0.25">
      <c r="B39" s="208"/>
    </row>
  </sheetData>
  <sheetProtection sheet="1"/>
  <mergeCells count="1">
    <mergeCell ref="B18:I18"/>
  </mergeCells>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&amp;CPage No. 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108"/>
  <sheetViews>
    <sheetView zoomScaleNormal="100" workbookViewId="0">
      <selection activeCell="L34" sqref="L34"/>
    </sheetView>
  </sheetViews>
  <sheetFormatPr defaultRowHeight="15" x14ac:dyDescent="0.2"/>
  <cols>
    <col min="1" max="1" width="2.296875" style="564" customWidth="1"/>
    <col min="2" max="4" width="8.796875" style="564"/>
    <col min="5" max="5" width="8.69921875" style="564" customWidth="1"/>
    <col min="6" max="6" width="8.796875" style="564"/>
    <col min="7" max="7" width="8.69921875" style="564" customWidth="1"/>
    <col min="8" max="16384" width="8.796875" style="564"/>
  </cols>
  <sheetData>
    <row r="1" spans="2:9" ht="15.75" x14ac:dyDescent="0.25">
      <c r="B1" s="563"/>
      <c r="C1" s="563"/>
      <c r="D1" s="563"/>
      <c r="E1" s="563"/>
      <c r="F1" s="563"/>
      <c r="G1" s="563"/>
      <c r="H1" s="563"/>
      <c r="I1" s="563"/>
    </row>
    <row r="2" spans="2:9" ht="15.75" x14ac:dyDescent="0.2">
      <c r="B2" s="800" t="s">
        <v>770</v>
      </c>
      <c r="C2" s="800"/>
      <c r="D2" s="800"/>
      <c r="E2" s="800"/>
      <c r="F2" s="800"/>
      <c r="G2" s="800"/>
      <c r="H2" s="800"/>
      <c r="I2" s="800"/>
    </row>
    <row r="3" spans="2:9" ht="15.75" x14ac:dyDescent="0.2">
      <c r="B3" s="800" t="s">
        <v>771</v>
      </c>
      <c r="C3" s="800"/>
      <c r="D3" s="800"/>
      <c r="E3" s="800"/>
      <c r="F3" s="800"/>
      <c r="G3" s="800"/>
      <c r="H3" s="800"/>
      <c r="I3" s="800"/>
    </row>
    <row r="4" spans="2:9" ht="15.75" x14ac:dyDescent="0.2">
      <c r="B4" s="565"/>
      <c r="C4" s="565"/>
      <c r="D4" s="565"/>
      <c r="E4" s="565"/>
      <c r="F4" s="565"/>
      <c r="G4" s="565"/>
      <c r="H4" s="565"/>
      <c r="I4" s="565"/>
    </row>
    <row r="5" spans="2:9" ht="15.75" x14ac:dyDescent="0.2">
      <c r="B5" s="801" t="str">
        <f>CONCATENATE("Budgeted Year: ",inputPrYr!D5,"")</f>
        <v>Budgeted Year: 2013</v>
      </c>
      <c r="C5" s="801"/>
      <c r="D5" s="801"/>
      <c r="E5" s="801"/>
      <c r="F5" s="801"/>
      <c r="G5" s="801"/>
      <c r="H5" s="801"/>
      <c r="I5" s="801"/>
    </row>
    <row r="6" spans="2:9" ht="15.75" x14ac:dyDescent="0.2">
      <c r="B6" s="566"/>
      <c r="C6" s="565"/>
      <c r="D6" s="565"/>
      <c r="E6" s="565"/>
      <c r="F6" s="565"/>
      <c r="G6" s="565"/>
      <c r="H6" s="565"/>
      <c r="I6" s="565"/>
    </row>
    <row r="7" spans="2:9" ht="15.75" x14ac:dyDescent="0.2">
      <c r="B7" s="566" t="str">
        <f>CONCATENATE("Library found in: ",inputPrYr!D2,"")</f>
        <v>Library found in: Delhi Township</v>
      </c>
      <c r="C7" s="565"/>
      <c r="D7" s="565"/>
      <c r="E7" s="565"/>
      <c r="F7" s="565"/>
      <c r="G7" s="565"/>
      <c r="H7" s="565"/>
      <c r="I7" s="565"/>
    </row>
    <row r="8" spans="2:9" ht="15.75" x14ac:dyDescent="0.2">
      <c r="B8" s="566" t="str">
        <f>inputPrYr!D3</f>
        <v>Osborne County</v>
      </c>
      <c r="C8" s="565"/>
      <c r="D8" s="565"/>
      <c r="E8" s="565"/>
      <c r="F8" s="565"/>
      <c r="G8" s="565"/>
      <c r="H8" s="565"/>
      <c r="I8" s="565"/>
    </row>
    <row r="9" spans="2:9" ht="15.75" x14ac:dyDescent="0.2">
      <c r="B9" s="565"/>
      <c r="C9" s="565"/>
      <c r="D9" s="565"/>
      <c r="E9" s="565"/>
      <c r="F9" s="565"/>
      <c r="G9" s="565"/>
      <c r="H9" s="565"/>
      <c r="I9" s="565"/>
    </row>
    <row r="10" spans="2:9" ht="39" customHeight="1" x14ac:dyDescent="0.2">
      <c r="B10" s="802" t="s">
        <v>772</v>
      </c>
      <c r="C10" s="802"/>
      <c r="D10" s="802"/>
      <c r="E10" s="802"/>
      <c r="F10" s="802"/>
      <c r="G10" s="802"/>
      <c r="H10" s="802"/>
      <c r="I10" s="802"/>
    </row>
    <row r="11" spans="2:9" ht="15.75" x14ac:dyDescent="0.2">
      <c r="B11" s="565"/>
      <c r="C11" s="565"/>
      <c r="D11" s="565"/>
      <c r="E11" s="565"/>
      <c r="F11" s="565"/>
      <c r="G11" s="565"/>
      <c r="H11" s="565"/>
      <c r="I11" s="565"/>
    </row>
    <row r="12" spans="2:9" ht="15.75" x14ac:dyDescent="0.2">
      <c r="B12" s="567" t="s">
        <v>773</v>
      </c>
      <c r="C12" s="565"/>
      <c r="D12" s="565"/>
      <c r="E12" s="565"/>
      <c r="F12" s="565"/>
      <c r="G12" s="565"/>
      <c r="H12" s="565"/>
      <c r="I12" s="565"/>
    </row>
    <row r="13" spans="2:9" ht="15.75" x14ac:dyDescent="0.2">
      <c r="B13" s="565"/>
      <c r="C13" s="565"/>
      <c r="D13" s="565"/>
      <c r="E13" s="568" t="s">
        <v>12</v>
      </c>
      <c r="F13" s="565"/>
      <c r="G13" s="568" t="s">
        <v>774</v>
      </c>
      <c r="H13" s="565"/>
      <c r="I13" s="565"/>
    </row>
    <row r="14" spans="2:9" ht="15.75" x14ac:dyDescent="0.2">
      <c r="B14" s="565"/>
      <c r="C14" s="565"/>
      <c r="D14" s="565"/>
      <c r="E14" s="569">
        <f>inputPrYr!D5-1</f>
        <v>2012</v>
      </c>
      <c r="F14" s="565"/>
      <c r="G14" s="569">
        <f>inputPrYr!D5</f>
        <v>2013</v>
      </c>
      <c r="H14" s="565"/>
      <c r="I14" s="565"/>
    </row>
    <row r="15" spans="2:9" ht="15.75" x14ac:dyDescent="0.2">
      <c r="B15" s="566" t="str">
        <f>'DebtSvs-Library'!B48</f>
        <v>Ad Valorem Tax</v>
      </c>
      <c r="C15" s="565"/>
      <c r="D15" s="565"/>
      <c r="E15" s="570">
        <f>'DebtSvs-Library'!D48</f>
        <v>979</v>
      </c>
      <c r="F15" s="565"/>
      <c r="G15" s="570">
        <f>'DebtSvs-Library'!E80</f>
        <v>0</v>
      </c>
      <c r="H15" s="565"/>
      <c r="I15" s="565"/>
    </row>
    <row r="16" spans="2:9" ht="15.75" x14ac:dyDescent="0.2">
      <c r="B16" s="566" t="str">
        <f>'DebtSvs-Library'!B49</f>
        <v>Delinquent Tax</v>
      </c>
      <c r="C16" s="565"/>
      <c r="D16" s="565"/>
      <c r="E16" s="570">
        <f>'DebtSvs-Library'!D49</f>
        <v>0</v>
      </c>
      <c r="F16" s="565"/>
      <c r="G16" s="570">
        <f>'DebtSvs-Library'!E49</f>
        <v>0</v>
      </c>
      <c r="H16" s="565"/>
      <c r="I16" s="565"/>
    </row>
    <row r="17" spans="2:9" ht="15.75" x14ac:dyDescent="0.2">
      <c r="B17" s="566" t="str">
        <f>'DebtSvs-Library'!B50</f>
        <v>Motor Vehicle Tax</v>
      </c>
      <c r="C17" s="565"/>
      <c r="D17" s="565"/>
      <c r="E17" s="570">
        <f>'DebtSvs-Library'!D50</f>
        <v>0</v>
      </c>
      <c r="F17" s="565"/>
      <c r="G17" s="570">
        <f>'DebtSvs-Library'!E50</f>
        <v>0</v>
      </c>
      <c r="H17" s="565"/>
      <c r="I17" s="565"/>
    </row>
    <row r="18" spans="2:9" ht="15.75" x14ac:dyDescent="0.2">
      <c r="B18" s="566" t="str">
        <f>'DebtSvs-Library'!B51</f>
        <v>Recreational Vehicle Tax</v>
      </c>
      <c r="C18" s="565"/>
      <c r="D18" s="565"/>
      <c r="E18" s="570">
        <f>'DebtSvs-Library'!D51</f>
        <v>0</v>
      </c>
      <c r="F18" s="565"/>
      <c r="G18" s="570">
        <f>'DebtSvs-Library'!E51</f>
        <v>0</v>
      </c>
      <c r="H18" s="565"/>
      <c r="I18" s="565"/>
    </row>
    <row r="19" spans="2:9" ht="15.75" x14ac:dyDescent="0.2">
      <c r="B19" s="566" t="str">
        <f>'DebtSvs-Library'!B52</f>
        <v>16/20M Vehicle Tax</v>
      </c>
      <c r="C19" s="565"/>
      <c r="D19" s="565"/>
      <c r="E19" s="570">
        <f>'DebtSvs-Library'!D52</f>
        <v>0</v>
      </c>
      <c r="F19" s="565"/>
      <c r="G19" s="570">
        <f>'DebtSvs-Library'!E52</f>
        <v>0</v>
      </c>
      <c r="H19" s="565"/>
      <c r="I19" s="565"/>
    </row>
    <row r="20" spans="2:9" ht="15.75" x14ac:dyDescent="0.2">
      <c r="B20" s="565" t="s">
        <v>161</v>
      </c>
      <c r="C20" s="565"/>
      <c r="D20" s="565"/>
      <c r="E20" s="570">
        <v>0</v>
      </c>
      <c r="F20" s="565"/>
      <c r="G20" s="570">
        <v>0</v>
      </c>
      <c r="H20" s="565"/>
      <c r="I20" s="565"/>
    </row>
    <row r="21" spans="2:9" ht="15.75" x14ac:dyDescent="0.2">
      <c r="B21" s="565"/>
      <c r="C21" s="565"/>
      <c r="D21" s="565"/>
      <c r="E21" s="570">
        <v>0</v>
      </c>
      <c r="F21" s="565"/>
      <c r="G21" s="570">
        <v>0</v>
      </c>
      <c r="H21" s="565"/>
      <c r="I21" s="565"/>
    </row>
    <row r="22" spans="2:9" ht="15.75" x14ac:dyDescent="0.2">
      <c r="B22" s="565" t="s">
        <v>775</v>
      </c>
      <c r="C22" s="565"/>
      <c r="D22" s="565"/>
      <c r="E22" s="571">
        <f>SUM(E15:E21)</f>
        <v>979</v>
      </c>
      <c r="F22" s="565"/>
      <c r="G22" s="571">
        <f>SUM(G15:G21)</f>
        <v>0</v>
      </c>
      <c r="H22" s="565"/>
      <c r="I22" s="565"/>
    </row>
    <row r="23" spans="2:9" ht="15.75" x14ac:dyDescent="0.2">
      <c r="B23" s="565" t="s">
        <v>776</v>
      </c>
      <c r="C23" s="565"/>
      <c r="D23" s="565"/>
      <c r="E23" s="572">
        <f>G22-E22</f>
        <v>-979</v>
      </c>
      <c r="F23" s="565"/>
      <c r="G23" s="573"/>
      <c r="H23" s="565"/>
      <c r="I23" s="565"/>
    </row>
    <row r="24" spans="2:9" ht="15.75" x14ac:dyDescent="0.2">
      <c r="B24" s="565" t="s">
        <v>777</v>
      </c>
      <c r="C24" s="565"/>
      <c r="D24" s="574" t="str">
        <f>IF((G22-E22)&gt;0,"Qualify","Not Qualify")</f>
        <v>Not Qualify</v>
      </c>
      <c r="E24" s="565"/>
      <c r="F24" s="565"/>
      <c r="G24" s="565"/>
      <c r="H24" s="565"/>
      <c r="I24" s="565"/>
    </row>
    <row r="25" spans="2:9" ht="15.75" x14ac:dyDescent="0.2">
      <c r="B25" s="565"/>
      <c r="C25" s="565"/>
      <c r="D25" s="565"/>
      <c r="E25" s="565"/>
      <c r="F25" s="565"/>
      <c r="G25" s="565"/>
      <c r="H25" s="565"/>
      <c r="I25" s="565"/>
    </row>
    <row r="26" spans="2:9" ht="15.75" x14ac:dyDescent="0.2">
      <c r="B26" s="567" t="s">
        <v>778</v>
      </c>
      <c r="C26" s="565"/>
      <c r="D26" s="565"/>
      <c r="E26" s="565"/>
      <c r="F26" s="565"/>
      <c r="G26" s="565"/>
      <c r="H26" s="565"/>
      <c r="I26" s="565"/>
    </row>
    <row r="27" spans="2:9" ht="15.75" x14ac:dyDescent="0.2">
      <c r="B27" s="565" t="s">
        <v>779</v>
      </c>
      <c r="C27" s="565"/>
      <c r="D27" s="565"/>
      <c r="E27" s="570">
        <f>summ!E37</f>
        <v>971359</v>
      </c>
      <c r="F27" s="565"/>
      <c r="G27" s="570">
        <f>summ!G37</f>
        <v>1010758</v>
      </c>
      <c r="H27" s="565"/>
      <c r="I27" s="565"/>
    </row>
    <row r="28" spans="2:9" ht="15.75" x14ac:dyDescent="0.2">
      <c r="B28" s="565" t="s">
        <v>780</v>
      </c>
      <c r="C28" s="565"/>
      <c r="D28" s="565"/>
      <c r="E28" s="575" t="str">
        <f>IF(G27-E27&gt;0,"No","Yes")</f>
        <v>No</v>
      </c>
      <c r="F28" s="565"/>
      <c r="G28" s="565"/>
      <c r="H28" s="565"/>
      <c r="I28" s="565"/>
    </row>
    <row r="29" spans="2:9" ht="15.75" x14ac:dyDescent="0.2">
      <c r="B29" s="565" t="s">
        <v>781</v>
      </c>
      <c r="C29" s="565"/>
      <c r="D29" s="565"/>
      <c r="E29" s="576" t="str">
        <f>summ!F20</f>
        <v xml:space="preserve">  </v>
      </c>
      <c r="F29" s="565"/>
      <c r="G29" s="576" t="str">
        <f>summ!I20</f>
        <v xml:space="preserve"> </v>
      </c>
      <c r="H29" s="565"/>
      <c r="I29" s="565"/>
    </row>
    <row r="30" spans="2:9" ht="15.75" x14ac:dyDescent="0.2">
      <c r="B30" s="565" t="s">
        <v>782</v>
      </c>
      <c r="C30" s="565"/>
      <c r="D30" s="565"/>
      <c r="E30" s="577" t="e">
        <f>G29-E29</f>
        <v>#VALUE!</v>
      </c>
      <c r="F30" s="565"/>
      <c r="G30" s="565"/>
      <c r="H30" s="565"/>
      <c r="I30" s="565"/>
    </row>
    <row r="31" spans="2:9" ht="15.75" x14ac:dyDescent="0.2">
      <c r="B31" s="565" t="s">
        <v>777</v>
      </c>
      <c r="C31" s="565"/>
      <c r="D31" s="578" t="e">
        <f>IF(E30&gt;=0,"Qualify","Not Qualify")</f>
        <v>#VALUE!</v>
      </c>
      <c r="E31" s="565"/>
      <c r="F31" s="565"/>
      <c r="G31" s="565"/>
      <c r="H31" s="565"/>
      <c r="I31" s="565"/>
    </row>
    <row r="32" spans="2:9" ht="15.75" x14ac:dyDescent="0.2">
      <c r="B32" s="565"/>
      <c r="C32" s="565"/>
      <c r="D32" s="565"/>
      <c r="E32" s="565"/>
      <c r="F32" s="565"/>
      <c r="G32" s="565"/>
      <c r="H32" s="565"/>
      <c r="I32" s="565"/>
    </row>
    <row r="33" spans="2:9" ht="15.75" x14ac:dyDescent="0.2">
      <c r="B33" s="565" t="s">
        <v>783</v>
      </c>
      <c r="C33" s="565"/>
      <c r="D33" s="565"/>
      <c r="E33" s="565"/>
      <c r="F33" s="579" t="e">
        <f>IF(D24="Not Qualify",IF(D31="Not Qualify",IF(D31="Not Qualify","Not Qualify","Qualify"),"Qualify"),"Qualify")</f>
        <v>#VALUE!</v>
      </c>
      <c r="G33" s="565"/>
      <c r="H33" s="565"/>
      <c r="I33" s="565"/>
    </row>
    <row r="34" spans="2:9" ht="15.75" x14ac:dyDescent="0.2">
      <c r="B34" s="565"/>
      <c r="C34" s="565"/>
      <c r="D34" s="565"/>
      <c r="E34" s="565"/>
      <c r="F34" s="565"/>
      <c r="G34" s="565"/>
      <c r="H34" s="565"/>
      <c r="I34" s="565"/>
    </row>
    <row r="35" spans="2:9" ht="15.75" x14ac:dyDescent="0.2">
      <c r="B35" s="565"/>
      <c r="C35" s="565"/>
      <c r="D35" s="565"/>
      <c r="E35" s="565"/>
      <c r="F35" s="565"/>
      <c r="G35" s="565"/>
      <c r="H35" s="565"/>
      <c r="I35" s="565"/>
    </row>
    <row r="36" spans="2:9" ht="37.5" customHeight="1" x14ac:dyDescent="0.2">
      <c r="B36" s="802" t="s">
        <v>784</v>
      </c>
      <c r="C36" s="802"/>
      <c r="D36" s="802"/>
      <c r="E36" s="802"/>
      <c r="F36" s="802"/>
      <c r="G36" s="802"/>
      <c r="H36" s="802"/>
      <c r="I36" s="802"/>
    </row>
    <row r="37" spans="2:9" ht="15.75" x14ac:dyDescent="0.2">
      <c r="B37" s="565"/>
      <c r="C37" s="565"/>
      <c r="D37" s="565"/>
      <c r="E37" s="565"/>
      <c r="F37" s="565"/>
      <c r="G37" s="565"/>
      <c r="H37" s="565"/>
      <c r="I37" s="565"/>
    </row>
    <row r="38" spans="2:9" ht="15.75" x14ac:dyDescent="0.2">
      <c r="B38" s="565"/>
      <c r="C38" s="565"/>
      <c r="D38" s="565"/>
      <c r="E38" s="565"/>
      <c r="F38" s="565"/>
      <c r="G38" s="565"/>
      <c r="H38" s="565"/>
      <c r="I38" s="565"/>
    </row>
    <row r="39" spans="2:9" ht="15.75" x14ac:dyDescent="0.2">
      <c r="B39" s="565"/>
      <c r="C39" s="565"/>
      <c r="D39" s="565"/>
      <c r="E39" s="565"/>
      <c r="F39" s="565"/>
      <c r="G39" s="565"/>
      <c r="H39" s="565"/>
      <c r="I39" s="565"/>
    </row>
    <row r="40" spans="2:9" ht="15.75" x14ac:dyDescent="0.2">
      <c r="B40" s="565"/>
      <c r="C40" s="565"/>
      <c r="D40" s="565"/>
      <c r="E40" s="580" t="s">
        <v>785</v>
      </c>
      <c r="F40" s="581">
        <v>6</v>
      </c>
      <c r="G40" s="565"/>
      <c r="H40" s="565"/>
      <c r="I40" s="565"/>
    </row>
    <row r="41" spans="2:9" ht="15.75" x14ac:dyDescent="0.2">
      <c r="B41" s="565"/>
      <c r="C41" s="565"/>
      <c r="D41" s="565"/>
      <c r="E41" s="565"/>
      <c r="F41" s="565"/>
      <c r="G41" s="565"/>
      <c r="H41" s="565"/>
      <c r="I41" s="565"/>
    </row>
    <row r="42" spans="2:9" ht="15.75" x14ac:dyDescent="0.2">
      <c r="B42" s="565"/>
      <c r="C42" s="565"/>
      <c r="D42" s="565"/>
      <c r="E42" s="565"/>
      <c r="F42" s="565"/>
      <c r="G42" s="565"/>
      <c r="H42" s="565"/>
      <c r="I42" s="565"/>
    </row>
    <row r="43" spans="2:9" ht="15.75" x14ac:dyDescent="0.25">
      <c r="B43" s="798" t="s">
        <v>786</v>
      </c>
      <c r="C43" s="799"/>
      <c r="D43" s="799"/>
      <c r="E43" s="799"/>
      <c r="F43" s="799"/>
      <c r="G43" s="799"/>
      <c r="H43" s="799"/>
      <c r="I43" s="799"/>
    </row>
    <row r="44" spans="2:9" ht="15.75" x14ac:dyDescent="0.2">
      <c r="B44" s="565"/>
      <c r="C44" s="565"/>
      <c r="D44" s="565"/>
      <c r="E44" s="565"/>
      <c r="F44" s="565"/>
      <c r="G44" s="565"/>
      <c r="H44" s="565"/>
      <c r="I44" s="565"/>
    </row>
    <row r="45" spans="2:9" ht="15.75" x14ac:dyDescent="0.25">
      <c r="B45" s="582" t="s">
        <v>787</v>
      </c>
      <c r="C45" s="565"/>
      <c r="D45" s="565"/>
      <c r="E45" s="565"/>
      <c r="F45" s="565"/>
      <c r="G45" s="565"/>
      <c r="H45" s="565"/>
      <c r="I45" s="565"/>
    </row>
    <row r="46" spans="2:9" ht="15.75" x14ac:dyDescent="0.25">
      <c r="B46" s="582" t="str">
        <f>CONCATENATE("sources in your ",G14," library fund is not equal to or greater than the amount from the same")</f>
        <v>sources in your 2013 library fund is not equal to or greater than the amount from the same</v>
      </c>
      <c r="C46" s="565"/>
      <c r="D46" s="565"/>
      <c r="E46" s="565"/>
      <c r="F46" s="565"/>
      <c r="G46" s="565"/>
      <c r="H46" s="565"/>
      <c r="I46" s="565"/>
    </row>
    <row r="47" spans="2:9" ht="15.75" x14ac:dyDescent="0.25">
      <c r="B47" s="582" t="str">
        <f>CONCATENATE("sources in ",E14,".")</f>
        <v>sources in 2012.</v>
      </c>
      <c r="C47" s="563"/>
      <c r="D47" s="563"/>
      <c r="E47" s="563"/>
      <c r="F47" s="563"/>
      <c r="G47" s="563"/>
      <c r="H47" s="563"/>
      <c r="I47" s="563"/>
    </row>
    <row r="48" spans="2:9" ht="15.75" x14ac:dyDescent="0.25">
      <c r="B48" s="563"/>
      <c r="C48" s="563"/>
      <c r="D48" s="563"/>
      <c r="E48" s="563"/>
      <c r="F48" s="563"/>
      <c r="G48" s="563"/>
      <c r="H48" s="563"/>
      <c r="I48" s="563"/>
    </row>
    <row r="49" spans="2:9" ht="15.75" x14ac:dyDescent="0.25">
      <c r="B49" s="582" t="s">
        <v>788</v>
      </c>
      <c r="C49" s="582"/>
      <c r="D49" s="583"/>
      <c r="E49" s="583"/>
      <c r="F49" s="583"/>
      <c r="G49" s="583"/>
      <c r="H49" s="583"/>
      <c r="I49" s="583"/>
    </row>
    <row r="50" spans="2:9" ht="15.75" x14ac:dyDescent="0.25">
      <c r="B50" s="582" t="s">
        <v>789</v>
      </c>
      <c r="C50" s="582"/>
      <c r="D50" s="583"/>
      <c r="E50" s="583"/>
      <c r="F50" s="583"/>
      <c r="G50" s="583"/>
      <c r="H50" s="583"/>
      <c r="I50" s="583"/>
    </row>
    <row r="51" spans="2:9" ht="15.75" x14ac:dyDescent="0.25">
      <c r="B51" s="582" t="s">
        <v>790</v>
      </c>
      <c r="C51" s="582"/>
      <c r="D51" s="583"/>
      <c r="E51" s="583"/>
      <c r="F51" s="583"/>
      <c r="G51" s="583"/>
      <c r="H51" s="583"/>
      <c r="I51" s="583"/>
    </row>
    <row r="52" spans="2:9" x14ac:dyDescent="0.2">
      <c r="B52" s="583"/>
      <c r="C52" s="583"/>
      <c r="D52" s="583"/>
      <c r="E52" s="583"/>
      <c r="F52" s="583"/>
      <c r="G52" s="583"/>
      <c r="H52" s="583"/>
      <c r="I52" s="583"/>
    </row>
    <row r="53" spans="2:9" ht="15.75" x14ac:dyDescent="0.25">
      <c r="B53" s="584" t="s">
        <v>791</v>
      </c>
      <c r="C53" s="583"/>
      <c r="D53" s="583"/>
      <c r="E53" s="583"/>
      <c r="F53" s="583"/>
      <c r="G53" s="583"/>
      <c r="H53" s="583"/>
      <c r="I53" s="583"/>
    </row>
    <row r="54" spans="2:9" x14ac:dyDescent="0.2">
      <c r="B54" s="583"/>
      <c r="C54" s="583"/>
      <c r="D54" s="583"/>
      <c r="E54" s="583"/>
      <c r="F54" s="583"/>
      <c r="G54" s="583"/>
      <c r="H54" s="583"/>
      <c r="I54" s="583"/>
    </row>
    <row r="55" spans="2:9" ht="15.75" x14ac:dyDescent="0.25">
      <c r="B55" s="582" t="s">
        <v>792</v>
      </c>
      <c r="C55" s="583"/>
      <c r="D55" s="583"/>
      <c r="E55" s="583"/>
      <c r="F55" s="583"/>
      <c r="G55" s="583"/>
      <c r="H55" s="583"/>
      <c r="I55" s="583"/>
    </row>
    <row r="56" spans="2:9" ht="15.75" x14ac:dyDescent="0.25">
      <c r="B56" s="582" t="s">
        <v>793</v>
      </c>
      <c r="C56" s="583"/>
      <c r="D56" s="583"/>
      <c r="E56" s="583"/>
      <c r="F56" s="583"/>
      <c r="G56" s="583"/>
      <c r="H56" s="583"/>
      <c r="I56" s="583"/>
    </row>
    <row r="57" spans="2:9" x14ac:dyDescent="0.2">
      <c r="B57" s="583"/>
      <c r="C57" s="583"/>
      <c r="D57" s="583"/>
      <c r="E57" s="583"/>
      <c r="F57" s="583"/>
      <c r="G57" s="583"/>
      <c r="H57" s="583"/>
      <c r="I57" s="583"/>
    </row>
    <row r="58" spans="2:9" ht="15.75" x14ac:dyDescent="0.25">
      <c r="B58" s="584" t="s">
        <v>794</v>
      </c>
      <c r="C58" s="582"/>
      <c r="D58" s="582"/>
      <c r="E58" s="582"/>
      <c r="F58" s="582"/>
      <c r="G58" s="583"/>
      <c r="H58" s="583"/>
      <c r="I58" s="583"/>
    </row>
    <row r="59" spans="2:9" ht="15.75" x14ac:dyDescent="0.25">
      <c r="B59" s="582"/>
      <c r="C59" s="582"/>
      <c r="D59" s="582"/>
      <c r="E59" s="582"/>
      <c r="F59" s="582"/>
      <c r="G59" s="583"/>
      <c r="H59" s="583"/>
      <c r="I59" s="583"/>
    </row>
    <row r="60" spans="2:9" ht="15.75" x14ac:dyDescent="0.25">
      <c r="B60" s="582" t="s">
        <v>795</v>
      </c>
      <c r="C60" s="582"/>
      <c r="D60" s="582"/>
      <c r="E60" s="582"/>
      <c r="F60" s="582"/>
      <c r="G60" s="583"/>
      <c r="H60" s="583"/>
      <c r="I60" s="583"/>
    </row>
    <row r="61" spans="2:9" ht="15.75" x14ac:dyDescent="0.25">
      <c r="B61" s="582" t="s">
        <v>796</v>
      </c>
      <c r="C61" s="582"/>
      <c r="D61" s="582"/>
      <c r="E61" s="582"/>
      <c r="F61" s="582"/>
      <c r="G61" s="583"/>
      <c r="H61" s="583"/>
      <c r="I61" s="583"/>
    </row>
    <row r="62" spans="2:9" ht="15.75" x14ac:dyDescent="0.25">
      <c r="B62" s="582" t="s">
        <v>797</v>
      </c>
      <c r="C62" s="582"/>
      <c r="D62" s="582"/>
      <c r="E62" s="582"/>
      <c r="F62" s="582"/>
      <c r="G62" s="583"/>
      <c r="H62" s="583"/>
      <c r="I62" s="583"/>
    </row>
    <row r="63" spans="2:9" ht="15.75" x14ac:dyDescent="0.25">
      <c r="B63" s="582" t="s">
        <v>798</v>
      </c>
      <c r="C63" s="582"/>
      <c r="D63" s="582"/>
      <c r="E63" s="582"/>
      <c r="F63" s="582"/>
      <c r="G63" s="583"/>
      <c r="H63" s="583"/>
      <c r="I63" s="583"/>
    </row>
    <row r="64" spans="2:9" x14ac:dyDescent="0.2">
      <c r="B64" s="585"/>
      <c r="C64" s="585"/>
      <c r="D64" s="585"/>
      <c r="E64" s="585"/>
      <c r="F64" s="585"/>
      <c r="G64" s="583"/>
      <c r="H64" s="583"/>
      <c r="I64" s="583"/>
    </row>
    <row r="65" spans="2:9" ht="15.75" x14ac:dyDescent="0.25">
      <c r="B65" s="582" t="s">
        <v>799</v>
      </c>
      <c r="C65" s="585"/>
      <c r="D65" s="585"/>
      <c r="E65" s="585"/>
      <c r="F65" s="585"/>
      <c r="G65" s="583"/>
      <c r="H65" s="583"/>
      <c r="I65" s="583"/>
    </row>
    <row r="66" spans="2:9" ht="15.75" x14ac:dyDescent="0.25">
      <c r="B66" s="582" t="s">
        <v>800</v>
      </c>
      <c r="C66" s="585"/>
      <c r="D66" s="585"/>
      <c r="E66" s="585"/>
      <c r="F66" s="585"/>
      <c r="G66" s="583"/>
      <c r="H66" s="583"/>
      <c r="I66" s="583"/>
    </row>
    <row r="67" spans="2:9" x14ac:dyDescent="0.2">
      <c r="B67" s="585"/>
      <c r="C67" s="585"/>
      <c r="D67" s="585"/>
      <c r="E67" s="585"/>
      <c r="F67" s="585"/>
      <c r="G67" s="583"/>
      <c r="H67" s="583"/>
      <c r="I67" s="583"/>
    </row>
    <row r="68" spans="2:9" ht="15.75" x14ac:dyDescent="0.25">
      <c r="B68" s="582" t="s">
        <v>801</v>
      </c>
      <c r="C68" s="585"/>
      <c r="D68" s="585"/>
      <c r="E68" s="585"/>
      <c r="F68" s="585"/>
      <c r="G68" s="583"/>
      <c r="H68" s="583"/>
      <c r="I68" s="583"/>
    </row>
    <row r="69" spans="2:9" ht="15.75" x14ac:dyDescent="0.25">
      <c r="B69" s="582" t="s">
        <v>802</v>
      </c>
      <c r="C69" s="585"/>
      <c r="D69" s="585"/>
      <c r="E69" s="585"/>
      <c r="F69" s="585"/>
      <c r="G69" s="583"/>
      <c r="H69" s="583"/>
      <c r="I69" s="583"/>
    </row>
    <row r="70" spans="2:9" x14ac:dyDescent="0.2">
      <c r="B70" s="585"/>
      <c r="C70" s="585"/>
      <c r="D70" s="585"/>
      <c r="E70" s="585"/>
      <c r="F70" s="585"/>
      <c r="G70" s="583"/>
      <c r="H70" s="583"/>
      <c r="I70" s="583"/>
    </row>
    <row r="71" spans="2:9" ht="15.75" x14ac:dyDescent="0.25">
      <c r="B71" s="584" t="s">
        <v>803</v>
      </c>
      <c r="C71" s="585"/>
      <c r="D71" s="585"/>
      <c r="E71" s="585"/>
      <c r="F71" s="585"/>
      <c r="G71" s="583"/>
      <c r="H71" s="583"/>
      <c r="I71" s="583"/>
    </row>
    <row r="72" spans="2:9" x14ac:dyDescent="0.2">
      <c r="B72" s="585"/>
      <c r="C72" s="585"/>
      <c r="D72" s="585"/>
      <c r="E72" s="585"/>
      <c r="F72" s="585"/>
      <c r="G72" s="583"/>
      <c r="H72" s="583"/>
      <c r="I72" s="583"/>
    </row>
    <row r="73" spans="2:9" ht="15.75" x14ac:dyDescent="0.25">
      <c r="B73" s="582" t="s">
        <v>804</v>
      </c>
      <c r="C73" s="585"/>
      <c r="D73" s="585"/>
      <c r="E73" s="585"/>
      <c r="F73" s="585"/>
      <c r="G73" s="583"/>
      <c r="H73" s="583"/>
      <c r="I73" s="583"/>
    </row>
    <row r="74" spans="2:9" ht="15.75" x14ac:dyDescent="0.25">
      <c r="B74" s="582" t="s">
        <v>805</v>
      </c>
      <c r="C74" s="585"/>
      <c r="D74" s="585"/>
      <c r="E74" s="585"/>
      <c r="F74" s="585"/>
      <c r="G74" s="583"/>
      <c r="H74" s="583"/>
      <c r="I74" s="583"/>
    </row>
    <row r="75" spans="2:9" x14ac:dyDescent="0.2">
      <c r="B75" s="585"/>
      <c r="C75" s="585"/>
      <c r="D75" s="585"/>
      <c r="E75" s="585"/>
      <c r="F75" s="585"/>
      <c r="G75" s="583"/>
      <c r="H75" s="583"/>
      <c r="I75" s="583"/>
    </row>
    <row r="76" spans="2:9" ht="15.75" x14ac:dyDescent="0.25">
      <c r="B76" s="584" t="s">
        <v>806</v>
      </c>
      <c r="C76" s="585"/>
      <c r="D76" s="585"/>
      <c r="E76" s="585"/>
      <c r="F76" s="585"/>
      <c r="G76" s="583"/>
      <c r="H76" s="583"/>
      <c r="I76" s="583"/>
    </row>
    <row r="77" spans="2:9" x14ac:dyDescent="0.2">
      <c r="B77" s="585"/>
      <c r="C77" s="585"/>
      <c r="D77" s="585"/>
      <c r="E77" s="585"/>
      <c r="F77" s="585"/>
      <c r="G77" s="583"/>
      <c r="H77" s="583"/>
      <c r="I77" s="583"/>
    </row>
    <row r="78" spans="2:9" ht="15.75" x14ac:dyDescent="0.25">
      <c r="B78" s="582" t="str">
        <f>CONCATENATE("If the ",G14," municipal budget has not been published and has not been submitted to the County")</f>
        <v>If the 2013 municipal budget has not been published and has not been submitted to the County</v>
      </c>
      <c r="C78" s="585"/>
      <c r="D78" s="585"/>
      <c r="E78" s="585"/>
      <c r="F78" s="585"/>
      <c r="G78" s="583"/>
      <c r="H78" s="583"/>
      <c r="I78" s="583"/>
    </row>
    <row r="79" spans="2:9" ht="15.75" x14ac:dyDescent="0.25">
      <c r="B79" s="582" t="s">
        <v>807</v>
      </c>
      <c r="C79" s="585"/>
      <c r="D79" s="585"/>
      <c r="E79" s="585"/>
      <c r="F79" s="585"/>
      <c r="G79" s="583"/>
      <c r="H79" s="583"/>
      <c r="I79" s="583"/>
    </row>
    <row r="80" spans="2:9" x14ac:dyDescent="0.2">
      <c r="B80" s="585"/>
      <c r="C80" s="585"/>
      <c r="D80" s="585"/>
      <c r="E80" s="585"/>
      <c r="F80" s="585"/>
      <c r="G80" s="583"/>
      <c r="H80" s="583"/>
      <c r="I80" s="583"/>
    </row>
    <row r="81" spans="2:9" ht="15.75" x14ac:dyDescent="0.25">
      <c r="B81" s="584" t="s">
        <v>392</v>
      </c>
      <c r="C81" s="585"/>
      <c r="D81" s="585"/>
      <c r="E81" s="585"/>
      <c r="F81" s="585"/>
      <c r="G81" s="583"/>
      <c r="H81" s="583"/>
      <c r="I81" s="583"/>
    </row>
    <row r="82" spans="2:9" x14ac:dyDescent="0.2">
      <c r="B82" s="585"/>
      <c r="C82" s="585"/>
      <c r="D82" s="585"/>
      <c r="E82" s="585"/>
      <c r="F82" s="585"/>
      <c r="G82" s="583"/>
      <c r="H82" s="583"/>
      <c r="I82" s="583"/>
    </row>
    <row r="83" spans="2:9" ht="15.75" x14ac:dyDescent="0.25">
      <c r="B83" s="582" t="s">
        <v>808</v>
      </c>
      <c r="C83" s="585"/>
      <c r="D83" s="585"/>
      <c r="E83" s="585"/>
      <c r="F83" s="585"/>
      <c r="G83" s="583"/>
      <c r="H83" s="583"/>
      <c r="I83" s="583"/>
    </row>
    <row r="84" spans="2:9" ht="15.75" x14ac:dyDescent="0.25">
      <c r="B84" s="582" t="str">
        <f>CONCATENATE("Budget Year ",G14," is equal to or greater than that for Current Year Estimate ",E14,".")</f>
        <v>Budget Year 2013 is equal to or greater than that for Current Year Estimate 2012.</v>
      </c>
      <c r="C84" s="585"/>
      <c r="D84" s="585"/>
      <c r="E84" s="585"/>
      <c r="F84" s="585"/>
      <c r="G84" s="583"/>
      <c r="H84" s="583"/>
      <c r="I84" s="583"/>
    </row>
    <row r="85" spans="2:9" x14ac:dyDescent="0.2">
      <c r="B85" s="585"/>
      <c r="C85" s="585"/>
      <c r="D85" s="585"/>
      <c r="E85" s="585"/>
      <c r="F85" s="585"/>
      <c r="G85" s="583"/>
      <c r="H85" s="583"/>
      <c r="I85" s="583"/>
    </row>
    <row r="86" spans="2:9" ht="15.75" x14ac:dyDescent="0.25">
      <c r="B86" s="582" t="s">
        <v>809</v>
      </c>
      <c r="C86" s="585"/>
      <c r="D86" s="585"/>
      <c r="E86" s="585"/>
      <c r="F86" s="585"/>
      <c r="G86" s="583"/>
      <c r="H86" s="583"/>
      <c r="I86" s="583"/>
    </row>
    <row r="87" spans="2:9" ht="15.75" x14ac:dyDescent="0.25">
      <c r="B87" s="582" t="s">
        <v>810</v>
      </c>
      <c r="C87" s="585"/>
      <c r="D87" s="585"/>
      <c r="E87" s="585"/>
      <c r="F87" s="585"/>
      <c r="G87" s="583"/>
      <c r="H87" s="583"/>
      <c r="I87" s="583"/>
    </row>
    <row r="88" spans="2:9" ht="15.75" x14ac:dyDescent="0.25">
      <c r="B88" s="582" t="s">
        <v>811</v>
      </c>
      <c r="C88" s="585"/>
      <c r="D88" s="585"/>
      <c r="E88" s="585"/>
      <c r="F88" s="585"/>
      <c r="G88" s="583"/>
      <c r="H88" s="583"/>
      <c r="I88" s="583"/>
    </row>
    <row r="89" spans="2:9" ht="15.75" x14ac:dyDescent="0.25">
      <c r="B89" s="582" t="str">
        <f>CONCATENATE("purpose for the previous (",E14,") year.")</f>
        <v>purpose for the previous (2012) year.</v>
      </c>
      <c r="C89" s="585"/>
      <c r="D89" s="585"/>
      <c r="E89" s="585"/>
      <c r="F89" s="585"/>
      <c r="G89" s="583"/>
      <c r="H89" s="583"/>
      <c r="I89" s="583"/>
    </row>
    <row r="90" spans="2:9" x14ac:dyDescent="0.2">
      <c r="B90" s="585"/>
      <c r="C90" s="585"/>
      <c r="D90" s="585"/>
      <c r="E90" s="585"/>
      <c r="F90" s="585"/>
      <c r="G90" s="583"/>
      <c r="H90" s="583"/>
      <c r="I90" s="583"/>
    </row>
    <row r="91" spans="2:9" ht="15.75" x14ac:dyDescent="0.25">
      <c r="B91" s="582" t="str">
        <f>CONCATENATE("Next, look to see if delinquent tax for ",G14," is budgeted. Often this line is budgeted at $0 or left")</f>
        <v>Next, look to see if delinquent tax for 2013 is budgeted. Often this line is budgeted at $0 or left</v>
      </c>
      <c r="C91" s="585"/>
      <c r="D91" s="585"/>
      <c r="E91" s="585"/>
      <c r="F91" s="585"/>
      <c r="G91" s="583"/>
      <c r="H91" s="583"/>
      <c r="I91" s="583"/>
    </row>
    <row r="92" spans="2:9" ht="15.75" x14ac:dyDescent="0.25">
      <c r="B92" s="582" t="s">
        <v>812</v>
      </c>
      <c r="C92" s="585"/>
      <c r="D92" s="585"/>
      <c r="E92" s="585"/>
      <c r="F92" s="585"/>
      <c r="G92" s="583"/>
      <c r="H92" s="583"/>
      <c r="I92" s="583"/>
    </row>
    <row r="93" spans="2:9" ht="15.75" x14ac:dyDescent="0.25">
      <c r="B93" s="582" t="s">
        <v>813</v>
      </c>
      <c r="C93" s="585"/>
      <c r="D93" s="585"/>
      <c r="E93" s="585"/>
      <c r="F93" s="585"/>
      <c r="G93" s="583"/>
      <c r="H93" s="583"/>
      <c r="I93" s="583"/>
    </row>
    <row r="94" spans="2:9" ht="15.75" x14ac:dyDescent="0.25">
      <c r="B94" s="582" t="s">
        <v>814</v>
      </c>
      <c r="C94" s="585"/>
      <c r="D94" s="585"/>
      <c r="E94" s="585"/>
      <c r="F94" s="585"/>
      <c r="G94" s="583"/>
      <c r="H94" s="583"/>
      <c r="I94" s="583"/>
    </row>
    <row r="95" spans="2:9" x14ac:dyDescent="0.2">
      <c r="B95" s="585"/>
      <c r="C95" s="585"/>
      <c r="D95" s="585"/>
      <c r="E95" s="585"/>
      <c r="F95" s="585"/>
      <c r="G95" s="583"/>
      <c r="H95" s="583"/>
      <c r="I95" s="583"/>
    </row>
    <row r="96" spans="2:9" ht="15.75" x14ac:dyDescent="0.25">
      <c r="B96" s="584" t="s">
        <v>815</v>
      </c>
      <c r="C96" s="585"/>
      <c r="D96" s="585"/>
      <c r="E96" s="585"/>
      <c r="F96" s="585"/>
      <c r="G96" s="583"/>
      <c r="H96" s="583"/>
      <c r="I96" s="583"/>
    </row>
    <row r="97" spans="2:9" x14ac:dyDescent="0.2">
      <c r="B97" s="585"/>
      <c r="C97" s="585"/>
      <c r="D97" s="585"/>
      <c r="E97" s="585"/>
      <c r="F97" s="585"/>
      <c r="G97" s="583"/>
      <c r="H97" s="583"/>
      <c r="I97" s="583"/>
    </row>
    <row r="98" spans="2:9" ht="15.75" x14ac:dyDescent="0.25">
      <c r="B98" s="582" t="s">
        <v>816</v>
      </c>
      <c r="C98" s="585"/>
      <c r="D98" s="585"/>
      <c r="E98" s="585"/>
      <c r="F98" s="585"/>
      <c r="G98" s="583"/>
      <c r="H98" s="583"/>
      <c r="I98" s="583"/>
    </row>
    <row r="99" spans="2:9" ht="15.75" x14ac:dyDescent="0.25">
      <c r="B99" s="582" t="s">
        <v>817</v>
      </c>
      <c r="C99" s="585"/>
      <c r="D99" s="585"/>
      <c r="E99" s="585"/>
      <c r="F99" s="585"/>
      <c r="G99" s="583"/>
      <c r="H99" s="583"/>
      <c r="I99" s="583"/>
    </row>
    <row r="100" spans="2:9" x14ac:dyDescent="0.2">
      <c r="B100" s="585"/>
      <c r="C100" s="585"/>
      <c r="D100" s="585"/>
      <c r="E100" s="585"/>
      <c r="F100" s="585"/>
      <c r="G100" s="583"/>
      <c r="H100" s="583"/>
      <c r="I100" s="583"/>
    </row>
    <row r="101" spans="2:9" ht="15.75" x14ac:dyDescent="0.25">
      <c r="B101" s="582" t="s">
        <v>818</v>
      </c>
      <c r="C101" s="585"/>
      <c r="D101" s="585"/>
      <c r="E101" s="585"/>
      <c r="F101" s="585"/>
      <c r="G101" s="583"/>
      <c r="H101" s="583"/>
      <c r="I101" s="583"/>
    </row>
    <row r="102" spans="2:9" ht="15.75" x14ac:dyDescent="0.25">
      <c r="B102" s="582" t="s">
        <v>819</v>
      </c>
      <c r="C102" s="585"/>
      <c r="D102" s="585"/>
      <c r="E102" s="585"/>
      <c r="F102" s="585"/>
      <c r="G102" s="583"/>
      <c r="H102" s="583"/>
      <c r="I102" s="583"/>
    </row>
    <row r="103" spans="2:9" ht="15.75" x14ac:dyDescent="0.25">
      <c r="B103" s="582" t="s">
        <v>820</v>
      </c>
      <c r="C103" s="585"/>
      <c r="D103" s="585"/>
      <c r="E103" s="585"/>
      <c r="F103" s="585"/>
      <c r="G103" s="583"/>
      <c r="H103" s="583"/>
      <c r="I103" s="583"/>
    </row>
    <row r="104" spans="2:9" ht="15.75" x14ac:dyDescent="0.25">
      <c r="B104" s="582" t="s">
        <v>821</v>
      </c>
      <c r="C104" s="585"/>
      <c r="D104" s="585"/>
      <c r="E104" s="585"/>
      <c r="F104" s="585"/>
      <c r="G104" s="583"/>
      <c r="H104" s="583"/>
      <c r="I104" s="583"/>
    </row>
    <row r="105" spans="2:9" ht="15.75" x14ac:dyDescent="0.25">
      <c r="B105" s="749" t="s">
        <v>929</v>
      </c>
      <c r="C105" s="750"/>
      <c r="D105" s="750"/>
      <c r="E105" s="750"/>
      <c r="F105" s="750"/>
      <c r="G105" s="583"/>
      <c r="H105" s="583"/>
      <c r="I105" s="583"/>
    </row>
    <row r="108" spans="2:9" x14ac:dyDescent="0.2">
      <c r="G108" s="586"/>
    </row>
  </sheetData>
  <sheetProtection sheet="1"/>
  <mergeCells count="6">
    <mergeCell ref="B43:I43"/>
    <mergeCell ref="B2:I2"/>
    <mergeCell ref="B3:I3"/>
    <mergeCell ref="B5:I5"/>
    <mergeCell ref="B10:I10"/>
    <mergeCell ref="B36:I36"/>
  </mergeCells>
  <hyperlinks>
    <hyperlink ref="B105" r:id="rId1" display="mailto:peter.haxton@library.ks.gov"/>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3"/>
  <sheetViews>
    <sheetView topLeftCell="A16" workbookViewId="0">
      <selection activeCell="E35" sqref="E35"/>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8984375" style="16" customWidth="1"/>
    <col min="8" max="8" width="8.796875" style="16"/>
    <col min="9" max="9" width="0.796875" style="16" customWidth="1"/>
    <col min="10" max="10" width="10.3984375" style="16" customWidth="1"/>
    <col min="11" max="16384" width="8.796875" style="16"/>
  </cols>
  <sheetData>
    <row r="1" spans="2:5" x14ac:dyDescent="0.25">
      <c r="B1" s="13" t="str">
        <f>inputPrYr!D2</f>
        <v>Delhi Township</v>
      </c>
      <c r="C1" s="14"/>
      <c r="D1" s="14"/>
      <c r="E1" s="15">
        <f>inputPrYr!D5</f>
        <v>2013</v>
      </c>
    </row>
    <row r="2" spans="2:5" x14ac:dyDescent="0.25">
      <c r="B2" s="17"/>
      <c r="C2" s="14"/>
      <c r="D2" s="14"/>
      <c r="E2" s="18"/>
    </row>
    <row r="3" spans="2:5" x14ac:dyDescent="0.25">
      <c r="B3" s="541" t="s">
        <v>721</v>
      </c>
      <c r="C3" s="20"/>
      <c r="D3" s="20"/>
      <c r="E3" s="21"/>
    </row>
    <row r="4" spans="2:5" x14ac:dyDescent="0.25">
      <c r="B4" s="22" t="s">
        <v>10</v>
      </c>
      <c r="C4" s="388" t="s">
        <v>11</v>
      </c>
      <c r="D4" s="391" t="s">
        <v>12</v>
      </c>
      <c r="E4" s="23" t="s">
        <v>13</v>
      </c>
    </row>
    <row r="5" spans="2:5" x14ac:dyDescent="0.25">
      <c r="B5" s="400" t="str">
        <f>inputPrYr!B16</f>
        <v>General</v>
      </c>
      <c r="C5" s="389" t="str">
        <f>CONCATENATE("Actual for ",$E$1-2,"")</f>
        <v>Actual for 2011</v>
      </c>
      <c r="D5" s="389" t="str">
        <f>CONCATENATE("Estimate for ",$E$1-1,"")</f>
        <v>Estimate for 2012</v>
      </c>
      <c r="E5" s="26" t="str">
        <f>CONCATENATE("Year for ",$E$1,"")</f>
        <v>Year for 2013</v>
      </c>
    </row>
    <row r="6" spans="2:5" x14ac:dyDescent="0.25">
      <c r="B6" s="27" t="s">
        <v>118</v>
      </c>
      <c r="C6" s="29">
        <v>175</v>
      </c>
      <c r="D6" s="390">
        <f>C51</f>
        <v>234</v>
      </c>
      <c r="E6" s="32">
        <f>D51</f>
        <v>234</v>
      </c>
    </row>
    <row r="7" spans="2:5" x14ac:dyDescent="0.25">
      <c r="B7" s="27" t="s">
        <v>120</v>
      </c>
      <c r="C7" s="390"/>
      <c r="D7" s="390"/>
      <c r="E7" s="33"/>
    </row>
    <row r="8" spans="2:5" x14ac:dyDescent="0.25">
      <c r="B8" s="27" t="s">
        <v>16</v>
      </c>
      <c r="C8" s="29">
        <v>472</v>
      </c>
      <c r="D8" s="390">
        <f>IF(inputPrYr!H15&gt;0,inputPrYr!G16,inputPrYr!E16)</f>
        <v>1851</v>
      </c>
      <c r="E8" s="33" t="s">
        <v>290</v>
      </c>
    </row>
    <row r="9" spans="2:5" x14ac:dyDescent="0.25">
      <c r="B9" s="27" t="s">
        <v>17</v>
      </c>
      <c r="C9" s="29">
        <v>133</v>
      </c>
      <c r="D9" s="29"/>
      <c r="E9" s="34"/>
    </row>
    <row r="10" spans="2:5" x14ac:dyDescent="0.25">
      <c r="B10" s="27" t="s">
        <v>18</v>
      </c>
      <c r="C10" s="29">
        <v>33</v>
      </c>
      <c r="D10" s="29">
        <v>14</v>
      </c>
      <c r="E10" s="32">
        <f>mvalloc!G11</f>
        <v>48</v>
      </c>
    </row>
    <row r="11" spans="2:5" x14ac:dyDescent="0.25">
      <c r="B11" s="27" t="s">
        <v>19</v>
      </c>
      <c r="C11" s="29">
        <v>0</v>
      </c>
      <c r="D11" s="29">
        <v>0</v>
      </c>
      <c r="E11" s="32">
        <f>mvalloc!I11</f>
        <v>0</v>
      </c>
    </row>
    <row r="12" spans="2:5" x14ac:dyDescent="0.25">
      <c r="B12" s="35" t="s">
        <v>69</v>
      </c>
      <c r="C12" s="29">
        <v>13</v>
      </c>
      <c r="D12" s="29">
        <v>5</v>
      </c>
      <c r="E12" s="32">
        <f>mvalloc!J11</f>
        <v>27</v>
      </c>
    </row>
    <row r="13" spans="2:5" x14ac:dyDescent="0.25">
      <c r="B13" s="35" t="s">
        <v>161</v>
      </c>
      <c r="C13" s="29"/>
      <c r="D13" s="29"/>
      <c r="E13" s="32">
        <f>inputOth!E35</f>
        <v>0</v>
      </c>
    </row>
    <row r="14" spans="2:5" x14ac:dyDescent="0.25">
      <c r="B14" s="27" t="s">
        <v>20</v>
      </c>
      <c r="C14" s="29">
        <v>184</v>
      </c>
      <c r="D14" s="29">
        <v>130</v>
      </c>
      <c r="E14" s="32">
        <f>inputOth!E12</f>
        <v>113</v>
      </c>
    </row>
    <row r="15" spans="2:5" x14ac:dyDescent="0.25">
      <c r="B15" s="37"/>
      <c r="C15" s="29"/>
      <c r="D15" s="29"/>
      <c r="E15" s="36"/>
    </row>
    <row r="16" spans="2:5" x14ac:dyDescent="0.25">
      <c r="B16" s="37"/>
      <c r="C16" s="29"/>
      <c r="D16" s="29"/>
      <c r="E16" s="34"/>
    </row>
    <row r="17" spans="2:5" x14ac:dyDescent="0.25">
      <c r="B17" s="37"/>
      <c r="C17" s="29"/>
      <c r="D17" s="29"/>
      <c r="E17" s="34"/>
    </row>
    <row r="18" spans="2:5" x14ac:dyDescent="0.25">
      <c r="B18" s="37"/>
      <c r="C18" s="29"/>
      <c r="D18" s="29"/>
      <c r="E18" s="34"/>
    </row>
    <row r="19" spans="2:5" x14ac:dyDescent="0.25">
      <c r="B19" s="38"/>
      <c r="C19" s="29"/>
      <c r="D19" s="29"/>
      <c r="E19" s="34"/>
    </row>
    <row r="20" spans="2:5" x14ac:dyDescent="0.25">
      <c r="B20" s="38"/>
      <c r="C20" s="29"/>
      <c r="D20" s="29"/>
      <c r="E20" s="34"/>
    </row>
    <row r="21" spans="2:5" x14ac:dyDescent="0.25">
      <c r="B21" s="38"/>
      <c r="C21" s="29"/>
      <c r="D21" s="29"/>
      <c r="E21" s="34"/>
    </row>
    <row r="22" spans="2:5" x14ac:dyDescent="0.25">
      <c r="B22" s="37"/>
      <c r="C22" s="29"/>
      <c r="D22" s="29"/>
      <c r="E22" s="34"/>
    </row>
    <row r="23" spans="2:5" x14ac:dyDescent="0.25">
      <c r="B23" s="38" t="s">
        <v>22</v>
      </c>
      <c r="C23" s="29"/>
      <c r="D23" s="29"/>
      <c r="E23" s="34"/>
    </row>
    <row r="24" spans="2:5" x14ac:dyDescent="0.25">
      <c r="B24" s="39" t="s">
        <v>213</v>
      </c>
      <c r="C24" s="29"/>
      <c r="D24" s="29"/>
      <c r="E24" s="34"/>
    </row>
    <row r="25" spans="2:5" x14ac:dyDescent="0.25">
      <c r="B25" s="39" t="s">
        <v>214</v>
      </c>
      <c r="C25" s="387" t="str">
        <f>IF(C26*0.1&lt;C24,"Exceed 10% Rule","")</f>
        <v/>
      </c>
      <c r="D25" s="387" t="str">
        <f>IF(D26*0.1&lt;D24,"Exceed 10% Rule","")</f>
        <v/>
      </c>
      <c r="E25" s="45" t="str">
        <f>IF(E26*0.1+E57&lt;E24,"Exceed 10% Rule","")</f>
        <v/>
      </c>
    </row>
    <row r="26" spans="2:5" x14ac:dyDescent="0.25">
      <c r="B26" s="41" t="s">
        <v>23</v>
      </c>
      <c r="C26" s="392">
        <f>SUM(C8:C24)</f>
        <v>835</v>
      </c>
      <c r="D26" s="392">
        <f>SUM(D8:D24)</f>
        <v>2000</v>
      </c>
      <c r="E26" s="42">
        <f>SUM(E8:E24)</f>
        <v>188</v>
      </c>
    </row>
    <row r="27" spans="2:5" x14ac:dyDescent="0.25">
      <c r="B27" s="43" t="s">
        <v>24</v>
      </c>
      <c r="C27" s="392">
        <f>C26+C6</f>
        <v>1010</v>
      </c>
      <c r="D27" s="392">
        <f>D26+D6</f>
        <v>2234</v>
      </c>
      <c r="E27" s="42">
        <f>E26+E6</f>
        <v>422</v>
      </c>
    </row>
    <row r="28" spans="2:5" x14ac:dyDescent="0.25">
      <c r="B28" s="27" t="s">
        <v>25</v>
      </c>
      <c r="C28" s="390"/>
      <c r="D28" s="390"/>
      <c r="E28" s="32"/>
    </row>
    <row r="29" spans="2:5" x14ac:dyDescent="0.25">
      <c r="B29" s="37"/>
      <c r="C29" s="29"/>
      <c r="D29" s="29"/>
      <c r="E29" s="34"/>
    </row>
    <row r="30" spans="2:5" x14ac:dyDescent="0.25">
      <c r="B30" s="38" t="s">
        <v>101</v>
      </c>
      <c r="C30" s="29">
        <v>600</v>
      </c>
      <c r="D30" s="29"/>
      <c r="E30" s="34"/>
    </row>
    <row r="31" spans="2:5" x14ac:dyDescent="0.25">
      <c r="B31" s="38" t="s">
        <v>125</v>
      </c>
      <c r="C31" s="29"/>
      <c r="D31" s="29"/>
      <c r="E31" s="34"/>
    </row>
    <row r="32" spans="2:5" x14ac:dyDescent="0.25">
      <c r="B32" s="38" t="s">
        <v>102</v>
      </c>
      <c r="C32" s="29"/>
      <c r="D32" s="29"/>
      <c r="E32" s="34"/>
    </row>
    <row r="33" spans="2:10" x14ac:dyDescent="0.25">
      <c r="B33" s="38" t="s">
        <v>36</v>
      </c>
      <c r="C33" s="29"/>
      <c r="D33" s="29"/>
      <c r="E33" s="34"/>
    </row>
    <row r="34" spans="2:10" x14ac:dyDescent="0.25">
      <c r="B34" s="37" t="s">
        <v>103</v>
      </c>
      <c r="C34" s="29"/>
      <c r="D34" s="29">
        <v>1000</v>
      </c>
      <c r="E34" s="34">
        <v>1000</v>
      </c>
    </row>
    <row r="35" spans="2:10" x14ac:dyDescent="0.25">
      <c r="B35" s="37" t="s">
        <v>126</v>
      </c>
      <c r="C35" s="29"/>
      <c r="D35" s="29"/>
      <c r="E35" s="34"/>
    </row>
    <row r="36" spans="2:10" x14ac:dyDescent="0.25">
      <c r="B36" s="38" t="s">
        <v>128</v>
      </c>
      <c r="C36" s="29"/>
      <c r="D36" s="29">
        <v>1000</v>
      </c>
      <c r="E36" s="34"/>
    </row>
    <row r="37" spans="2:10" x14ac:dyDescent="0.25">
      <c r="B37" s="38" t="s">
        <v>935</v>
      </c>
      <c r="C37" s="29">
        <v>76</v>
      </c>
      <c r="D37" s="29"/>
      <c r="E37" s="34"/>
    </row>
    <row r="38" spans="2:10" x14ac:dyDescent="0.25">
      <c r="B38" s="37"/>
      <c r="C38" s="29"/>
      <c r="D38" s="29"/>
      <c r="E38" s="34"/>
    </row>
    <row r="39" spans="2:10" x14ac:dyDescent="0.25">
      <c r="B39" s="38"/>
      <c r="C39" s="29"/>
      <c r="D39" s="29"/>
      <c r="E39" s="34"/>
    </row>
    <row r="40" spans="2:10" x14ac:dyDescent="0.25">
      <c r="B40" s="38"/>
      <c r="C40" s="29"/>
      <c r="D40" s="29"/>
      <c r="E40" s="34"/>
    </row>
    <row r="41" spans="2:10" x14ac:dyDescent="0.25">
      <c r="B41" s="37"/>
      <c r="C41" s="29"/>
      <c r="D41" s="29"/>
      <c r="E41" s="34"/>
      <c r="G41" s="812" t="str">
        <f>CONCATENATE("Desired Carryover Into ",E1+1,"")</f>
        <v>Desired Carryover Into 2014</v>
      </c>
      <c r="H41" s="813"/>
      <c r="I41" s="813"/>
      <c r="J41" s="814"/>
    </row>
    <row r="42" spans="2:10" x14ac:dyDescent="0.25">
      <c r="B42" s="38"/>
      <c r="C42" s="29"/>
      <c r="D42" s="29"/>
      <c r="E42" s="34"/>
      <c r="G42" s="501"/>
      <c r="H42" s="488"/>
      <c r="I42" s="493"/>
      <c r="J42" s="502"/>
    </row>
    <row r="43" spans="2:10" x14ac:dyDescent="0.25">
      <c r="B43" s="35" t="s">
        <v>268</v>
      </c>
      <c r="C43" s="29"/>
      <c r="D43" s="29"/>
      <c r="E43" s="34"/>
      <c r="G43" s="503" t="s">
        <v>715</v>
      </c>
      <c r="H43" s="493"/>
      <c r="I43" s="493"/>
      <c r="J43" s="504">
        <v>0</v>
      </c>
    </row>
    <row r="44" spans="2:10" x14ac:dyDescent="0.25">
      <c r="B44" s="35" t="s">
        <v>265</v>
      </c>
      <c r="C44" s="386" t="str">
        <f>IF(AND($C$43&gt;0,$C$8&gt;0),"Not Authorized","")</f>
        <v/>
      </c>
      <c r="D44" s="386" t="str">
        <f>IF(AND($D$43&gt;0,$D$8&gt;0),"Not Authorized","")</f>
        <v/>
      </c>
      <c r="E44" s="44" t="str">
        <f>IF(AND(cert!F21&gt;0,$E$43&gt;0),"Not Authorized","")</f>
        <v/>
      </c>
      <c r="G44" s="501" t="s">
        <v>716</v>
      </c>
      <c r="H44" s="488"/>
      <c r="I44" s="488"/>
      <c r="J44" s="705" t="str">
        <f>IF(J43=0,"",ROUND((J43+E57-G56)/inputOth!E7*1000,3)-G61)</f>
        <v/>
      </c>
    </row>
    <row r="45" spans="2:10" x14ac:dyDescent="0.25">
      <c r="B45" s="27" t="s">
        <v>269</v>
      </c>
      <c r="C45" s="29">
        <v>100</v>
      </c>
      <c r="D45" s="29"/>
      <c r="E45" s="34"/>
      <c r="G45" s="706" t="str">
        <f>CONCATENATE("",E1," Tot Exp/Non-Appr Must Be:")</f>
        <v>2013 Tot Exp/Non-Appr Must Be:</v>
      </c>
      <c r="H45" s="587"/>
      <c r="I45" s="699"/>
      <c r="J45" s="707">
        <f>IF(J43&gt;0,IF(E54&lt;E23,IF(J43=G56,E54,((J43-G56)*(1-D56))+E23),E54+(J43-G56)),0)</f>
        <v>0</v>
      </c>
    </row>
    <row r="46" spans="2:10" x14ac:dyDescent="0.25">
      <c r="B46" s="27" t="s">
        <v>753</v>
      </c>
      <c r="C46" s="387" t="str">
        <f>IF(C27*0.25&lt;C45,"Exceeds 25%","")</f>
        <v/>
      </c>
      <c r="D46" s="387" t="str">
        <f>IF(D27*0.25&lt;D45,"Exceeds 25%","")</f>
        <v/>
      </c>
      <c r="E46" s="45" t="str">
        <f>IF(E27*0.25+E57&lt;E45,"Exceeds 25%","")</f>
        <v/>
      </c>
      <c r="G46" s="708" t="s">
        <v>825</v>
      </c>
      <c r="H46" s="709"/>
      <c r="I46" s="709"/>
      <c r="J46" s="710">
        <f>IF(J43&gt;0,J45-E54,0)</f>
        <v>0</v>
      </c>
    </row>
    <row r="47" spans="2:10" x14ac:dyDescent="0.25">
      <c r="B47" s="35" t="s">
        <v>215</v>
      </c>
      <c r="C47" s="29"/>
      <c r="D47" s="29"/>
      <c r="E47" s="46" t="str">
        <f>nhood!E6</f>
        <v/>
      </c>
    </row>
    <row r="48" spans="2:10" x14ac:dyDescent="0.25">
      <c r="B48" s="35" t="s">
        <v>213</v>
      </c>
      <c r="C48" s="29"/>
      <c r="D48" s="29"/>
      <c r="E48" s="34"/>
      <c r="G48" s="812" t="str">
        <f>CONCATENATE("Projected Carryover Into ",E1+1,"")</f>
        <v>Projected Carryover Into 2014</v>
      </c>
      <c r="H48" s="813"/>
      <c r="I48" s="813"/>
      <c r="J48" s="814"/>
    </row>
    <row r="49" spans="2:11" x14ac:dyDescent="0.25">
      <c r="B49" s="35" t="s">
        <v>622</v>
      </c>
      <c r="C49" s="387" t="str">
        <f>IF(C50*0.1&lt;C48,"Exceed 10% Rule","")</f>
        <v/>
      </c>
      <c r="D49" s="387" t="str">
        <f>IF(D50*0.1&lt;D48,"Exceed 10% Rule","")</f>
        <v/>
      </c>
      <c r="E49" s="45" t="str">
        <f>IF(E50*0.1&lt;E48,"Exceed 10% Rule","")</f>
        <v/>
      </c>
      <c r="G49" s="487"/>
      <c r="H49" s="488"/>
      <c r="I49" s="488"/>
      <c r="J49" s="489"/>
    </row>
    <row r="50" spans="2:11" x14ac:dyDescent="0.25">
      <c r="B50" s="43" t="s">
        <v>26</v>
      </c>
      <c r="C50" s="384">
        <f>SUM(C29:C48)</f>
        <v>776</v>
      </c>
      <c r="D50" s="384">
        <f>SUM(D29:D48)</f>
        <v>2000</v>
      </c>
      <c r="E50" s="47">
        <f>SUM(E29:E43,E45,E47:E48)</f>
        <v>1000</v>
      </c>
      <c r="G50" s="490">
        <f>D51</f>
        <v>234</v>
      </c>
      <c r="H50" s="491" t="str">
        <f>CONCATENATE("",E1-1," Ending Cash Balance (est.)")</f>
        <v>2012 Ending Cash Balance (est.)</v>
      </c>
      <c r="I50" s="492"/>
      <c r="J50" s="489"/>
    </row>
    <row r="51" spans="2:11" x14ac:dyDescent="0.25">
      <c r="B51" s="27" t="s">
        <v>119</v>
      </c>
      <c r="C51" s="385">
        <f>C27-C50</f>
        <v>234</v>
      </c>
      <c r="D51" s="385">
        <f>SUM(D27-D50)</f>
        <v>234</v>
      </c>
      <c r="E51" s="33" t="s">
        <v>290</v>
      </c>
      <c r="G51" s="490">
        <f>E26</f>
        <v>188</v>
      </c>
      <c r="H51" s="493" t="str">
        <f>CONCATENATE("",E1," Non-AV Receipts (est.)")</f>
        <v>2013 Non-AV Receipts (est.)</v>
      </c>
      <c r="I51" s="492"/>
      <c r="J51" s="489"/>
    </row>
    <row r="52" spans="2:11" x14ac:dyDescent="0.2">
      <c r="B52" s="48" t="str">
        <f>CONCATENATE("",E1-2,"/",E1-1," Budget Authority Amount:")</f>
        <v>2011/2012 Budget Authority Amount:</v>
      </c>
      <c r="C52" s="132">
        <f>inputOth!B46</f>
        <v>1500</v>
      </c>
      <c r="D52" s="161">
        <f>inputPrYr!D16</f>
        <v>2000</v>
      </c>
      <c r="E52" s="33" t="s">
        <v>290</v>
      </c>
      <c r="F52" s="50"/>
      <c r="G52" s="494">
        <f>IF(D56&gt;0,E55,E57)</f>
        <v>578</v>
      </c>
      <c r="H52" s="493" t="str">
        <f>CONCATENATE("",E1," Ad Valorem Tax (est.)")</f>
        <v>2013 Ad Valorem Tax (est.)</v>
      </c>
      <c r="I52" s="492"/>
      <c r="J52" s="489"/>
      <c r="K52" s="711" t="str">
        <f>IF(G52=E57,"","Note: Does not include Delinquent Taxes")</f>
        <v/>
      </c>
    </row>
    <row r="53" spans="2:11" x14ac:dyDescent="0.25">
      <c r="B53" s="48"/>
      <c r="C53" s="808" t="s">
        <v>623</v>
      </c>
      <c r="D53" s="809"/>
      <c r="E53" s="34"/>
      <c r="F53" s="486" t="str">
        <f>IF(E50/0.95-E50&lt;E53,"Exceeds 5%","")</f>
        <v/>
      </c>
      <c r="G53" s="490">
        <f>SUM(G50:G52)</f>
        <v>1000</v>
      </c>
      <c r="H53" s="493" t="str">
        <f>CONCATENATE("Total ",E1," Resources Available")</f>
        <v>Total 2013 Resources Available</v>
      </c>
      <c r="I53" s="492"/>
      <c r="J53" s="489"/>
    </row>
    <row r="54" spans="2:11" x14ac:dyDescent="0.25">
      <c r="B54" s="399" t="str">
        <f>CONCATENATE(C72,"     ",D72)</f>
        <v xml:space="preserve">     </v>
      </c>
      <c r="C54" s="810" t="s">
        <v>624</v>
      </c>
      <c r="D54" s="811"/>
      <c r="E54" s="32">
        <f>E50+E53</f>
        <v>1000</v>
      </c>
      <c r="G54" s="495"/>
      <c r="H54" s="493"/>
      <c r="I54" s="493"/>
      <c r="J54" s="489"/>
    </row>
    <row r="55" spans="2:11" x14ac:dyDescent="0.25">
      <c r="B55" s="399" t="str">
        <f>CONCATENATE(C73,"     ",D73)</f>
        <v xml:space="preserve">     </v>
      </c>
      <c r="C55" s="60"/>
      <c r="D55" s="52" t="s">
        <v>28</v>
      </c>
      <c r="E55" s="46">
        <f>IF(E54-E27&gt;0,E54-E27,0)</f>
        <v>578</v>
      </c>
      <c r="G55" s="494">
        <f>ROUND(C50*0.05+C50,0)</f>
        <v>815</v>
      </c>
      <c r="H55" s="493" t="str">
        <f>CONCATENATE("Less ",E1-2," Expenditures + 5%")</f>
        <v>Less 2011 Expenditures + 5%</v>
      </c>
      <c r="I55" s="492"/>
      <c r="J55" s="489"/>
    </row>
    <row r="56" spans="2:11" x14ac:dyDescent="0.25">
      <c r="B56" s="52"/>
      <c r="C56" s="403" t="s">
        <v>625</v>
      </c>
      <c r="D56" s="698">
        <f>inputOth!$E$40</f>
        <v>0</v>
      </c>
      <c r="E56" s="32">
        <f>ROUND(IF(D56&gt;0,(E55*D56),0),0)</f>
        <v>0</v>
      </c>
      <c r="G56" s="496">
        <f>G53-G55</f>
        <v>185</v>
      </c>
      <c r="H56" s="497" t="str">
        <f>CONCATENATE("Projected ",E1+1," Carryover (est.)")</f>
        <v>Projected 2014 Carryover (est.)</v>
      </c>
      <c r="I56" s="498"/>
      <c r="J56" s="499"/>
    </row>
    <row r="57" spans="2:11" x14ac:dyDescent="0.25">
      <c r="B57" s="14"/>
      <c r="C57" s="806" t="str">
        <f>CONCATENATE("Amount of  ",$E$1-1," Ad Valorem Tax")</f>
        <v>Amount of  2012 Ad Valorem Tax</v>
      </c>
      <c r="D57" s="807"/>
      <c r="E57" s="46">
        <f>E55+E56</f>
        <v>578</v>
      </c>
    </row>
    <row r="58" spans="2:11" x14ac:dyDescent="0.2">
      <c r="B58" s="14"/>
      <c r="C58" s="14"/>
      <c r="D58" s="14"/>
      <c r="E58" s="14"/>
      <c r="G58" s="803" t="s">
        <v>826</v>
      </c>
      <c r="H58" s="804"/>
      <c r="I58" s="804"/>
      <c r="J58" s="805"/>
    </row>
    <row r="59" spans="2:11" s="54" customFormat="1" x14ac:dyDescent="0.25">
      <c r="B59" s="19"/>
      <c r="C59" s="19"/>
      <c r="D59" s="53"/>
      <c r="E59" s="19"/>
      <c r="G59" s="712"/>
      <c r="H59" s="491"/>
      <c r="I59" s="700"/>
      <c r="J59" s="713"/>
      <c r="K59" s="16"/>
    </row>
    <row r="60" spans="2:11" s="56" customFormat="1" x14ac:dyDescent="0.25">
      <c r="B60" s="14"/>
      <c r="C60" s="14"/>
      <c r="D60" s="55"/>
      <c r="E60" s="14"/>
      <c r="G60" s="714">
        <f>summ!I18</f>
        <v>0.57199999999999995</v>
      </c>
      <c r="H60" s="491" t="str">
        <f>CONCATENATE("",E1," Fund Mill Rate")</f>
        <v>2013 Fund Mill Rate</v>
      </c>
      <c r="I60" s="700"/>
      <c r="J60" s="713"/>
      <c r="K60" s="16"/>
    </row>
    <row r="61" spans="2:11" x14ac:dyDescent="0.25">
      <c r="B61" s="52" t="s">
        <v>9</v>
      </c>
      <c r="C61" s="405">
        <f>IF(inputPrYr!D18&gt;0,7,6)</f>
        <v>6</v>
      </c>
      <c r="D61" s="14"/>
      <c r="E61" s="55"/>
      <c r="G61" s="715">
        <f>summ!F18</f>
        <v>1.9059999999999999</v>
      </c>
      <c r="H61" s="491" t="str">
        <f>CONCATENATE("",E1-1," Fund Mill Rate")</f>
        <v>2012 Fund Mill Rate</v>
      </c>
      <c r="I61" s="700"/>
      <c r="J61" s="713"/>
    </row>
    <row r="62" spans="2:11" x14ac:dyDescent="0.25">
      <c r="G62" s="716">
        <f>summ!I32</f>
        <v>14.982999999999999</v>
      </c>
      <c r="H62" s="491" t="str">
        <f>CONCATENATE("Total ",E1," Mill Rate")</f>
        <v>Total 2013 Mill Rate</v>
      </c>
      <c r="I62" s="700"/>
      <c r="J62" s="713"/>
    </row>
    <row r="63" spans="2:11" x14ac:dyDescent="0.25">
      <c r="B63" s="12"/>
      <c r="G63" s="715">
        <f>summ!F32</f>
        <v>15.565000000000001</v>
      </c>
      <c r="H63" s="717" t="str">
        <f>CONCATENATE("Total ",E1-1," Mill Rate")</f>
        <v>Total 2012 Mill Rate</v>
      </c>
      <c r="I63" s="718"/>
      <c r="J63" s="719"/>
    </row>
    <row r="64" spans="2:11" x14ac:dyDescent="0.25">
      <c r="G64" s="701"/>
      <c r="H64" s="500"/>
      <c r="I64" s="500"/>
      <c r="J64" s="704"/>
    </row>
    <row r="65" spans="3:10" x14ac:dyDescent="0.25">
      <c r="G65" s="703"/>
      <c r="H65" s="500"/>
      <c r="I65" s="701"/>
      <c r="J65" s="702"/>
    </row>
    <row r="66" spans="3:10" x14ac:dyDescent="0.25">
      <c r="E66" s="57"/>
    </row>
    <row r="68" spans="3:10" x14ac:dyDescent="0.25">
      <c r="E68" s="57"/>
    </row>
    <row r="70" spans="3:10" x14ac:dyDescent="0.25">
      <c r="C70" s="58"/>
    </row>
    <row r="71" spans="3:10" x14ac:dyDescent="0.25">
      <c r="C71" s="57"/>
      <c r="E71" s="57"/>
    </row>
    <row r="72" spans="3:10" hidden="1" x14ac:dyDescent="0.25">
      <c r="C72" s="16" t="str">
        <f>IF(C50&gt;C52,"See Tab A","")</f>
        <v/>
      </c>
      <c r="D72" s="16" t="str">
        <f>IF(D50&gt;D52,"See Tab C","")</f>
        <v/>
      </c>
    </row>
    <row r="73" spans="3:10" hidden="1" x14ac:dyDescent="0.25">
      <c r="C73" s="16" t="str">
        <f>IF(C51&lt;0,"See Tab B","")</f>
        <v/>
      </c>
      <c r="D73" s="16" t="str">
        <f>IF(D51&lt;0,"See Tab D","")</f>
        <v/>
      </c>
    </row>
  </sheetData>
  <sheetProtection sheet="1"/>
  <mergeCells count="6">
    <mergeCell ref="G58:J58"/>
    <mergeCell ref="C57:D57"/>
    <mergeCell ref="C53:D53"/>
    <mergeCell ref="C54:D54"/>
    <mergeCell ref="G41:J41"/>
    <mergeCell ref="G48:J48"/>
  </mergeCells>
  <phoneticPr fontId="0" type="noConversion"/>
  <conditionalFormatting sqref="E53">
    <cfRule type="cellIs" dxfId="127" priority="12" stopIfTrue="1" operator="greaterThan">
      <formula>$E$50/0.95-$E$50</formula>
    </cfRule>
  </conditionalFormatting>
  <conditionalFormatting sqref="C48">
    <cfRule type="cellIs" dxfId="126" priority="13" stopIfTrue="1" operator="greaterThan">
      <formula>$C$50*0.1</formula>
    </cfRule>
  </conditionalFormatting>
  <conditionalFormatting sqref="D48">
    <cfRule type="cellIs" dxfId="125" priority="14" stopIfTrue="1" operator="greaterThan">
      <formula>$D$50*0.1</formula>
    </cfRule>
  </conditionalFormatting>
  <conditionalFormatting sqref="E48">
    <cfRule type="cellIs" dxfId="124" priority="15" stopIfTrue="1" operator="greaterThan">
      <formula>$E$50*0.1</formula>
    </cfRule>
  </conditionalFormatting>
  <conditionalFormatting sqref="C51">
    <cfRule type="cellIs" dxfId="123" priority="17" stopIfTrue="1" operator="lessThan">
      <formula>0</formula>
    </cfRule>
  </conditionalFormatting>
  <conditionalFormatting sqref="D50">
    <cfRule type="cellIs" dxfId="122" priority="18" stopIfTrue="1" operator="greaterThan">
      <formula>$D$52</formula>
    </cfRule>
  </conditionalFormatting>
  <conditionalFormatting sqref="C45">
    <cfRule type="cellIs" dxfId="121" priority="19" stopIfTrue="1" operator="greaterThan">
      <formula>$C$27*0.25</formula>
    </cfRule>
  </conditionalFormatting>
  <conditionalFormatting sqref="C24">
    <cfRule type="cellIs" dxfId="120" priority="20" stopIfTrue="1" operator="greaterThan">
      <formula>$C$26*0.1</formula>
    </cfRule>
  </conditionalFormatting>
  <conditionalFormatting sqref="D24">
    <cfRule type="cellIs" dxfId="119" priority="21" stopIfTrue="1" operator="greaterThan">
      <formula>$D$26*0.1</formula>
    </cfRule>
  </conditionalFormatting>
  <conditionalFormatting sqref="E24">
    <cfRule type="cellIs" dxfId="118" priority="22" stopIfTrue="1" operator="greaterThan">
      <formula>$E$26*0.1+$E$57</formula>
    </cfRule>
  </conditionalFormatting>
  <conditionalFormatting sqref="C42">
    <cfRule type="expression" dxfId="117" priority="23" stopIfTrue="1">
      <formula>"Mike"</formula>
    </cfRule>
  </conditionalFormatting>
  <conditionalFormatting sqref="D45">
    <cfRule type="cellIs" dxfId="116" priority="24" stopIfTrue="1" operator="greaterThan">
      <formula>$D$27*0.25</formula>
    </cfRule>
  </conditionalFormatting>
  <conditionalFormatting sqref="E45">
    <cfRule type="cellIs" dxfId="115" priority="25" stopIfTrue="1" operator="greaterThan">
      <formula>$E$27*0.25+$E$57</formula>
    </cfRule>
  </conditionalFormatting>
  <conditionalFormatting sqref="C43">
    <cfRule type="expression" dxfId="114" priority="26" stopIfTrue="1">
      <formula>$C$8&gt;0</formula>
    </cfRule>
  </conditionalFormatting>
  <conditionalFormatting sqref="D43">
    <cfRule type="expression" dxfId="113" priority="28" stopIfTrue="1">
      <formula>$D$8&gt;0</formula>
    </cfRule>
  </conditionalFormatting>
  <conditionalFormatting sqref="C50">
    <cfRule type="cellIs" dxfId="112" priority="10" stopIfTrue="1" operator="greaterThan">
      <formula>$C$52</formula>
    </cfRule>
  </conditionalFormatting>
  <conditionalFormatting sqref="D51">
    <cfRule type="cellIs" dxfId="111" priority="9" stopIfTrue="1" operator="lessThan">
      <formula>0</formula>
    </cfRule>
  </conditionalFormatting>
  <conditionalFormatting sqref="E43">
    <cfRule type="expression" dxfId="110" priority="2" stopIfTrue="1">
      <formula>$E$57&gt;0</formula>
    </cfRule>
  </conditionalFormatting>
  <pageMargins left="0.9" right="0.9" top="0.96" bottom="0.5" header="0.41" footer="0.3"/>
  <pageSetup scale="81" orientation="portrait" blackAndWhite="1" horizontalDpi="1200" verticalDpi="1200" r:id="rId1"/>
  <headerFooter alignWithMargins="0">
    <oddHeader xml:space="preserve">&amp;RState of Kansas
Township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6"/>
  <sheetViews>
    <sheetView zoomScaleNormal="100" workbookViewId="0">
      <selection activeCell="G75" sqref="G75"/>
    </sheetView>
  </sheetViews>
  <sheetFormatPr defaultRowHeight="15.75" x14ac:dyDescent="0.25"/>
  <cols>
    <col min="1" max="1" width="2.19921875" style="591" customWidth="1"/>
    <col min="2" max="2" width="28.59765625" style="591" customWidth="1"/>
    <col min="3" max="4" width="14.19921875" style="591" customWidth="1"/>
    <col min="5" max="5" width="14.59765625" style="591" customWidth="1"/>
    <col min="6" max="6" width="7.296875" style="591" customWidth="1"/>
    <col min="7" max="7" width="9.19921875" style="591" customWidth="1"/>
    <col min="8" max="8" width="8.796875" style="591"/>
    <col min="9" max="9" width="4.5" style="591" customWidth="1"/>
    <col min="10" max="10" width="9" style="591" customWidth="1"/>
    <col min="11" max="16384" width="8.796875" style="591"/>
  </cols>
  <sheetData>
    <row r="1" spans="2:5" x14ac:dyDescent="0.25">
      <c r="B1" s="588" t="str">
        <f>inputPrYr!D2</f>
        <v>Delhi Township</v>
      </c>
      <c r="C1" s="588"/>
      <c r="D1" s="589"/>
      <c r="E1" s="590">
        <f>inputPrYr!D5</f>
        <v>2013</v>
      </c>
    </row>
    <row r="2" spans="2:5" x14ac:dyDescent="0.25">
      <c r="B2" s="589"/>
      <c r="C2" s="589"/>
      <c r="D2" s="589"/>
      <c r="E2" s="592"/>
    </row>
    <row r="3" spans="2:5" x14ac:dyDescent="0.25">
      <c r="B3" s="541" t="s">
        <v>721</v>
      </c>
      <c r="C3" s="541"/>
      <c r="D3" s="593"/>
      <c r="E3" s="594"/>
    </row>
    <row r="4" spans="2:5" x14ac:dyDescent="0.25">
      <c r="B4" s="595" t="s">
        <v>10</v>
      </c>
      <c r="C4" s="596" t="s">
        <v>822</v>
      </c>
      <c r="D4" s="597" t="s">
        <v>823</v>
      </c>
      <c r="E4" s="598" t="s">
        <v>824</v>
      </c>
    </row>
    <row r="5" spans="2:5" x14ac:dyDescent="0.25">
      <c r="B5" s="599" t="str">
        <f>inputPrYr!B17</f>
        <v>Debt Service</v>
      </c>
      <c r="C5" s="600" t="str">
        <f>CONCATENATE("Actual for ",$E$1-2,"")</f>
        <v>Actual for 2011</v>
      </c>
      <c r="D5" s="601" t="str">
        <f>CONCATENATE("Estimate for ",$E$1-1,"")</f>
        <v>Estimate for 2012</v>
      </c>
      <c r="E5" s="602" t="str">
        <f>CONCATENATE("Year for ",$E$1,"")</f>
        <v>Year for 2013</v>
      </c>
    </row>
    <row r="6" spans="2:5" x14ac:dyDescent="0.25">
      <c r="B6" s="603" t="s">
        <v>144</v>
      </c>
      <c r="C6" s="604"/>
      <c r="D6" s="605">
        <f>C34</f>
        <v>0</v>
      </c>
      <c r="E6" s="606">
        <f>D34</f>
        <v>12288</v>
      </c>
    </row>
    <row r="7" spans="2:5" x14ac:dyDescent="0.25">
      <c r="B7" s="603" t="s">
        <v>120</v>
      </c>
      <c r="C7" s="607"/>
      <c r="D7" s="605"/>
      <c r="E7" s="606"/>
    </row>
    <row r="8" spans="2:5" x14ac:dyDescent="0.25">
      <c r="B8" s="603" t="s">
        <v>16</v>
      </c>
      <c r="C8" s="608"/>
      <c r="D8" s="605">
        <f>IF(inputPrYr!H15&gt;0,inputPrYr!G19,inputPrYr!E19)</f>
        <v>12288</v>
      </c>
      <c r="E8" s="609" t="s">
        <v>290</v>
      </c>
    </row>
    <row r="9" spans="2:5" x14ac:dyDescent="0.25">
      <c r="B9" s="603" t="s">
        <v>17</v>
      </c>
      <c r="C9" s="608"/>
      <c r="D9" s="610"/>
      <c r="E9" s="611"/>
    </row>
    <row r="10" spans="2:5" x14ac:dyDescent="0.25">
      <c r="B10" s="603" t="s">
        <v>18</v>
      </c>
      <c r="C10" s="608"/>
      <c r="D10" s="610"/>
      <c r="E10" s="606">
        <f>mvalloc!G12</f>
        <v>0</v>
      </c>
    </row>
    <row r="11" spans="2:5" x14ac:dyDescent="0.25">
      <c r="B11" s="603" t="s">
        <v>19</v>
      </c>
      <c r="C11" s="608"/>
      <c r="D11" s="610"/>
      <c r="E11" s="606">
        <f>mvalloc!I12</f>
        <v>0</v>
      </c>
    </row>
    <row r="12" spans="2:5" x14ac:dyDescent="0.25">
      <c r="B12" s="612" t="s">
        <v>99</v>
      </c>
      <c r="C12" s="608"/>
      <c r="D12" s="610"/>
      <c r="E12" s="606">
        <f>mvalloc!J12</f>
        <v>0</v>
      </c>
    </row>
    <row r="13" spans="2:5" x14ac:dyDescent="0.25">
      <c r="B13" s="613"/>
      <c r="C13" s="608"/>
      <c r="D13" s="610"/>
      <c r="E13" s="614"/>
    </row>
    <row r="14" spans="2:5" x14ac:dyDescent="0.25">
      <c r="B14" s="613"/>
      <c r="C14" s="608"/>
      <c r="D14" s="610"/>
      <c r="E14" s="611"/>
    </row>
    <row r="15" spans="2:5" x14ac:dyDescent="0.25">
      <c r="B15" s="613"/>
      <c r="C15" s="608"/>
      <c r="D15" s="610"/>
      <c r="E15" s="611"/>
    </row>
    <row r="16" spans="2:5" x14ac:dyDescent="0.25">
      <c r="B16" s="613"/>
      <c r="C16" s="608"/>
      <c r="D16" s="610"/>
      <c r="E16" s="611"/>
    </row>
    <row r="17" spans="2:10" x14ac:dyDescent="0.25">
      <c r="B17" s="615" t="s">
        <v>22</v>
      </c>
      <c r="C17" s="608"/>
      <c r="D17" s="610"/>
      <c r="E17" s="611"/>
    </row>
    <row r="18" spans="2:10" x14ac:dyDescent="0.25">
      <c r="B18" s="603" t="s">
        <v>213</v>
      </c>
      <c r="C18" s="616"/>
      <c r="D18" s="610"/>
      <c r="E18" s="611"/>
    </row>
    <row r="19" spans="2:10" x14ac:dyDescent="0.25">
      <c r="B19" s="603" t="s">
        <v>828</v>
      </c>
      <c r="C19" s="617" t="str">
        <f>IF(C20*0.1&lt;C18,"Exceed 10% Rule","")</f>
        <v/>
      </c>
      <c r="D19" s="617" t="str">
        <f>IF(D20*0.1&lt;D18,"Exceeds 10% Rule","")</f>
        <v/>
      </c>
      <c r="E19" s="618" t="str">
        <f>IF(E20*0.1&lt;E18,"Exceed 10% Rule","")</f>
        <v/>
      </c>
    </row>
    <row r="20" spans="2:10" x14ac:dyDescent="0.25">
      <c r="B20" s="619" t="s">
        <v>23</v>
      </c>
      <c r="C20" s="620">
        <f>SUM(C8:C18)</f>
        <v>0</v>
      </c>
      <c r="D20" s="620">
        <f>SUM(D8:D18)</f>
        <v>12288</v>
      </c>
      <c r="E20" s="621">
        <f>SUM(E9:E18)</f>
        <v>0</v>
      </c>
    </row>
    <row r="21" spans="2:10" x14ac:dyDescent="0.25">
      <c r="B21" s="619" t="s">
        <v>24</v>
      </c>
      <c r="C21" s="620">
        <f>C6+C20</f>
        <v>0</v>
      </c>
      <c r="D21" s="620">
        <f>D6+D20</f>
        <v>12288</v>
      </c>
      <c r="E21" s="621">
        <f>E6+E20</f>
        <v>12288</v>
      </c>
    </row>
    <row r="22" spans="2:10" x14ac:dyDescent="0.25">
      <c r="B22" s="603" t="s">
        <v>25</v>
      </c>
      <c r="C22" s="603"/>
      <c r="D22" s="605"/>
      <c r="E22" s="606"/>
    </row>
    <row r="23" spans="2:10" x14ac:dyDescent="0.25">
      <c r="B23" s="613"/>
      <c r="C23" s="608"/>
      <c r="D23" s="610"/>
      <c r="E23" s="611"/>
    </row>
    <row r="24" spans="2:10" x14ac:dyDescent="0.25">
      <c r="B24" s="613"/>
      <c r="C24" s="608"/>
      <c r="D24" s="610"/>
      <c r="E24" s="611"/>
      <c r="G24" s="820" t="str">
        <f>CONCATENATE("Desired Carryover Into ",E1+1,"")</f>
        <v>Desired Carryover Into 2014</v>
      </c>
      <c r="H24" s="821"/>
      <c r="I24" s="821"/>
      <c r="J24" s="822"/>
    </row>
    <row r="25" spans="2:10" x14ac:dyDescent="0.25">
      <c r="B25" s="613"/>
      <c r="C25" s="610"/>
      <c r="D25" s="610"/>
      <c r="E25" s="611"/>
      <c r="G25" s="622"/>
      <c r="H25" s="623"/>
      <c r="I25" s="624"/>
      <c r="J25" s="625"/>
    </row>
    <row r="26" spans="2:10" x14ac:dyDescent="0.25">
      <c r="B26" s="613"/>
      <c r="C26" s="608"/>
      <c r="D26" s="610"/>
      <c r="E26" s="611"/>
      <c r="G26" s="626" t="s">
        <v>715</v>
      </c>
      <c r="H26" s="624"/>
      <c r="I26" s="624"/>
      <c r="J26" s="627">
        <v>0</v>
      </c>
    </row>
    <row r="27" spans="2:10" x14ac:dyDescent="0.25">
      <c r="B27" s="613"/>
      <c r="C27" s="608"/>
      <c r="D27" s="610"/>
      <c r="E27" s="611"/>
      <c r="G27" s="622" t="s">
        <v>716</v>
      </c>
      <c r="H27" s="623"/>
      <c r="I27" s="623"/>
      <c r="J27" s="628" t="str">
        <f>IF(J26=0,"",ROUND((J26+E40-G39)/inputOth!E7*1000,3)-G44)</f>
        <v/>
      </c>
    </row>
    <row r="28" spans="2:10" x14ac:dyDescent="0.25">
      <c r="B28" s="613"/>
      <c r="C28" s="608"/>
      <c r="D28" s="610"/>
      <c r="E28" s="611"/>
      <c r="G28" s="629" t="str">
        <f>CONCATENATE("",E1," Tot Exp/Non-Appr Must Be:")</f>
        <v>2013 Tot Exp/Non-Appr Must Be:</v>
      </c>
      <c r="H28" s="630"/>
      <c r="I28" s="631"/>
      <c r="J28" s="632">
        <f>IF(J26&gt;0,IF(E37&lt;E21,IF(J26=G39,E37,((J26-G39)*(1-D39))+E21),E37+(J26-G39)),0)</f>
        <v>0</v>
      </c>
    </row>
    <row r="29" spans="2:10" x14ac:dyDescent="0.25">
      <c r="B29" s="613"/>
      <c r="C29" s="608"/>
      <c r="D29" s="610"/>
      <c r="E29" s="611"/>
      <c r="G29" s="633" t="s">
        <v>825</v>
      </c>
      <c r="H29" s="634"/>
      <c r="I29" s="634"/>
      <c r="J29" s="635">
        <f>IF(J26&gt;0,J28-E37,0)</f>
        <v>0</v>
      </c>
    </row>
    <row r="30" spans="2:10" x14ac:dyDescent="0.25">
      <c r="B30" s="636" t="s">
        <v>215</v>
      </c>
      <c r="C30" s="608"/>
      <c r="D30" s="610"/>
      <c r="E30" s="606" t="str">
        <f>nhood!E7</f>
        <v/>
      </c>
    </row>
    <row r="31" spans="2:10" x14ac:dyDescent="0.25">
      <c r="B31" s="636" t="s">
        <v>213</v>
      </c>
      <c r="C31" s="616"/>
      <c r="D31" s="610"/>
      <c r="E31" s="611"/>
      <c r="G31" s="820" t="str">
        <f>CONCATENATE("Projected Carryover Into ",E1+1,"")</f>
        <v>Projected Carryover Into 2014</v>
      </c>
      <c r="H31" s="825"/>
      <c r="I31" s="825"/>
      <c r="J31" s="824"/>
    </row>
    <row r="32" spans="2:10" x14ac:dyDescent="0.25">
      <c r="B32" s="636" t="s">
        <v>622</v>
      </c>
      <c r="C32" s="617" t="str">
        <f>IF(C33*0.1&lt;C31,"Exceed 10% Rule","")</f>
        <v/>
      </c>
      <c r="D32" s="617" t="str">
        <f>IF(D33*0.1&lt;D31,"Exceed 10% Rule","")</f>
        <v/>
      </c>
      <c r="E32" s="618" t="str">
        <f>IF(E33*0.1&lt;E31,"Exceed 10% Rule","")</f>
        <v/>
      </c>
      <c r="G32" s="622"/>
      <c r="H32" s="624"/>
      <c r="I32" s="624"/>
      <c r="J32" s="637"/>
    </row>
    <row r="33" spans="2:11" x14ac:dyDescent="0.25">
      <c r="B33" s="619" t="s">
        <v>26</v>
      </c>
      <c r="C33" s="638">
        <f>SUM(C23:C31)</f>
        <v>0</v>
      </c>
      <c r="D33" s="638">
        <f>SUM(D23:D31)</f>
        <v>0</v>
      </c>
      <c r="E33" s="639">
        <f>SUM(E23:E31)</f>
        <v>0</v>
      </c>
      <c r="G33" s="640">
        <f>D34</f>
        <v>12288</v>
      </c>
      <c r="H33" s="641" t="str">
        <f>CONCATENATE("",E1-1," Ending Cash Balance (est.)")</f>
        <v>2012 Ending Cash Balance (est.)</v>
      </c>
      <c r="I33" s="642"/>
      <c r="J33" s="637"/>
    </row>
    <row r="34" spans="2:11" x14ac:dyDescent="0.25">
      <c r="B34" s="603" t="s">
        <v>119</v>
      </c>
      <c r="C34" s="643">
        <f>C21-C33</f>
        <v>0</v>
      </c>
      <c r="D34" s="643">
        <f>D21-D33</f>
        <v>12288</v>
      </c>
      <c r="E34" s="609" t="s">
        <v>290</v>
      </c>
      <c r="F34" s="644"/>
      <c r="G34" s="640">
        <f>E20</f>
        <v>0</v>
      </c>
      <c r="H34" s="624" t="str">
        <f>CONCATENATE("",E1," Non-AV Receipts (est.)")</f>
        <v>2013 Non-AV Receipts (est.)</v>
      </c>
      <c r="I34" s="642"/>
      <c r="J34" s="637"/>
    </row>
    <row r="35" spans="2:11" x14ac:dyDescent="0.25">
      <c r="B35" s="645" t="str">
        <f>CONCATENATE("",E1-2,"/",E1-1," Budget Authority Amount:")</f>
        <v>2011/2012 Budget Authority Amount:</v>
      </c>
      <c r="C35" s="646">
        <f>inputOth!B47</f>
        <v>0</v>
      </c>
      <c r="D35" s="647">
        <f>inputPrYr!D17</f>
        <v>0</v>
      </c>
      <c r="E35" s="609" t="s">
        <v>290</v>
      </c>
      <c r="F35" s="648"/>
      <c r="G35" s="649">
        <f>IF(E39&gt;0,E38,E40)</f>
        <v>0</v>
      </c>
      <c r="H35" s="624" t="str">
        <f>CONCATENATE("",E1," Ad Valorem Tax (est.)")</f>
        <v>2013 Ad Valorem Tax (est.)</v>
      </c>
      <c r="I35" s="624"/>
      <c r="J35" s="747"/>
      <c r="K35" s="748" t="str">
        <f>IF(G35=E40,"","Note: Does not include Delinquent Taxes")</f>
        <v/>
      </c>
    </row>
    <row r="36" spans="2:11" x14ac:dyDescent="0.25">
      <c r="B36" s="645"/>
      <c r="C36" s="808" t="s">
        <v>623</v>
      </c>
      <c r="D36" s="809"/>
      <c r="E36" s="611"/>
      <c r="F36" s="651" t="str">
        <f>IF(E33/0.95-E33&lt;E36,"Exceeds 5%","")</f>
        <v/>
      </c>
      <c r="G36" s="640">
        <f>SUM(G33:G35)</f>
        <v>12288</v>
      </c>
      <c r="H36" s="624" t="str">
        <f>CONCATENATE("Total ",E1," Resources Available")</f>
        <v>Total 2013 Resources Available</v>
      </c>
      <c r="I36" s="642"/>
      <c r="J36" s="637"/>
    </row>
    <row r="37" spans="2:11" x14ac:dyDescent="0.25">
      <c r="B37" s="652" t="str">
        <f>CONCATENATE(C93,"     ",D93)</f>
        <v xml:space="preserve">     </v>
      </c>
      <c r="C37" s="810" t="s">
        <v>624</v>
      </c>
      <c r="D37" s="811"/>
      <c r="E37" s="606">
        <f>E33+E36</f>
        <v>0</v>
      </c>
      <c r="F37" s="644"/>
      <c r="G37" s="653"/>
      <c r="H37" s="624"/>
      <c r="I37" s="624"/>
      <c r="J37" s="637"/>
    </row>
    <row r="38" spans="2:11" x14ac:dyDescent="0.25">
      <c r="B38" s="652" t="str">
        <f>CONCATENATE(C94,"     ",D94)</f>
        <v xml:space="preserve">     </v>
      </c>
      <c r="C38" s="654"/>
      <c r="D38" s="592" t="s">
        <v>28</v>
      </c>
      <c r="E38" s="655">
        <f>IF(E37-E21&gt;0,E37-E21,0)</f>
        <v>0</v>
      </c>
      <c r="F38" s="644"/>
      <c r="G38" s="649">
        <f>C33</f>
        <v>0</v>
      </c>
      <c r="H38" s="624" t="str">
        <f>CONCATENATE("Less ",E1-2," Expenditures")</f>
        <v>Less 2011 Expenditures</v>
      </c>
      <c r="I38" s="624"/>
      <c r="J38" s="637"/>
    </row>
    <row r="39" spans="2:11" x14ac:dyDescent="0.25">
      <c r="B39" s="592"/>
      <c r="C39" s="403" t="s">
        <v>625</v>
      </c>
      <c r="D39" s="656">
        <f>inputOth!E40</f>
        <v>0</v>
      </c>
      <c r="E39" s="606">
        <f>ROUND(IF(D39&gt;0,(E38*D39),0),0)</f>
        <v>0</v>
      </c>
      <c r="F39" s="644"/>
      <c r="G39" s="657">
        <f>G36-G38</f>
        <v>12288</v>
      </c>
      <c r="H39" s="658" t="str">
        <f>CONCATENATE("Projected ",E1+1," carryover (est.)")</f>
        <v>Projected 2014 carryover (est.)</v>
      </c>
      <c r="I39" s="659"/>
      <c r="J39" s="660"/>
    </row>
    <row r="40" spans="2:11" ht="16.5" thickBot="1" x14ac:dyDescent="0.3">
      <c r="B40" s="589"/>
      <c r="C40" s="815" t="str">
        <f>CONCATENATE("Amount of  ",E1-1," Ad Valorem Tax")</f>
        <v>Amount of  2012 Ad Valorem Tax</v>
      </c>
      <c r="D40" s="816"/>
      <c r="E40" s="662">
        <f>SUM(E38:E39)</f>
        <v>0</v>
      </c>
      <c r="F40" s="644"/>
    </row>
    <row r="41" spans="2:11" ht="16.5" thickTop="1" x14ac:dyDescent="0.25">
      <c r="B41" s="589"/>
      <c r="C41" s="815"/>
      <c r="D41" s="816"/>
      <c r="E41" s="663"/>
      <c r="F41" s="644"/>
      <c r="G41" s="817" t="s">
        <v>826</v>
      </c>
      <c r="H41" s="818"/>
      <c r="I41" s="818"/>
      <c r="J41" s="819"/>
    </row>
    <row r="42" spans="2:11" x14ac:dyDescent="0.25">
      <c r="B42" s="589"/>
      <c r="C42" s="661"/>
      <c r="D42" s="589"/>
      <c r="E42" s="589"/>
      <c r="F42" s="644"/>
      <c r="G42" s="664"/>
      <c r="H42" s="641"/>
      <c r="I42" s="665"/>
      <c r="J42" s="666"/>
    </row>
    <row r="43" spans="2:11" x14ac:dyDescent="0.25">
      <c r="B43" s="595"/>
      <c r="C43" s="595"/>
      <c r="D43" s="593"/>
      <c r="E43" s="593"/>
      <c r="F43" s="644"/>
      <c r="G43" s="667" t="str">
        <f>summ!I19</f>
        <v xml:space="preserve"> </v>
      </c>
      <c r="H43" s="641" t="str">
        <f>CONCATENATE("",E1," Fund Mill Rate")</f>
        <v>2013 Fund Mill Rate</v>
      </c>
      <c r="I43" s="665"/>
      <c r="J43" s="666"/>
    </row>
    <row r="44" spans="2:11" x14ac:dyDescent="0.25">
      <c r="B44" s="595" t="s">
        <v>10</v>
      </c>
      <c r="C44" s="596" t="s">
        <v>822</v>
      </c>
      <c r="D44" s="597" t="s">
        <v>823</v>
      </c>
      <c r="E44" s="598" t="s">
        <v>824</v>
      </c>
      <c r="F44" s="644"/>
      <c r="G44" s="668" t="str">
        <f>summ!F19</f>
        <v xml:space="preserve">  </v>
      </c>
      <c r="H44" s="641" t="str">
        <f>CONCATENATE("",E1-1," Fund Mill Rate")</f>
        <v>2012 Fund Mill Rate</v>
      </c>
      <c r="I44" s="665"/>
      <c r="J44" s="666"/>
    </row>
    <row r="45" spans="2:11" x14ac:dyDescent="0.25">
      <c r="B45" s="669" t="str">
        <f>inputPrYr!B18</f>
        <v>Library</v>
      </c>
      <c r="C45" s="600" t="str">
        <f>CONCATENATE("Actual for ",$E$1-2,"")</f>
        <v>Actual for 2011</v>
      </c>
      <c r="D45" s="601" t="str">
        <f>CONCATENATE("Estimate for ",$E$1-1,"")</f>
        <v>Estimate for 2012</v>
      </c>
      <c r="E45" s="602" t="str">
        <f>CONCATENATE("Year for ",$E$1,"")</f>
        <v>Year for 2013</v>
      </c>
      <c r="F45" s="644"/>
      <c r="G45" s="670">
        <f>summ!I32</f>
        <v>14.982999999999999</v>
      </c>
      <c r="H45" s="641" t="str">
        <f>CONCATENATE("Total ",E1," Mill Rate")</f>
        <v>Total 2013 Mill Rate</v>
      </c>
      <c r="I45" s="665"/>
      <c r="J45" s="666"/>
    </row>
    <row r="46" spans="2:11" x14ac:dyDescent="0.25">
      <c r="B46" s="603" t="s">
        <v>144</v>
      </c>
      <c r="C46" s="608">
        <v>0</v>
      </c>
      <c r="D46" s="605">
        <f>C74</f>
        <v>0</v>
      </c>
      <c r="E46" s="606">
        <f>D74</f>
        <v>979</v>
      </c>
      <c r="F46" s="644"/>
      <c r="G46" s="668">
        <f>summ!F32</f>
        <v>15.565000000000001</v>
      </c>
      <c r="H46" s="671" t="str">
        <f>CONCATENATE("Total ",E1-1," Mill Rate")</f>
        <v>Total 2012 Mill Rate</v>
      </c>
      <c r="I46" s="672"/>
      <c r="J46" s="673"/>
    </row>
    <row r="47" spans="2:11" x14ac:dyDescent="0.25">
      <c r="B47" s="674" t="s">
        <v>120</v>
      </c>
      <c r="C47" s="603"/>
      <c r="D47" s="605"/>
      <c r="E47" s="606"/>
      <c r="F47" s="644"/>
    </row>
    <row r="48" spans="2:11" x14ac:dyDescent="0.25">
      <c r="B48" s="603" t="s">
        <v>16</v>
      </c>
      <c r="C48" s="616"/>
      <c r="D48" s="605">
        <f>IF(inputPrYr!H15&gt;0,inputPrYr!G20,inputPrYr!E20)</f>
        <v>979</v>
      </c>
      <c r="E48" s="609" t="s">
        <v>290</v>
      </c>
      <c r="F48" s="644"/>
    </row>
    <row r="49" spans="2:10" x14ac:dyDescent="0.25">
      <c r="B49" s="603" t="s">
        <v>17</v>
      </c>
      <c r="C49" s="616"/>
      <c r="D49" s="610"/>
      <c r="E49" s="611"/>
      <c r="F49" s="644"/>
    </row>
    <row r="50" spans="2:10" x14ac:dyDescent="0.25">
      <c r="B50" s="603" t="s">
        <v>18</v>
      </c>
      <c r="C50" s="616"/>
      <c r="D50" s="610"/>
      <c r="E50" s="606">
        <f>mvalloc!G13</f>
        <v>0</v>
      </c>
      <c r="F50" s="644"/>
    </row>
    <row r="51" spans="2:10" x14ac:dyDescent="0.25">
      <c r="B51" s="603" t="s">
        <v>19</v>
      </c>
      <c r="C51" s="616"/>
      <c r="D51" s="610"/>
      <c r="E51" s="606">
        <f>mvalloc!I13</f>
        <v>0</v>
      </c>
      <c r="F51" s="644"/>
    </row>
    <row r="52" spans="2:10" x14ac:dyDescent="0.25">
      <c r="B52" s="612" t="s">
        <v>99</v>
      </c>
      <c r="C52" s="616"/>
      <c r="D52" s="610"/>
      <c r="E52" s="606">
        <f>mvalloc!J13</f>
        <v>0</v>
      </c>
    </row>
    <row r="53" spans="2:10" x14ac:dyDescent="0.25">
      <c r="B53" s="613"/>
      <c r="C53" s="616"/>
      <c r="D53" s="610"/>
      <c r="E53" s="614"/>
    </row>
    <row r="54" spans="2:10" x14ac:dyDescent="0.25">
      <c r="B54" s="613"/>
      <c r="C54" s="616"/>
      <c r="D54" s="610"/>
      <c r="E54" s="614"/>
    </row>
    <row r="55" spans="2:10" x14ac:dyDescent="0.25">
      <c r="B55" s="613"/>
      <c r="C55" s="616"/>
      <c r="D55" s="610"/>
      <c r="E55" s="611"/>
    </row>
    <row r="56" spans="2:10" x14ac:dyDescent="0.25">
      <c r="B56" s="613"/>
      <c r="C56" s="616"/>
      <c r="D56" s="610"/>
      <c r="E56" s="611"/>
    </row>
    <row r="57" spans="2:10" x14ac:dyDescent="0.25">
      <c r="B57" s="615" t="s">
        <v>22</v>
      </c>
      <c r="C57" s="616"/>
      <c r="D57" s="610"/>
      <c r="E57" s="611"/>
    </row>
    <row r="58" spans="2:10" x14ac:dyDescent="0.25">
      <c r="B58" s="603" t="s">
        <v>213</v>
      </c>
      <c r="C58" s="616"/>
      <c r="D58" s="616"/>
      <c r="E58" s="675"/>
    </row>
    <row r="59" spans="2:10" x14ac:dyDescent="0.25">
      <c r="B59" s="603" t="s">
        <v>828</v>
      </c>
      <c r="C59" s="617" t="str">
        <f>IF(C60*0.1&lt;C58,"Exceed 10% Rule","")</f>
        <v/>
      </c>
      <c r="D59" s="617" t="str">
        <f>IF(D60*0.1&lt;D58,"Exceeds 10% Rule","")</f>
        <v/>
      </c>
      <c r="E59" s="618" t="str">
        <f>IF(E60*0.1&lt;E58,"Exceed 10% Rule","")</f>
        <v/>
      </c>
    </row>
    <row r="60" spans="2:10" x14ac:dyDescent="0.25">
      <c r="B60" s="619" t="s">
        <v>23</v>
      </c>
      <c r="C60" s="638">
        <f>SUM(C48:C58)</f>
        <v>0</v>
      </c>
      <c r="D60" s="638">
        <f>SUM(D48:D58)</f>
        <v>979</v>
      </c>
      <c r="E60" s="639">
        <f>SUM(E49:E58)</f>
        <v>0</v>
      </c>
    </row>
    <row r="61" spans="2:10" x14ac:dyDescent="0.25">
      <c r="B61" s="619" t="s">
        <v>24</v>
      </c>
      <c r="C61" s="638">
        <f>C46+C60</f>
        <v>0</v>
      </c>
      <c r="D61" s="638">
        <f>D46+D60</f>
        <v>979</v>
      </c>
      <c r="E61" s="639">
        <f>E46+E60</f>
        <v>979</v>
      </c>
    </row>
    <row r="62" spans="2:10" x14ac:dyDescent="0.25">
      <c r="B62" s="603" t="s">
        <v>25</v>
      </c>
      <c r="C62" s="603"/>
      <c r="D62" s="605"/>
      <c r="E62" s="606"/>
    </row>
    <row r="63" spans="2:10" x14ac:dyDescent="0.25">
      <c r="B63" s="613"/>
      <c r="C63" s="608"/>
      <c r="D63" s="610"/>
      <c r="E63" s="611"/>
    </row>
    <row r="64" spans="2:10" x14ac:dyDescent="0.25">
      <c r="B64" s="613"/>
      <c r="C64" s="608"/>
      <c r="D64" s="610"/>
      <c r="E64" s="611"/>
      <c r="G64" s="820" t="str">
        <f>CONCATENATE("Desired Carryover Into ",E1+1,"")</f>
        <v>Desired Carryover Into 2014</v>
      </c>
      <c r="H64" s="821"/>
      <c r="I64" s="821"/>
      <c r="J64" s="822"/>
    </row>
    <row r="65" spans="2:11" x14ac:dyDescent="0.25">
      <c r="B65" s="613"/>
      <c r="C65" s="608"/>
      <c r="D65" s="610"/>
      <c r="E65" s="611"/>
      <c r="G65" s="622"/>
      <c r="H65" s="623"/>
      <c r="I65" s="624"/>
      <c r="J65" s="625"/>
    </row>
    <row r="66" spans="2:11" x14ac:dyDescent="0.25">
      <c r="B66" s="613"/>
      <c r="C66" s="608"/>
      <c r="D66" s="610"/>
      <c r="E66" s="611"/>
      <c r="G66" s="626" t="s">
        <v>715</v>
      </c>
      <c r="H66" s="624"/>
      <c r="I66" s="624"/>
      <c r="J66" s="627">
        <v>0</v>
      </c>
    </row>
    <row r="67" spans="2:11" x14ac:dyDescent="0.25">
      <c r="B67" s="613"/>
      <c r="C67" s="608"/>
      <c r="D67" s="610"/>
      <c r="E67" s="611"/>
      <c r="G67" s="622" t="s">
        <v>716</v>
      </c>
      <c r="H67" s="623"/>
      <c r="I67" s="623"/>
      <c r="J67" s="628" t="str">
        <f>IF(J66=0,"",ROUND((J66+E80-G79)/inputOth!E7*1000,3)-G84)</f>
        <v/>
      </c>
    </row>
    <row r="68" spans="2:11" x14ac:dyDescent="0.25">
      <c r="B68" s="613"/>
      <c r="C68" s="608"/>
      <c r="D68" s="610"/>
      <c r="E68" s="611"/>
      <c r="G68" s="629" t="str">
        <f>CONCATENATE("",E1," Tot Exp/Non-Appr Must Be:")</f>
        <v>2013 Tot Exp/Non-Appr Must Be:</v>
      </c>
      <c r="H68" s="630"/>
      <c r="I68" s="631"/>
      <c r="J68" s="632">
        <f>IF(J66&gt;0,IF(E77&lt;E61,IF(J66=G79,E77,((J66-G79)*(1-D79))+E61),E77+(J66-G79)),0)</f>
        <v>0</v>
      </c>
    </row>
    <row r="69" spans="2:11" x14ac:dyDescent="0.25">
      <c r="B69" s="613"/>
      <c r="C69" s="608"/>
      <c r="D69" s="610"/>
      <c r="E69" s="611"/>
      <c r="G69" s="633" t="s">
        <v>825</v>
      </c>
      <c r="H69" s="634"/>
      <c r="I69" s="634"/>
      <c r="J69" s="635">
        <f>IF(J66&gt;0,J68-E77,0)</f>
        <v>0</v>
      </c>
    </row>
    <row r="70" spans="2:11" x14ac:dyDescent="0.25">
      <c r="B70" s="612" t="s">
        <v>215</v>
      </c>
      <c r="C70" s="608"/>
      <c r="D70" s="610"/>
      <c r="E70" s="606" t="str">
        <f>nhood!E8</f>
        <v/>
      </c>
      <c r="F70" s="644"/>
    </row>
    <row r="71" spans="2:11" x14ac:dyDescent="0.25">
      <c r="B71" s="612" t="s">
        <v>213</v>
      </c>
      <c r="C71" s="616"/>
      <c r="D71" s="610"/>
      <c r="E71" s="611"/>
      <c r="F71" s="644"/>
      <c r="G71" s="820" t="str">
        <f>CONCATENATE("Projected Carryover Into ",E1+1,"")</f>
        <v>Projected Carryover Into 2014</v>
      </c>
      <c r="H71" s="823"/>
      <c r="I71" s="823"/>
      <c r="J71" s="824"/>
    </row>
    <row r="72" spans="2:11" x14ac:dyDescent="0.25">
      <c r="B72" s="612" t="s">
        <v>622</v>
      </c>
      <c r="C72" s="617" t="str">
        <f>IF(C73*0.1&lt;C71,"Exceed 10% Rule","")</f>
        <v/>
      </c>
      <c r="D72" s="617" t="str">
        <f>IF(D73*0.1&lt;D71,"Exceed 10% Rule","")</f>
        <v/>
      </c>
      <c r="E72" s="618" t="str">
        <f>IF(E73*0.1&lt;E71,"Exceed 10% Rule","")</f>
        <v/>
      </c>
      <c r="F72" s="644"/>
      <c r="G72" s="676"/>
      <c r="H72" s="623"/>
      <c r="I72" s="623"/>
      <c r="J72" s="677"/>
    </row>
    <row r="73" spans="2:11" x14ac:dyDescent="0.25">
      <c r="B73" s="619" t="s">
        <v>26</v>
      </c>
      <c r="C73" s="638">
        <f>SUM(C63:C71)</f>
        <v>0</v>
      </c>
      <c r="D73" s="638">
        <f>SUM(D63:D71)</f>
        <v>0</v>
      </c>
      <c r="E73" s="639">
        <f>SUM(E63:E71)</f>
        <v>0</v>
      </c>
      <c r="F73" s="644"/>
      <c r="G73" s="640">
        <f>D74</f>
        <v>979</v>
      </c>
      <c r="H73" s="641" t="str">
        <f>CONCATENATE("",E1-1," Ending Cash Balance (est.)")</f>
        <v>2012 Ending Cash Balance (est.)</v>
      </c>
      <c r="I73" s="642"/>
      <c r="J73" s="677"/>
    </row>
    <row r="74" spans="2:11" x14ac:dyDescent="0.25">
      <c r="B74" s="603" t="s">
        <v>119</v>
      </c>
      <c r="C74" s="643">
        <f>C61-C73</f>
        <v>0</v>
      </c>
      <c r="D74" s="643">
        <f>D61-D73</f>
        <v>979</v>
      </c>
      <c r="E74" s="609" t="s">
        <v>290</v>
      </c>
      <c r="F74" s="644"/>
      <c r="G74" s="640">
        <f>E60</f>
        <v>0</v>
      </c>
      <c r="H74" s="624" t="str">
        <f>CONCATENATE("",E1," Non-AV Receipts (est.)")</f>
        <v>2013 Non-AV Receipts (est.)</v>
      </c>
      <c r="I74" s="642"/>
      <c r="J74" s="677"/>
    </row>
    <row r="75" spans="2:11" x14ac:dyDescent="0.25">
      <c r="B75" s="645" t="str">
        <f>CONCATENATE("",E1-2,"/",E1-1," Budget Authority Amount:")</f>
        <v>2011/2012 Budget Authority Amount:</v>
      </c>
      <c r="C75" s="646">
        <f>inputOth!B48</f>
        <v>0</v>
      </c>
      <c r="D75" s="646">
        <f>inputPrYr!D18</f>
        <v>0</v>
      </c>
      <c r="E75" s="609" t="s">
        <v>290</v>
      </c>
      <c r="F75" s="648"/>
      <c r="G75" s="649">
        <f>IF(E79&gt;0,E78,E80)</f>
        <v>0</v>
      </c>
      <c r="H75" s="624" t="str">
        <f>CONCATENATE("",E1," Ad Valorem Tax (est.)")</f>
        <v>2013 Ad Valorem Tax (est.)</v>
      </c>
      <c r="I75" s="642"/>
      <c r="J75" s="677"/>
      <c r="K75" s="650" t="str">
        <f>IF(G75=E80,"","Note: Does not include Delinquent Taxes")</f>
        <v/>
      </c>
    </row>
    <row r="76" spans="2:11" x14ac:dyDescent="0.25">
      <c r="B76" s="645"/>
      <c r="C76" s="808" t="s">
        <v>623</v>
      </c>
      <c r="D76" s="809"/>
      <c r="E76" s="611"/>
      <c r="F76" s="678" t="str">
        <f>IF(E73/0.95-E73&lt;E76,"Exceeds 5%","")</f>
        <v/>
      </c>
      <c r="G76" s="679">
        <f>SUM(G73:G75)</f>
        <v>979</v>
      </c>
      <c r="H76" s="624" t="str">
        <f>CONCATENATE("Total ",E1," Resources Available")</f>
        <v>Total 2013 Resources Available</v>
      </c>
      <c r="I76" s="680"/>
      <c r="J76" s="677"/>
    </row>
    <row r="77" spans="2:11" x14ac:dyDescent="0.25">
      <c r="B77" s="652" t="str">
        <f>CONCATENATE(C95,"     ",D95)</f>
        <v xml:space="preserve">     </v>
      </c>
      <c r="C77" s="810" t="s">
        <v>624</v>
      </c>
      <c r="D77" s="811"/>
      <c r="E77" s="606">
        <f>E73+E76</f>
        <v>0</v>
      </c>
      <c r="F77" s="644"/>
      <c r="G77" s="681"/>
      <c r="H77" s="682"/>
      <c r="I77" s="623"/>
      <c r="J77" s="677"/>
    </row>
    <row r="78" spans="2:11" x14ac:dyDescent="0.25">
      <c r="B78" s="652" t="str">
        <f>CONCATENATE(C96,"     ",D96)</f>
        <v xml:space="preserve">     </v>
      </c>
      <c r="C78" s="654"/>
      <c r="D78" s="592" t="s">
        <v>28</v>
      </c>
      <c r="E78" s="655">
        <f>IF(E77-E61&gt;0,E77-E61,0)</f>
        <v>0</v>
      </c>
      <c r="F78" s="644"/>
      <c r="G78" s="649">
        <f>ROUND(C73*0.05+C73,0)</f>
        <v>0</v>
      </c>
      <c r="H78" s="624" t="str">
        <f>CONCATENATE("Less ",E1-2," Expenditures + 5%")</f>
        <v>Less 2011 Expenditures + 5%</v>
      </c>
      <c r="I78" s="680"/>
      <c r="J78" s="677"/>
    </row>
    <row r="79" spans="2:11" x14ac:dyDescent="0.25">
      <c r="B79" s="592"/>
      <c r="C79" s="403" t="s">
        <v>625</v>
      </c>
      <c r="D79" s="656">
        <f>inputOth!E40</f>
        <v>0</v>
      </c>
      <c r="E79" s="606">
        <f>ROUND(IF(E78&gt;0,(E78*D79),0),0)</f>
        <v>0</v>
      </c>
      <c r="F79" s="644"/>
      <c r="G79" s="657">
        <f>G76-G78</f>
        <v>979</v>
      </c>
      <c r="H79" s="658" t="str">
        <f>CONCATENATE("Projected ",E1+1," carryover (est.)")</f>
        <v>Projected 2014 carryover (est.)</v>
      </c>
      <c r="I79" s="683"/>
      <c r="J79" s="684"/>
    </row>
    <row r="80" spans="2:11" ht="16.5" thickBot="1" x14ac:dyDescent="0.3">
      <c r="B80" s="589"/>
      <c r="C80" s="815" t="str">
        <f>CONCATENATE("Amount of  ",E1-1," Ad Valorem Tax")</f>
        <v>Amount of  2012 Ad Valorem Tax</v>
      </c>
      <c r="D80" s="816"/>
      <c r="E80" s="662">
        <f>E78+E79</f>
        <v>0</v>
      </c>
      <c r="F80" s="685" t="e">
        <f>IF('Library Grant'!F33="","",IF('Library Grant'!F33="Qualify","Qualifies for State Library Grant","See 'Library Grant' tab"))</f>
        <v>#VALUE!</v>
      </c>
    </row>
    <row r="81" spans="2:10" ht="16.5" thickTop="1" x14ac:dyDescent="0.25">
      <c r="B81" s="592"/>
      <c r="C81" s="815"/>
      <c r="D81" s="816"/>
      <c r="E81" s="663"/>
      <c r="F81" s="644"/>
      <c r="G81" s="817" t="s">
        <v>826</v>
      </c>
      <c r="H81" s="818"/>
      <c r="I81" s="818"/>
      <c r="J81" s="819"/>
    </row>
    <row r="82" spans="2:10" x14ac:dyDescent="0.25">
      <c r="B82" s="592"/>
      <c r="C82" s="592"/>
      <c r="D82" s="592"/>
      <c r="E82" s="592"/>
      <c r="G82" s="664"/>
      <c r="H82" s="641"/>
      <c r="I82" s="665"/>
      <c r="J82" s="666"/>
    </row>
    <row r="83" spans="2:10" x14ac:dyDescent="0.25">
      <c r="B83" s="592" t="s">
        <v>9</v>
      </c>
      <c r="C83" s="686"/>
      <c r="D83" s="592"/>
      <c r="E83" s="592"/>
      <c r="F83" s="644"/>
      <c r="G83" s="667" t="str">
        <f>summ!I20</f>
        <v xml:space="preserve"> </v>
      </c>
      <c r="H83" s="641" t="str">
        <f>CONCATENATE("",E1," Fund Mill Rate")</f>
        <v>2013 Fund Mill Rate</v>
      </c>
      <c r="I83" s="665"/>
      <c r="J83" s="666"/>
    </row>
    <row r="84" spans="2:10" x14ac:dyDescent="0.25">
      <c r="G84" s="668" t="str">
        <f>summ!F20</f>
        <v xml:space="preserve">  </v>
      </c>
      <c r="H84" s="641" t="str">
        <f>CONCATENATE("",E1-1," Fund Mill Rate")</f>
        <v>2012 Fund Mill Rate</v>
      </c>
      <c r="I84" s="665"/>
      <c r="J84" s="666"/>
    </row>
    <row r="85" spans="2:10" x14ac:dyDescent="0.25">
      <c r="G85" s="670">
        <f>summ!I32</f>
        <v>14.982999999999999</v>
      </c>
      <c r="H85" s="641" t="str">
        <f>CONCATENATE("Total ",E1," Mill Rate")</f>
        <v>Total 2013 Mill Rate</v>
      </c>
      <c r="I85" s="665"/>
      <c r="J85" s="666"/>
    </row>
    <row r="86" spans="2:10" x14ac:dyDescent="0.25">
      <c r="G86" s="668">
        <f>summ!F32</f>
        <v>15.565000000000001</v>
      </c>
      <c r="H86" s="671" t="str">
        <f>CONCATENATE("Total ",E1-1," Mill Rate")</f>
        <v>Total 2012 Mill Rate</v>
      </c>
      <c r="I86" s="672"/>
      <c r="J86" s="673"/>
    </row>
    <row r="87" spans="2:10" x14ac:dyDescent="0.25">
      <c r="G87" s="687"/>
      <c r="H87" s="687"/>
      <c r="I87" s="687"/>
      <c r="J87" s="687"/>
    </row>
    <row r="88" spans="2:10" x14ac:dyDescent="0.25">
      <c r="C88" s="688" t="s">
        <v>827</v>
      </c>
      <c r="D88" s="688" t="s">
        <v>827</v>
      </c>
    </row>
    <row r="89" spans="2:10" x14ac:dyDescent="0.25">
      <c r="C89" s="688" t="s">
        <v>827</v>
      </c>
      <c r="D89" s="688" t="s">
        <v>827</v>
      </c>
    </row>
    <row r="91" spans="2:10" x14ac:dyDescent="0.25">
      <c r="C91" s="688" t="s">
        <v>827</v>
      </c>
      <c r="D91" s="688" t="s">
        <v>827</v>
      </c>
    </row>
    <row r="92" spans="2:10" x14ac:dyDescent="0.25">
      <c r="C92" s="688" t="s">
        <v>827</v>
      </c>
      <c r="D92" s="688" t="s">
        <v>827</v>
      </c>
    </row>
    <row r="93" spans="2:10" hidden="1" x14ac:dyDescent="0.25">
      <c r="C93" s="689" t="str">
        <f>IF(C33&gt;C35,"See Tab A","")</f>
        <v/>
      </c>
      <c r="D93" s="689" t="str">
        <f>IF(D33&gt;D35,"See Tab C","")</f>
        <v/>
      </c>
    </row>
    <row r="94" spans="2:10" hidden="1" x14ac:dyDescent="0.25">
      <c r="C94" s="689" t="str">
        <f>IF(C34&lt;0,"See Tab B","")</f>
        <v/>
      </c>
      <c r="D94" s="689" t="str">
        <f>IF(D34&lt;0,"See Tab D","")</f>
        <v/>
      </c>
    </row>
    <row r="95" spans="2:10" hidden="1" x14ac:dyDescent="0.25">
      <c r="C95" s="690" t="str">
        <f>IF(C73&gt;C75,"See Tab A","")</f>
        <v/>
      </c>
      <c r="D95" s="690" t="str">
        <f>IF(D73&gt;D75,"See Tab C","")</f>
        <v/>
      </c>
    </row>
    <row r="96" spans="2:10" hidden="1" x14ac:dyDescent="0.25">
      <c r="C96" s="690" t="str">
        <f>IF(C74&lt;0,"See Tab B","")</f>
        <v/>
      </c>
      <c r="D96" s="690" t="str">
        <f>IF(D74&lt;0,"See Tab D","")</f>
        <v/>
      </c>
    </row>
  </sheetData>
  <sheetProtection sheet="1"/>
  <mergeCells count="14">
    <mergeCell ref="G24:J24"/>
    <mergeCell ref="G31:J31"/>
    <mergeCell ref="C36:D36"/>
    <mergeCell ref="C37:D37"/>
    <mergeCell ref="C40:D40"/>
    <mergeCell ref="C77:D77"/>
    <mergeCell ref="C80:D80"/>
    <mergeCell ref="C81:D81"/>
    <mergeCell ref="G81:J81"/>
    <mergeCell ref="C41:D41"/>
    <mergeCell ref="G41:J41"/>
    <mergeCell ref="G64:J64"/>
    <mergeCell ref="G71:J71"/>
    <mergeCell ref="C76:D76"/>
  </mergeCells>
  <conditionalFormatting sqref="C73">
    <cfRule type="cellIs" dxfId="109" priority="16" stopIfTrue="1" operator="greaterThan">
      <formula>$C$75</formula>
    </cfRule>
  </conditionalFormatting>
  <conditionalFormatting sqref="C74:D74 C34:D34">
    <cfRule type="cellIs" dxfId="108" priority="15" stopIfTrue="1" operator="lessThan">
      <formula>0</formula>
    </cfRule>
  </conditionalFormatting>
  <conditionalFormatting sqref="D73">
    <cfRule type="cellIs" dxfId="107" priority="14" stopIfTrue="1" operator="greaterThan">
      <formula>$D$75</formula>
    </cfRule>
  </conditionalFormatting>
  <conditionalFormatting sqref="C33">
    <cfRule type="cellIs" dxfId="106" priority="13" stopIfTrue="1" operator="greaterThan">
      <formula>$C$35</formula>
    </cfRule>
  </conditionalFormatting>
  <conditionalFormatting sqref="D33">
    <cfRule type="cellIs" dxfId="105" priority="12" stopIfTrue="1" operator="greaterThan">
      <formula>$D$35</formula>
    </cfRule>
  </conditionalFormatting>
  <conditionalFormatting sqref="C31">
    <cfRule type="cellIs" dxfId="104" priority="11" stopIfTrue="1" operator="greaterThan">
      <formula>$C$33*0.1</formula>
    </cfRule>
  </conditionalFormatting>
  <conditionalFormatting sqref="D31">
    <cfRule type="cellIs" dxfId="103" priority="10" stopIfTrue="1" operator="greaterThan">
      <formula>$D$33*0.1</formula>
    </cfRule>
  </conditionalFormatting>
  <conditionalFormatting sqref="E31">
    <cfRule type="cellIs" dxfId="102" priority="9" stopIfTrue="1" operator="greaterThan">
      <formula>$E$33*0.1</formula>
    </cfRule>
  </conditionalFormatting>
  <conditionalFormatting sqref="C18 C58:E58">
    <cfRule type="cellIs" dxfId="101" priority="8" stopIfTrue="1" operator="greaterThan">
      <formula>$C$20*0.1</formula>
    </cfRule>
  </conditionalFormatting>
  <conditionalFormatting sqref="D18">
    <cfRule type="cellIs" dxfId="100" priority="7" stopIfTrue="1" operator="greaterThan">
      <formula>$D$20*0.1</formula>
    </cfRule>
  </conditionalFormatting>
  <conditionalFormatting sqref="E18">
    <cfRule type="cellIs" dxfId="99" priority="6" stopIfTrue="1" operator="greaterThan">
      <formula>$E$20*0.1+$E$40</formula>
    </cfRule>
  </conditionalFormatting>
  <conditionalFormatting sqref="C71">
    <cfRule type="cellIs" dxfId="98" priority="5" stopIfTrue="1" operator="greaterThan">
      <formula>$C$73*0.1</formula>
    </cfRule>
  </conditionalFormatting>
  <conditionalFormatting sqref="D71">
    <cfRule type="cellIs" dxfId="97" priority="4" stopIfTrue="1" operator="greaterThan">
      <formula>$D$73*0.1</formula>
    </cfRule>
  </conditionalFormatting>
  <conditionalFormatting sqref="E71">
    <cfRule type="cellIs" dxfId="96" priority="3" stopIfTrue="1" operator="greaterThan">
      <formula>$E$73*0.1</formula>
    </cfRule>
  </conditionalFormatting>
  <conditionalFormatting sqref="E36">
    <cfRule type="cellIs" dxfId="95" priority="2" stopIfTrue="1" operator="greaterThan">
      <formula>$E$33/0.95-$E$33</formula>
    </cfRule>
  </conditionalFormatting>
  <conditionalFormatting sqref="E76">
    <cfRule type="cellIs" dxfId="94" priority="1" stopIfTrue="1" operator="greaterThan">
      <formula>$E$73/0.98-$E$73</formula>
    </cfRule>
  </conditionalFormatting>
  <pageMargins left="0.75" right="0.75" top="1" bottom="1" header="0.5" footer="0.5"/>
  <pageSetup scale="56" orientation="portrait" blackAndWhite="1" r:id="rId1"/>
  <headerFooter alignWithMargins="0">
    <oddHeader>&amp;RState of Kansas
City</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5"/>
  <sheetViews>
    <sheetView topLeftCell="A19" zoomScaleNormal="100" workbookViewId="0">
      <selection activeCell="E32" sqref="E32"/>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Delhi Township</v>
      </c>
      <c r="C1" s="14"/>
      <c r="D1" s="14"/>
      <c r="E1" s="15">
        <f>inputPrYr!D5</f>
        <v>2013</v>
      </c>
    </row>
    <row r="2" spans="2:5" x14ac:dyDescent="0.25">
      <c r="B2" s="17"/>
      <c r="C2" s="14"/>
      <c r="D2" s="61"/>
      <c r="E2" s="62"/>
    </row>
    <row r="3" spans="2:5" x14ac:dyDescent="0.25">
      <c r="B3" s="541" t="s">
        <v>721</v>
      </c>
      <c r="C3" s="66"/>
      <c r="D3" s="66"/>
      <c r="E3" s="66"/>
    </row>
    <row r="4" spans="2:5" x14ac:dyDescent="0.25">
      <c r="B4" s="22" t="s">
        <v>10</v>
      </c>
      <c r="C4" s="388" t="s">
        <v>11</v>
      </c>
      <c r="D4" s="391" t="s">
        <v>12</v>
      </c>
      <c r="E4" s="23" t="s">
        <v>13</v>
      </c>
    </row>
    <row r="5" spans="2:5" x14ac:dyDescent="0.25">
      <c r="B5" s="400" t="str">
        <f>inputPrYr!B19</f>
        <v>Road</v>
      </c>
      <c r="C5" s="389" t="str">
        <f>gen!C5</f>
        <v>Actual for 2011</v>
      </c>
      <c r="D5" s="389" t="str">
        <f>gen!D5</f>
        <v>Estimate for 2012</v>
      </c>
      <c r="E5" s="26" t="str">
        <f>gen!E5</f>
        <v>Year for 2013</v>
      </c>
    </row>
    <row r="6" spans="2:5" x14ac:dyDescent="0.25">
      <c r="B6" s="27" t="s">
        <v>118</v>
      </c>
      <c r="C6" s="29">
        <v>629</v>
      </c>
      <c r="D6" s="390">
        <f>C44</f>
        <v>322</v>
      </c>
      <c r="E6" s="32">
        <f>D44</f>
        <v>24</v>
      </c>
    </row>
    <row r="7" spans="2:5" x14ac:dyDescent="0.25">
      <c r="B7" s="27" t="s">
        <v>120</v>
      </c>
      <c r="C7" s="390"/>
      <c r="D7" s="390"/>
      <c r="E7" s="33"/>
    </row>
    <row r="8" spans="2:5" x14ac:dyDescent="0.25">
      <c r="B8" s="27" t="s">
        <v>16</v>
      </c>
      <c r="C8" s="29">
        <v>13112</v>
      </c>
      <c r="D8" s="390">
        <f>IF(inputPrYr!H15&gt;0,inputPrYr!G19,inputPrYr!E19)</f>
        <v>12288</v>
      </c>
      <c r="E8" s="33" t="s">
        <v>290</v>
      </c>
    </row>
    <row r="9" spans="2:5" x14ac:dyDescent="0.25">
      <c r="B9" s="27" t="s">
        <v>17</v>
      </c>
      <c r="C9" s="29">
        <v>1130</v>
      </c>
      <c r="D9" s="29"/>
      <c r="E9" s="34"/>
    </row>
    <row r="10" spans="2:5" x14ac:dyDescent="0.25">
      <c r="B10" s="27" t="s">
        <v>18</v>
      </c>
      <c r="C10" s="29">
        <v>295</v>
      </c>
      <c r="D10" s="29">
        <v>370</v>
      </c>
      <c r="E10" s="32">
        <f>mvalloc!G14</f>
        <v>317</v>
      </c>
    </row>
    <row r="11" spans="2:5" x14ac:dyDescent="0.25">
      <c r="B11" s="27" t="s">
        <v>19</v>
      </c>
      <c r="C11" s="29">
        <v>0</v>
      </c>
      <c r="D11" s="29">
        <v>0</v>
      </c>
      <c r="E11" s="32">
        <f>mvalloc!I14</f>
        <v>0</v>
      </c>
    </row>
    <row r="12" spans="2:5" x14ac:dyDescent="0.25">
      <c r="B12" s="27" t="s">
        <v>99</v>
      </c>
      <c r="C12" s="29">
        <v>152</v>
      </c>
      <c r="D12" s="29">
        <v>144</v>
      </c>
      <c r="E12" s="32">
        <f>mvalloc!J14</f>
        <v>183</v>
      </c>
    </row>
    <row r="13" spans="2:5" x14ac:dyDescent="0.25">
      <c r="B13" s="27" t="s">
        <v>100</v>
      </c>
      <c r="C13" s="29">
        <v>1526</v>
      </c>
      <c r="D13" s="29">
        <v>1500</v>
      </c>
      <c r="E13" s="32">
        <f>inputOth!E36</f>
        <v>1400</v>
      </c>
    </row>
    <row r="14" spans="2:5" x14ac:dyDescent="0.25">
      <c r="B14" s="38"/>
      <c r="C14" s="29"/>
      <c r="D14" s="29"/>
      <c r="E14" s="34"/>
    </row>
    <row r="15" spans="2:5" x14ac:dyDescent="0.25">
      <c r="B15" s="38"/>
      <c r="C15" s="29"/>
      <c r="D15" s="29"/>
      <c r="E15" s="34"/>
    </row>
    <row r="16" spans="2:5" x14ac:dyDescent="0.25">
      <c r="B16" s="38"/>
      <c r="C16" s="29"/>
      <c r="D16" s="29"/>
      <c r="E16" s="34"/>
    </row>
    <row r="17" spans="2:5" x14ac:dyDescent="0.25">
      <c r="B17" s="38"/>
      <c r="C17" s="29"/>
      <c r="D17" s="29"/>
      <c r="E17" s="34"/>
    </row>
    <row r="18" spans="2:5" x14ac:dyDescent="0.25">
      <c r="B18" s="38"/>
      <c r="C18" s="29"/>
      <c r="D18" s="29"/>
      <c r="E18" s="34"/>
    </row>
    <row r="19" spans="2:5" x14ac:dyDescent="0.25">
      <c r="B19" s="38"/>
      <c r="C19" s="29"/>
      <c r="D19" s="29"/>
      <c r="E19" s="34"/>
    </row>
    <row r="20" spans="2:5" x14ac:dyDescent="0.25">
      <c r="B20" s="38" t="s">
        <v>22</v>
      </c>
      <c r="C20" s="29"/>
      <c r="D20" s="29"/>
      <c r="E20" s="34"/>
    </row>
    <row r="21" spans="2:5" x14ac:dyDescent="0.25">
      <c r="B21" s="39" t="s">
        <v>213</v>
      </c>
      <c r="C21" s="29">
        <v>6</v>
      </c>
      <c r="D21" s="29"/>
      <c r="E21" s="34"/>
    </row>
    <row r="22" spans="2:5" x14ac:dyDescent="0.25">
      <c r="B22" s="39" t="s">
        <v>214</v>
      </c>
      <c r="C22" s="387" t="str">
        <f>IF(C23*0.1&lt;C21,"Exceed 10% Rule","")</f>
        <v/>
      </c>
      <c r="D22" s="387" t="str">
        <f>IF(D23*0.1&lt;D21,"Exceed 10% Rule","")</f>
        <v/>
      </c>
      <c r="E22" s="45" t="str">
        <f>IF(E23*0.1+E50&lt;E21,"Exceed 10% Rule","")</f>
        <v/>
      </c>
    </row>
    <row r="23" spans="2:5" x14ac:dyDescent="0.25">
      <c r="B23" s="41" t="s">
        <v>23</v>
      </c>
      <c r="C23" s="392">
        <f>SUM(C8:C21)</f>
        <v>16221</v>
      </c>
      <c r="D23" s="392">
        <f>SUM(D8:D21)</f>
        <v>14302</v>
      </c>
      <c r="E23" s="42">
        <f>SUM(E8:E21)</f>
        <v>1900</v>
      </c>
    </row>
    <row r="24" spans="2:5" x14ac:dyDescent="0.25">
      <c r="B24" s="43" t="s">
        <v>24</v>
      </c>
      <c r="C24" s="392">
        <f>C23+C6</f>
        <v>16850</v>
      </c>
      <c r="D24" s="392">
        <f>D23+D6</f>
        <v>14624</v>
      </c>
      <c r="E24" s="42">
        <f>E23+E6</f>
        <v>1924</v>
      </c>
    </row>
    <row r="25" spans="2:5" x14ac:dyDescent="0.25">
      <c r="B25" s="27" t="s">
        <v>25</v>
      </c>
      <c r="C25" s="390"/>
      <c r="D25" s="390"/>
      <c r="E25" s="32"/>
    </row>
    <row r="26" spans="2:5" x14ac:dyDescent="0.25">
      <c r="B26" s="38" t="s">
        <v>125</v>
      </c>
      <c r="C26" s="29">
        <v>7634</v>
      </c>
      <c r="D26" s="29">
        <v>3000</v>
      </c>
      <c r="E26" s="34">
        <v>7000</v>
      </c>
    </row>
    <row r="27" spans="2:5" x14ac:dyDescent="0.25">
      <c r="B27" s="37" t="s">
        <v>102</v>
      </c>
      <c r="C27" s="29"/>
      <c r="D27" s="29"/>
      <c r="E27" s="34"/>
    </row>
    <row r="28" spans="2:5" x14ac:dyDescent="0.25">
      <c r="B28" s="38" t="s">
        <v>127</v>
      </c>
      <c r="C28" s="29">
        <v>2275</v>
      </c>
      <c r="D28" s="29">
        <v>5500</v>
      </c>
      <c r="E28" s="34">
        <v>2300</v>
      </c>
    </row>
    <row r="29" spans="2:5" x14ac:dyDescent="0.25">
      <c r="B29" s="38" t="s">
        <v>105</v>
      </c>
      <c r="C29" s="29">
        <v>4264</v>
      </c>
      <c r="D29" s="29">
        <v>600</v>
      </c>
      <c r="E29" s="34">
        <v>4300</v>
      </c>
    </row>
    <row r="30" spans="2:5" x14ac:dyDescent="0.25">
      <c r="B30" s="38" t="s">
        <v>103</v>
      </c>
      <c r="C30" s="29">
        <v>805</v>
      </c>
      <c r="D30" s="29">
        <v>3000</v>
      </c>
      <c r="E30" s="34">
        <v>1000</v>
      </c>
    </row>
    <row r="31" spans="2:5" x14ac:dyDescent="0.25">
      <c r="B31" s="38" t="s">
        <v>101</v>
      </c>
      <c r="C31" s="29">
        <v>1200</v>
      </c>
      <c r="D31" s="29">
        <v>2500</v>
      </c>
      <c r="E31" s="34">
        <v>730</v>
      </c>
    </row>
    <row r="32" spans="2:5" x14ac:dyDescent="0.25">
      <c r="B32" s="38"/>
      <c r="C32" s="29"/>
      <c r="D32" s="29"/>
      <c r="E32" s="34"/>
    </row>
    <row r="33" spans="2:11" x14ac:dyDescent="0.25">
      <c r="B33" s="38"/>
      <c r="C33" s="29"/>
      <c r="D33" s="29"/>
      <c r="E33" s="34"/>
    </row>
    <row r="34" spans="2:11" x14ac:dyDescent="0.25">
      <c r="B34" s="37"/>
      <c r="C34" s="29"/>
      <c r="D34" s="29"/>
      <c r="E34" s="34"/>
      <c r="G34" s="812" t="str">
        <f>CONCATENATE("Desired Carryover Into ",E1+1,"")</f>
        <v>Desired Carryover Into 2014</v>
      </c>
      <c r="H34" s="813"/>
      <c r="I34" s="813"/>
      <c r="J34" s="814"/>
    </row>
    <row r="35" spans="2:11" x14ac:dyDescent="0.25">
      <c r="B35" s="37"/>
      <c r="C35" s="29"/>
      <c r="D35" s="29"/>
      <c r="E35" s="34"/>
      <c r="G35" s="501"/>
      <c r="H35" s="488"/>
      <c r="I35" s="493"/>
      <c r="J35" s="502"/>
    </row>
    <row r="36" spans="2:11" x14ac:dyDescent="0.25">
      <c r="B36" s="38"/>
      <c r="C36" s="29"/>
      <c r="D36" s="29"/>
      <c r="E36" s="34"/>
      <c r="G36" s="503" t="s">
        <v>715</v>
      </c>
      <c r="H36" s="493"/>
      <c r="I36" s="493"/>
      <c r="J36" s="504">
        <v>0</v>
      </c>
    </row>
    <row r="37" spans="2:11" x14ac:dyDescent="0.25">
      <c r="B37" s="38"/>
      <c r="C37" s="29"/>
      <c r="D37" s="29"/>
      <c r="E37" s="34"/>
      <c r="G37" s="501" t="s">
        <v>716</v>
      </c>
      <c r="H37" s="488"/>
      <c r="I37" s="488"/>
      <c r="J37" s="705" t="str">
        <f>IF(J36=0,"",ROUND((J36+E50-G49)/inputOth!E7*1000,3)-G54)</f>
        <v/>
      </c>
    </row>
    <row r="38" spans="2:11" x14ac:dyDescent="0.25">
      <c r="B38" s="27" t="s">
        <v>104</v>
      </c>
      <c r="C38" s="29">
        <v>350</v>
      </c>
      <c r="D38" s="29"/>
      <c r="E38" s="34"/>
      <c r="G38" s="706" t="str">
        <f>CONCATENATE("",E1," Tot Exp/Non-Appr Must Be:")</f>
        <v>2013 Tot Exp/Non-Appr Must Be:</v>
      </c>
      <c r="H38" s="587"/>
      <c r="I38" s="699"/>
      <c r="J38" s="707">
        <f>IF(J36&gt;0,IF(E47&lt;E16,IF(J36=G49,E47,((J36-G49)*(1-D49))+E16),E47+(J36-G49)),0)</f>
        <v>0</v>
      </c>
    </row>
    <row r="39" spans="2:11" x14ac:dyDescent="0.25">
      <c r="B39" s="27" t="s">
        <v>626</v>
      </c>
      <c r="C39" s="393" t="str">
        <f>IF(C24*0.25&lt;C38,"Not Authorized","")</f>
        <v/>
      </c>
      <c r="D39" s="393" t="str">
        <f>IF(D24*0.25&lt;D38,"Not Authorized","")</f>
        <v/>
      </c>
      <c r="E39" s="67" t="str">
        <f>IF(E24*0.25+E50&lt;E38,"Not Authorized","")</f>
        <v/>
      </c>
      <c r="G39" s="708" t="s">
        <v>825</v>
      </c>
      <c r="H39" s="709"/>
      <c r="I39" s="709"/>
      <c r="J39" s="710">
        <f>IF(J36&gt;0,J38-E47,0)</f>
        <v>0</v>
      </c>
    </row>
    <row r="40" spans="2:11" x14ac:dyDescent="0.25">
      <c r="B40" s="35" t="s">
        <v>215</v>
      </c>
      <c r="C40" s="29"/>
      <c r="D40" s="29"/>
      <c r="E40" s="46" t="str">
        <f>nhood!E9</f>
        <v/>
      </c>
    </row>
    <row r="41" spans="2:11" x14ac:dyDescent="0.25">
      <c r="B41" s="35" t="s">
        <v>213</v>
      </c>
      <c r="C41" s="29"/>
      <c r="D41" s="29"/>
      <c r="E41" s="34"/>
      <c r="G41" s="812" t="str">
        <f>CONCATENATE("Projected Carryover Into ",E1+1,"")</f>
        <v>Projected Carryover Into 2014</v>
      </c>
      <c r="H41" s="813"/>
      <c r="I41" s="813"/>
      <c r="J41" s="814"/>
    </row>
    <row r="42" spans="2:11" x14ac:dyDescent="0.25">
      <c r="B42" s="35" t="s">
        <v>622</v>
      </c>
      <c r="C42" s="387" t="str">
        <f>IF(C43*0.1&lt;C41,"Exceed 10% Rule","")</f>
        <v/>
      </c>
      <c r="D42" s="387" t="str">
        <f>IF(D43*0.1&lt;D41,"Exceed 10% Rule","")</f>
        <v/>
      </c>
      <c r="E42" s="45" t="str">
        <f>IF(E43*0.1&lt;E41,"Exceed 10% Rule","")</f>
        <v/>
      </c>
      <c r="G42" s="487"/>
      <c r="H42" s="488"/>
      <c r="I42" s="488"/>
      <c r="J42" s="489"/>
    </row>
    <row r="43" spans="2:11" x14ac:dyDescent="0.25">
      <c r="B43" s="43" t="s">
        <v>26</v>
      </c>
      <c r="C43" s="392">
        <f>SUM(C26:C38,C40:C41)</f>
        <v>16528</v>
      </c>
      <c r="D43" s="392">
        <f>SUM(D26:D38,D40:D41)</f>
        <v>14600</v>
      </c>
      <c r="E43" s="42">
        <f>SUM(E26:E38,E40:E41)</f>
        <v>15330</v>
      </c>
      <c r="G43" s="490">
        <f>D44</f>
        <v>24</v>
      </c>
      <c r="H43" s="491" t="str">
        <f>CONCATENATE("",E1-1," Ending Cash Balance (est.)")</f>
        <v>2012 Ending Cash Balance (est.)</v>
      </c>
      <c r="I43" s="492"/>
      <c r="J43" s="489"/>
    </row>
    <row r="44" spans="2:11" x14ac:dyDescent="0.25">
      <c r="B44" s="27" t="s">
        <v>119</v>
      </c>
      <c r="C44" s="385">
        <f>C24-C43</f>
        <v>322</v>
      </c>
      <c r="D44" s="385">
        <f>D24-D43</f>
        <v>24</v>
      </c>
      <c r="E44" s="33" t="s">
        <v>290</v>
      </c>
      <c r="G44" s="490">
        <f>E23</f>
        <v>1900</v>
      </c>
      <c r="H44" s="493" t="str">
        <f>CONCATENATE("",E1," Non-AV Receipts (est.)")</f>
        <v>2013 Non-AV Receipts (est.)</v>
      </c>
      <c r="I44" s="492"/>
      <c r="J44" s="489"/>
    </row>
    <row r="45" spans="2:11" x14ac:dyDescent="0.2">
      <c r="B45" s="48" t="str">
        <f>CONCATENATE("",E1-2,"/",E1-1," Budget Authority Amount:")</f>
        <v>2011/2012 Budget Authority Amount:</v>
      </c>
      <c r="C45" s="132">
        <f>inputOth!B49</f>
        <v>14258</v>
      </c>
      <c r="D45" s="161">
        <f>inputPrYr!D19</f>
        <v>14806</v>
      </c>
      <c r="E45" s="33" t="s">
        <v>290</v>
      </c>
      <c r="F45" s="50"/>
      <c r="G45" s="494">
        <f>IF(D49&gt;0,E48,E50)</f>
        <v>13406</v>
      </c>
      <c r="H45" s="493" t="str">
        <f>CONCATENATE("",E1," Ad Valorem Tax (est.)")</f>
        <v>2013 Ad Valorem Tax (est.)</v>
      </c>
      <c r="I45" s="492"/>
      <c r="J45" s="489"/>
      <c r="K45" s="711" t="str">
        <f>IF(G45=E50,"","Note: Does not include Delinquent Taxes")</f>
        <v/>
      </c>
    </row>
    <row r="46" spans="2:11" x14ac:dyDescent="0.25">
      <c r="B46" s="48"/>
      <c r="C46" s="808" t="s">
        <v>623</v>
      </c>
      <c r="D46" s="809"/>
      <c r="E46" s="34"/>
      <c r="F46" s="486" t="str">
        <f>IF(E43/0.95-E43&lt;E46,"Exceeds 5%","")</f>
        <v/>
      </c>
      <c r="G46" s="490">
        <f>SUM(G43:G45)</f>
        <v>15330</v>
      </c>
      <c r="H46" s="493" t="str">
        <f>CONCATENATE("Total ",E1," Resources Available")</f>
        <v>Total 2013 Resources Available</v>
      </c>
      <c r="I46" s="492"/>
      <c r="J46" s="489"/>
    </row>
    <row r="47" spans="2:11" x14ac:dyDescent="0.25">
      <c r="B47" s="399" t="str">
        <f>CONCATENATE(C74,"     ",D74)</f>
        <v xml:space="preserve">See Tab A     </v>
      </c>
      <c r="C47" s="810" t="s">
        <v>624</v>
      </c>
      <c r="D47" s="811"/>
      <c r="E47" s="32">
        <f>E43+E46</f>
        <v>15330</v>
      </c>
      <c r="G47" s="495"/>
      <c r="H47" s="493"/>
      <c r="I47" s="493"/>
      <c r="J47" s="489"/>
    </row>
    <row r="48" spans="2:11" x14ac:dyDescent="0.25">
      <c r="B48" s="399" t="str">
        <f>CONCATENATE(C75,"     ",D75)</f>
        <v xml:space="preserve">     </v>
      </c>
      <c r="C48" s="60"/>
      <c r="D48" s="52" t="s">
        <v>28</v>
      </c>
      <c r="E48" s="46">
        <f>IF(E47-E24&gt;0,E47-E24,0)</f>
        <v>13406</v>
      </c>
      <c r="G48" s="494">
        <f>ROUND(C43*0.05+C43,0)</f>
        <v>17354</v>
      </c>
      <c r="H48" s="493" t="str">
        <f>CONCATENATE("Less ",E1-2," Expenditures + 5%")</f>
        <v>Less 2011 Expenditures + 5%</v>
      </c>
      <c r="I48" s="492"/>
      <c r="J48" s="489"/>
    </row>
    <row r="49" spans="2:10" x14ac:dyDescent="0.25">
      <c r="B49" s="52"/>
      <c r="C49" s="403" t="s">
        <v>625</v>
      </c>
      <c r="D49" s="698">
        <f>inputOth!$E$40</f>
        <v>0</v>
      </c>
      <c r="E49" s="32">
        <f>ROUND(IF(D49&gt;0,(E48*D49),0),0)</f>
        <v>0</v>
      </c>
      <c r="G49" s="496">
        <f>G46-G48</f>
        <v>-2024</v>
      </c>
      <c r="H49" s="497" t="str">
        <f>CONCATENATE("Projected ",E1+1," Carryover (est.)")</f>
        <v>Projected 2014 Carryover (est.)</v>
      </c>
      <c r="I49" s="498"/>
      <c r="J49" s="499"/>
    </row>
    <row r="50" spans="2:10" x14ac:dyDescent="0.25">
      <c r="B50" s="14"/>
      <c r="C50" s="806" t="str">
        <f>CONCATENATE("Amount of  ",$E$1-1," Ad Valorem Tax")</f>
        <v>Amount of  2012 Ad Valorem Tax</v>
      </c>
      <c r="D50" s="807"/>
      <c r="E50" s="46">
        <f>E48+E49</f>
        <v>13406</v>
      </c>
    </row>
    <row r="51" spans="2:10" x14ac:dyDescent="0.2">
      <c r="B51" s="14"/>
      <c r="C51" s="14"/>
      <c r="D51" s="14"/>
      <c r="E51" s="14"/>
      <c r="G51" s="803" t="s">
        <v>826</v>
      </c>
      <c r="H51" s="804"/>
      <c r="I51" s="804"/>
      <c r="J51" s="805"/>
    </row>
    <row r="52" spans="2:10" x14ac:dyDescent="0.25">
      <c r="B52" s="14"/>
      <c r="C52" s="14"/>
      <c r="D52" s="14"/>
      <c r="E52" s="14"/>
      <c r="G52" s="712"/>
      <c r="H52" s="491"/>
      <c r="I52" s="700"/>
      <c r="J52" s="713"/>
    </row>
    <row r="53" spans="2:10" x14ac:dyDescent="0.25">
      <c r="B53" s="68" t="s">
        <v>30</v>
      </c>
      <c r="C53" s="70"/>
      <c r="D53" s="14"/>
      <c r="E53" s="14"/>
      <c r="G53" s="714">
        <f>summ!I21</f>
        <v>13.263</v>
      </c>
      <c r="H53" s="491" t="str">
        <f>CONCATENATE("",E1," Fund Mill Rate")</f>
        <v>2013 Fund Mill Rate</v>
      </c>
      <c r="I53" s="700"/>
      <c r="J53" s="713"/>
    </row>
    <row r="54" spans="2:10" x14ac:dyDescent="0.25">
      <c r="B54" s="71" t="s">
        <v>31</v>
      </c>
      <c r="C54" s="404" t="str">
        <f>CONCATENATE("",E1-2," Actual Year")</f>
        <v>2011 Actual Year</v>
      </c>
      <c r="D54" s="14"/>
      <c r="E54" s="14"/>
      <c r="G54" s="715">
        <f>summ!F21</f>
        <v>12.651</v>
      </c>
      <c r="H54" s="491" t="str">
        <f>CONCATENATE("",E1-1," Fund Mill Rate")</f>
        <v>2012 Fund Mill Rate</v>
      </c>
      <c r="I54" s="700"/>
      <c r="J54" s="713"/>
    </row>
    <row r="55" spans="2:10" x14ac:dyDescent="0.25">
      <c r="B55" s="72" t="s">
        <v>14</v>
      </c>
      <c r="C55" s="538">
        <v>9125</v>
      </c>
      <c r="D55" s="14"/>
      <c r="E55" s="14"/>
      <c r="G55" s="716">
        <f>summ!I32</f>
        <v>14.982999999999999</v>
      </c>
      <c r="H55" s="491" t="str">
        <f>CONCATENATE("Total ",E1," Mill Rate")</f>
        <v>Total 2013 Mill Rate</v>
      </c>
      <c r="I55" s="700"/>
      <c r="J55" s="713"/>
    </row>
    <row r="56" spans="2:10" x14ac:dyDescent="0.25">
      <c r="B56" s="72" t="s">
        <v>33</v>
      </c>
      <c r="C56" s="132"/>
      <c r="D56" s="14"/>
      <c r="E56" s="14"/>
      <c r="G56" s="715">
        <f>summ!F32</f>
        <v>15.565000000000001</v>
      </c>
      <c r="H56" s="717" t="str">
        <f>CONCATENATE("Total ",E1-1," Mill Rate")</f>
        <v>Total 2012 Mill Rate</v>
      </c>
      <c r="I56" s="718"/>
      <c r="J56" s="719"/>
    </row>
    <row r="57" spans="2:10" x14ac:dyDescent="0.25">
      <c r="B57" s="72" t="s">
        <v>34</v>
      </c>
      <c r="C57" s="402">
        <f>C38</f>
        <v>350</v>
      </c>
      <c r="D57" s="74"/>
      <c r="E57" s="14"/>
    </row>
    <row r="58" spans="2:10" x14ac:dyDescent="0.25">
      <c r="B58" s="72" t="s">
        <v>247</v>
      </c>
      <c r="C58" s="402">
        <f>gen!C43</f>
        <v>0</v>
      </c>
      <c r="D58" s="826" t="str">
        <f>IF(AND(C58&gt;0,C59&gt;0),"Not Auth. Two General Transfers - Only One","")</f>
        <v/>
      </c>
      <c r="E58" s="827"/>
    </row>
    <row r="59" spans="2:10" x14ac:dyDescent="0.25">
      <c r="B59" s="75" t="s">
        <v>248</v>
      </c>
      <c r="C59" s="402">
        <f>gen!C45</f>
        <v>100</v>
      </c>
      <c r="D59" s="828"/>
      <c r="E59" s="827"/>
    </row>
    <row r="60" spans="2:10" x14ac:dyDescent="0.25">
      <c r="B60" s="76"/>
      <c r="C60" s="538"/>
      <c r="D60" s="14"/>
      <c r="E60" s="14"/>
    </row>
    <row r="61" spans="2:10" x14ac:dyDescent="0.25">
      <c r="B61" s="76" t="s">
        <v>22</v>
      </c>
      <c r="C61" s="538"/>
      <c r="D61" s="14"/>
      <c r="E61" s="14"/>
    </row>
    <row r="62" spans="2:10" x14ac:dyDescent="0.25">
      <c r="B62" s="76" t="s">
        <v>21</v>
      </c>
      <c r="C62" s="538"/>
      <c r="D62" s="14"/>
      <c r="E62" s="14"/>
    </row>
    <row r="63" spans="2:10" x14ac:dyDescent="0.25">
      <c r="B63" s="77" t="s">
        <v>24</v>
      </c>
      <c r="C63" s="132">
        <f>SUM(C55:C62)</f>
        <v>9575</v>
      </c>
      <c r="D63" s="14"/>
      <c r="E63" s="14"/>
    </row>
    <row r="64" spans="2:10" x14ac:dyDescent="0.25">
      <c r="B64" s="77" t="s">
        <v>26</v>
      </c>
      <c r="C64" s="538">
        <v>4264</v>
      </c>
      <c r="D64" s="14"/>
      <c r="E64" s="14"/>
    </row>
    <row r="65" spans="2:5" x14ac:dyDescent="0.25">
      <c r="B65" s="77" t="s">
        <v>27</v>
      </c>
      <c r="C65" s="401">
        <f>SUM(C63-C64)</f>
        <v>5311</v>
      </c>
      <c r="D65" s="14"/>
      <c r="E65" s="14"/>
    </row>
    <row r="66" spans="2:5" x14ac:dyDescent="0.25">
      <c r="B66" s="14"/>
      <c r="C66" s="14"/>
      <c r="D66" s="14"/>
      <c r="E66" s="14"/>
    </row>
    <row r="67" spans="2:5" x14ac:dyDescent="0.25">
      <c r="B67" s="52" t="s">
        <v>9</v>
      </c>
      <c r="C67" s="539"/>
      <c r="D67" s="14"/>
      <c r="E67" s="14"/>
    </row>
    <row r="69" spans="2:5" x14ac:dyDescent="0.25">
      <c r="B69" s="12"/>
    </row>
    <row r="74" spans="2:5" hidden="1" x14ac:dyDescent="0.25">
      <c r="C74" s="16" t="str">
        <f>IF(C43&gt;C45,"See Tab A","")</f>
        <v>See Tab A</v>
      </c>
      <c r="D74" s="16" t="str">
        <f>IF(D43&gt;D45,"See Tab C","")</f>
        <v/>
      </c>
    </row>
    <row r="75" spans="2:5" hidden="1" x14ac:dyDescent="0.25">
      <c r="C75" s="16" t="str">
        <f>IF(C44&lt;0,"See Tab B","")</f>
        <v/>
      </c>
      <c r="D75" s="16" t="str">
        <f>IF(D44&lt;0,"See Tab D","")</f>
        <v/>
      </c>
    </row>
  </sheetData>
  <sheetProtection sheet="1"/>
  <mergeCells count="7">
    <mergeCell ref="C50:D50"/>
    <mergeCell ref="C46:D46"/>
    <mergeCell ref="C47:D47"/>
    <mergeCell ref="D58:E59"/>
    <mergeCell ref="G34:J34"/>
    <mergeCell ref="G41:J41"/>
    <mergeCell ref="G51:J51"/>
  </mergeCells>
  <phoneticPr fontId="0" type="noConversion"/>
  <conditionalFormatting sqref="E46">
    <cfRule type="cellIs" dxfId="93" priority="3" stopIfTrue="1" operator="greaterThan">
      <formula>$E$43/0.95-$E$43</formula>
    </cfRule>
  </conditionalFormatting>
  <conditionalFormatting sqref="C41">
    <cfRule type="cellIs" dxfId="92" priority="4" stopIfTrue="1" operator="greaterThan">
      <formula>$C$43*0.1</formula>
    </cfRule>
  </conditionalFormatting>
  <conditionalFormatting sqref="D41">
    <cfRule type="cellIs" dxfId="91" priority="5" stopIfTrue="1" operator="greaterThan">
      <formula>$D$43*0.1</formula>
    </cfRule>
  </conditionalFormatting>
  <conditionalFormatting sqref="E41">
    <cfRule type="cellIs" dxfId="90" priority="6" stopIfTrue="1" operator="greaterThan">
      <formula>$E$43*0.1</formula>
    </cfRule>
  </conditionalFormatting>
  <conditionalFormatting sqref="C21">
    <cfRule type="cellIs" dxfId="89" priority="7" stopIfTrue="1" operator="greaterThan">
      <formula>$C$23*0.1</formula>
    </cfRule>
  </conditionalFormatting>
  <conditionalFormatting sqref="D21">
    <cfRule type="cellIs" dxfId="88" priority="8" stopIfTrue="1" operator="greaterThan">
      <formula>$D$23*0.1</formula>
    </cfRule>
  </conditionalFormatting>
  <conditionalFormatting sqref="C38">
    <cfRule type="cellIs" dxfId="87" priority="9" stopIfTrue="1" operator="greaterThan">
      <formula>$C$24*0.25</formula>
    </cfRule>
  </conditionalFormatting>
  <conditionalFormatting sqref="E21">
    <cfRule type="cellIs" dxfId="86" priority="10" stopIfTrue="1" operator="greaterThan">
      <formula>$E$23*0.1+$E$50</formula>
    </cfRule>
  </conditionalFormatting>
  <conditionalFormatting sqref="C44">
    <cfRule type="cellIs" dxfId="85" priority="11" stopIfTrue="1" operator="lessThan">
      <formula>0</formula>
    </cfRule>
  </conditionalFormatting>
  <conditionalFormatting sqref="C43">
    <cfRule type="cellIs" dxfId="84" priority="1" stopIfTrue="1" operator="greaterThan">
      <formula>$C$45</formula>
    </cfRule>
    <cfRule type="cellIs" dxfId="83" priority="12" stopIfTrue="1" operator="greaterThan">
      <formula>#REF!</formula>
    </cfRule>
  </conditionalFormatting>
  <conditionalFormatting sqref="D43">
    <cfRule type="cellIs" dxfId="82" priority="13" stopIfTrue="1" operator="greaterThan">
      <formula>$D$45</formula>
    </cfRule>
  </conditionalFormatting>
  <conditionalFormatting sqref="D38">
    <cfRule type="cellIs" dxfId="81" priority="14" stopIfTrue="1" operator="greaterThan">
      <formula>$D$24*0.25</formula>
    </cfRule>
  </conditionalFormatting>
  <conditionalFormatting sqref="E38">
    <cfRule type="cellIs" dxfId="80" priority="15" stopIfTrue="1" operator="greaterThan">
      <formula>$E$24*0.25+$E$50</formula>
    </cfRule>
  </conditionalFormatting>
  <conditionalFormatting sqref="D44">
    <cfRule type="cellIs" dxfId="79" priority="2" stopIfTrue="1" operator="lessThan">
      <formula>0</formula>
    </cfRule>
  </conditionalFormatting>
  <pageMargins left="0.9" right="0.9" top="0.96" bottom="0.5" header="0.41" footer="0.3"/>
  <pageSetup scale="72" orientation="portrait" blackAndWhite="1" horizontalDpi="1200" verticalDpi="1200" r:id="rId1"/>
  <headerFooter alignWithMargins="0">
    <oddHeader xml:space="preserve">&amp;RState of Kansas
Township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topLeftCell="A16" zoomScaleNormal="100" workbookViewId="0">
      <selection activeCell="E24" sqref="E24"/>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Delhi Township</v>
      </c>
      <c r="C1" s="22" t="s">
        <v>35</v>
      </c>
      <c r="D1" s="14"/>
      <c r="E1" s="15">
        <f>inputPrYr!D5</f>
        <v>2013</v>
      </c>
    </row>
    <row r="2" spans="2:5" x14ac:dyDescent="0.25">
      <c r="B2" s="17"/>
      <c r="C2" s="14"/>
      <c r="D2" s="14"/>
      <c r="E2" s="78"/>
    </row>
    <row r="3" spans="2:5" x14ac:dyDescent="0.25">
      <c r="B3" s="541" t="s">
        <v>721</v>
      </c>
      <c r="C3" s="66"/>
      <c r="D3" s="66"/>
      <c r="E3" s="14"/>
    </row>
    <row r="4" spans="2:5" x14ac:dyDescent="0.25">
      <c r="B4" s="22" t="s">
        <v>10</v>
      </c>
      <c r="C4" s="388" t="s">
        <v>11</v>
      </c>
      <c r="D4" s="391" t="s">
        <v>12</v>
      </c>
      <c r="E4" s="23" t="s">
        <v>13</v>
      </c>
    </row>
    <row r="5" spans="2:5" x14ac:dyDescent="0.25">
      <c r="B5" s="400" t="str">
        <f>inputPrYr!B20</f>
        <v>Cemetery</v>
      </c>
      <c r="C5" s="389" t="str">
        <f>gen!C5</f>
        <v>Actual for 2011</v>
      </c>
      <c r="D5" s="389" t="str">
        <f>gen!D5</f>
        <v>Estimate for 2012</v>
      </c>
      <c r="E5" s="26" t="str">
        <f>gen!E5</f>
        <v>Year for 2013</v>
      </c>
    </row>
    <row r="6" spans="2:5" x14ac:dyDescent="0.25">
      <c r="B6" s="27" t="s">
        <v>118</v>
      </c>
      <c r="C6" s="29">
        <v>207</v>
      </c>
      <c r="D6" s="390">
        <f>C34</f>
        <v>64</v>
      </c>
      <c r="E6" s="32">
        <f>D34</f>
        <v>0</v>
      </c>
    </row>
    <row r="7" spans="2:5" x14ac:dyDescent="0.25">
      <c r="B7" s="27" t="s">
        <v>120</v>
      </c>
      <c r="C7" s="390"/>
      <c r="D7" s="390"/>
      <c r="E7" s="33"/>
    </row>
    <row r="8" spans="2:5" x14ac:dyDescent="0.25">
      <c r="B8" s="27" t="s">
        <v>16</v>
      </c>
      <c r="C8" s="29">
        <v>903</v>
      </c>
      <c r="D8" s="390">
        <f>IF(inputPrYr!H15&gt;0,inputPrYr!G20,inputPrYr!E20)</f>
        <v>979</v>
      </c>
      <c r="E8" s="33" t="s">
        <v>290</v>
      </c>
    </row>
    <row r="9" spans="2:5" x14ac:dyDescent="0.25">
      <c r="B9" s="27" t="s">
        <v>17</v>
      </c>
      <c r="C9" s="29">
        <v>92</v>
      </c>
      <c r="D9" s="29"/>
      <c r="E9" s="34"/>
    </row>
    <row r="10" spans="2:5" x14ac:dyDescent="0.25">
      <c r="B10" s="27" t="s">
        <v>18</v>
      </c>
      <c r="C10" s="29">
        <v>22</v>
      </c>
      <c r="D10" s="29">
        <v>25</v>
      </c>
      <c r="E10" s="32">
        <f>mvalloc!G15</f>
        <v>25</v>
      </c>
    </row>
    <row r="11" spans="2:5" x14ac:dyDescent="0.25">
      <c r="B11" s="27" t="s">
        <v>19</v>
      </c>
      <c r="C11" s="29">
        <v>0</v>
      </c>
      <c r="D11" s="29"/>
      <c r="E11" s="32">
        <f>mvalloc!I15</f>
        <v>0</v>
      </c>
    </row>
    <row r="12" spans="2:5" x14ac:dyDescent="0.25">
      <c r="B12" s="35" t="s">
        <v>69</v>
      </c>
      <c r="C12" s="29">
        <v>10</v>
      </c>
      <c r="D12" s="29">
        <v>10</v>
      </c>
      <c r="E12" s="32">
        <f>mvalloc!J15</f>
        <v>15</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1027</v>
      </c>
      <c r="D20" s="392">
        <f>SUM(D8:D18)</f>
        <v>1014</v>
      </c>
      <c r="E20" s="42">
        <f>SUM(E8:E18)</f>
        <v>40</v>
      </c>
    </row>
    <row r="21" spans="2:11" x14ac:dyDescent="0.25">
      <c r="B21" s="43" t="s">
        <v>24</v>
      </c>
      <c r="C21" s="392">
        <f>C20+C6</f>
        <v>1234</v>
      </c>
      <c r="D21" s="392">
        <f>D20+D6</f>
        <v>1078</v>
      </c>
      <c r="E21" s="42">
        <f>E20+E6</f>
        <v>40</v>
      </c>
    </row>
    <row r="22" spans="2:11" x14ac:dyDescent="0.25">
      <c r="B22" s="27" t="s">
        <v>25</v>
      </c>
      <c r="C22" s="390"/>
      <c r="D22" s="390"/>
      <c r="E22" s="32"/>
    </row>
    <row r="23" spans="2:11" x14ac:dyDescent="0.25">
      <c r="B23" s="38" t="s">
        <v>936</v>
      </c>
      <c r="C23" s="29">
        <v>1170</v>
      </c>
      <c r="D23" s="29">
        <v>1078</v>
      </c>
      <c r="E23" s="34">
        <v>1200</v>
      </c>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38"/>
      <c r="C26" s="29"/>
      <c r="D26" s="29"/>
      <c r="E26" s="34"/>
      <c r="G26" s="626" t="s">
        <v>715</v>
      </c>
      <c r="H26" s="624"/>
      <c r="I26" s="624"/>
      <c r="J26" s="627">
        <v>0</v>
      </c>
      <c r="K26" s="591"/>
    </row>
    <row r="27" spans="2:11" x14ac:dyDescent="0.25">
      <c r="B27" s="38"/>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nhood!E10</f>
        <v/>
      </c>
      <c r="G30" s="591"/>
      <c r="H30" s="591"/>
      <c r="I30" s="591"/>
      <c r="J30" s="591"/>
      <c r="K30" s="591"/>
    </row>
    <row r="31" spans="2:11" x14ac:dyDescent="0.25">
      <c r="B31" s="35" t="s">
        <v>213</v>
      </c>
      <c r="C31" s="29"/>
      <c r="D31" s="29"/>
      <c r="E31" s="34"/>
      <c r="G31" s="820" t="str">
        <f>CONCATENATE("Projected Carryover Into ",E1+1,"")</f>
        <v>Projected Carryover Into 2014</v>
      </c>
      <c r="H31" s="825"/>
      <c r="I31" s="825"/>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1170</v>
      </c>
      <c r="D33" s="392">
        <f>SUM(D23:D31)</f>
        <v>1078</v>
      </c>
      <c r="E33" s="42">
        <f>SUM(E23:E31)</f>
        <v>1200</v>
      </c>
      <c r="G33" s="640">
        <f>D34</f>
        <v>0</v>
      </c>
      <c r="H33" s="641" t="str">
        <f>CONCATENATE("",E1-1," Ending Cash Balance (est.)")</f>
        <v>2012 Ending Cash Balance (est.)</v>
      </c>
      <c r="I33" s="642"/>
      <c r="J33" s="637"/>
      <c r="K33" s="591"/>
    </row>
    <row r="34" spans="2:11" x14ac:dyDescent="0.25">
      <c r="B34" s="27" t="s">
        <v>119</v>
      </c>
      <c r="C34" s="385">
        <f>C21-C33</f>
        <v>64</v>
      </c>
      <c r="D34" s="385">
        <f>D21-D33</f>
        <v>0</v>
      </c>
      <c r="E34" s="33" t="s">
        <v>290</v>
      </c>
      <c r="G34" s="640">
        <f>E20</f>
        <v>40</v>
      </c>
      <c r="H34" s="624" t="str">
        <f>CONCATENATE("",E1," Non-AV Receipts (est.)")</f>
        <v>2013 Non-AV Receipts (est.)</v>
      </c>
      <c r="I34" s="642"/>
      <c r="J34" s="637"/>
      <c r="K34" s="591"/>
    </row>
    <row r="35" spans="2:11" x14ac:dyDescent="0.2">
      <c r="B35" s="48" t="str">
        <f>CONCATENATE("",E1-2,"/",E1-1," Budget Authority Amount:")</f>
        <v>2011/2012 Budget Authority Amount:</v>
      </c>
      <c r="C35" s="132">
        <f>inputOth!B50</f>
        <v>1000</v>
      </c>
      <c r="D35" s="161">
        <f>inputPrYr!D20</f>
        <v>1200</v>
      </c>
      <c r="E35" s="33" t="s">
        <v>290</v>
      </c>
      <c r="F35" s="50"/>
      <c r="G35" s="649">
        <f>IF(E39&gt;0,E38,E40)</f>
        <v>1160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1200</v>
      </c>
      <c r="H36" s="624" t="str">
        <f>CONCATENATE("Total ",E1," Resources Available")</f>
        <v>Total 2013 Resources Available</v>
      </c>
      <c r="I36" s="642"/>
      <c r="J36" s="637"/>
      <c r="K36" s="591"/>
    </row>
    <row r="37" spans="2:11" x14ac:dyDescent="0.25">
      <c r="B37" s="399" t="str">
        <f>CONCATENATE(C92,"     ",D92)</f>
        <v xml:space="preserve">See Tab A     </v>
      </c>
      <c r="C37" s="810" t="s">
        <v>624</v>
      </c>
      <c r="D37" s="811"/>
      <c r="E37" s="32">
        <f>E33+E36</f>
        <v>1200</v>
      </c>
      <c r="G37" s="653"/>
      <c r="H37" s="624"/>
      <c r="I37" s="624"/>
      <c r="J37" s="637"/>
      <c r="K37" s="591"/>
    </row>
    <row r="38" spans="2:11" x14ac:dyDescent="0.25">
      <c r="B38" s="399" t="str">
        <f>CONCATENATE(C93,"     ",D93)</f>
        <v xml:space="preserve">     </v>
      </c>
      <c r="C38" s="60"/>
      <c r="D38" s="52" t="s">
        <v>28</v>
      </c>
      <c r="E38" s="46">
        <f>IF(E37-E21&gt;0,E37-E21,0)</f>
        <v>1160</v>
      </c>
      <c r="G38" s="649">
        <f>C33*0.05+C33</f>
        <v>1228.5</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-28.5</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1160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f>summ!I22</f>
        <v>1.1479999999999999</v>
      </c>
      <c r="H43" s="641" t="str">
        <f>CONCATENATE("",E1," Fund Mill Rate")</f>
        <v>2013 Fund Mill Rate</v>
      </c>
      <c r="I43" s="665"/>
      <c r="J43" s="666"/>
      <c r="K43" s="591"/>
    </row>
    <row r="44" spans="2:11" x14ac:dyDescent="0.25">
      <c r="B44" s="14"/>
      <c r="C44" s="388" t="s">
        <v>11</v>
      </c>
      <c r="D44" s="391" t="s">
        <v>12</v>
      </c>
      <c r="E44" s="23" t="s">
        <v>13</v>
      </c>
      <c r="G44" s="668">
        <f>summ!F22</f>
        <v>1.008</v>
      </c>
      <c r="H44" s="641" t="str">
        <f>CONCATENATE("",E1-1," Fund Mill Rate")</f>
        <v>2012 Fund Mill Rate</v>
      </c>
      <c r="I44" s="665"/>
      <c r="J44" s="666"/>
      <c r="K44" s="591"/>
    </row>
    <row r="45" spans="2:11" x14ac:dyDescent="0.25">
      <c r="B45" s="481">
        <f>inputPrYr!B21</f>
        <v>0</v>
      </c>
      <c r="C45" s="389" t="str">
        <f>C5</f>
        <v>Actual for 2011</v>
      </c>
      <c r="D45" s="389" t="str">
        <f>D5</f>
        <v>Estimate for 2012</v>
      </c>
      <c r="E45" s="26" t="str">
        <f>E5</f>
        <v>Year for 2013</v>
      </c>
      <c r="G45" s="670">
        <f>summ!I32</f>
        <v>14.982999999999999</v>
      </c>
      <c r="H45" s="641" t="str">
        <f>CONCATENATE("Total ",E1," Mill Rate")</f>
        <v>Total 2013 Mill Rate</v>
      </c>
      <c r="I45" s="665"/>
      <c r="J45" s="666"/>
      <c r="K45" s="591"/>
    </row>
    <row r="46" spans="2:11" x14ac:dyDescent="0.25">
      <c r="B46" s="27" t="s">
        <v>118</v>
      </c>
      <c r="C46" s="29"/>
      <c r="D46" s="390">
        <f>C74</f>
        <v>0</v>
      </c>
      <c r="E46" s="32">
        <f>D74</f>
        <v>0</v>
      </c>
      <c r="G46" s="668">
        <f>summ!F32</f>
        <v>15.565000000000001</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IF(inputPrYr!H15&gt;0,inputPrYr!G21,inputPrYr!E21)</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mvalloc!G16</f>
        <v>0</v>
      </c>
      <c r="G50" s="591"/>
      <c r="H50" s="591"/>
      <c r="I50" s="591"/>
      <c r="J50" s="591"/>
      <c r="K50" s="591"/>
    </row>
    <row r="51" spans="2:11" x14ac:dyDescent="0.25">
      <c r="B51" s="27" t="s">
        <v>19</v>
      </c>
      <c r="C51" s="29"/>
      <c r="D51" s="29"/>
      <c r="E51" s="32">
        <f>mvalloc!I16</f>
        <v>0</v>
      </c>
      <c r="G51" s="591"/>
      <c r="H51" s="591"/>
      <c r="I51" s="591"/>
      <c r="J51" s="591"/>
      <c r="K51" s="591"/>
    </row>
    <row r="52" spans="2:11" x14ac:dyDescent="0.25">
      <c r="B52" s="27" t="s">
        <v>99</v>
      </c>
      <c r="C52" s="29"/>
      <c r="D52" s="29"/>
      <c r="E52" s="32">
        <f>mvalloc!J16</f>
        <v>0</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nhood!E11</f>
        <v/>
      </c>
      <c r="G70" s="591"/>
      <c r="H70" s="591"/>
      <c r="I70" s="591"/>
      <c r="J70" s="591"/>
      <c r="K70" s="591"/>
    </row>
    <row r="71" spans="2:11" x14ac:dyDescent="0.25">
      <c r="B71" s="35" t="s">
        <v>213</v>
      </c>
      <c r="C71" s="29"/>
      <c r="D71" s="29"/>
      <c r="E71" s="34"/>
      <c r="G71" s="820" t="str">
        <f>CONCATENATE("Projected Carryover Into ",E1+1,"")</f>
        <v>Projected Carryover Into 2014</v>
      </c>
      <c r="H71" s="823"/>
      <c r="I71" s="823"/>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inputOth!B51</f>
        <v>0</v>
      </c>
      <c r="D75" s="161">
        <f>inputPrYr!D21</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34"/>
      <c r="F76" s="486" t="str">
        <f>IF(E73/0.95-E73&lt;E76,"Exceeds 5%","")</f>
        <v/>
      </c>
      <c r="G76" s="679">
        <f>SUM(G73:G75)</f>
        <v>0</v>
      </c>
      <c r="H76" s="624" t="str">
        <f>CONCATENATE("Total ",E1," Resources Available")</f>
        <v>Total 2013 Resources Available</v>
      </c>
      <c r="I76" s="680"/>
      <c r="J76" s="677"/>
      <c r="K76" s="591"/>
    </row>
    <row r="77" spans="2:11" x14ac:dyDescent="0.25">
      <c r="B77" s="399" t="str">
        <f>CONCATENATE(C94,"     ",D94)</f>
        <v xml:space="preserve">     </v>
      </c>
      <c r="C77" s="810" t="s">
        <v>624</v>
      </c>
      <c r="D77" s="811"/>
      <c r="E77" s="32">
        <f>E73+E76</f>
        <v>0</v>
      </c>
      <c r="G77" s="681"/>
      <c r="H77" s="682"/>
      <c r="I77" s="623"/>
      <c r="J77" s="677"/>
      <c r="K77" s="591"/>
    </row>
    <row r="78" spans="2:11" x14ac:dyDescent="0.25">
      <c r="B78" s="399" t="str">
        <f>CONCATENATE(C95,"     ",D95)</f>
        <v xml:space="preserve">     </v>
      </c>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summ!I23</f>
        <v xml:space="preserve"> </v>
      </c>
      <c r="H83" s="641" t="str">
        <f>CONCATENATE("",E1," Fund Mill Rate")</f>
        <v>2013 Fund Mill Rate</v>
      </c>
      <c r="I83" s="665"/>
      <c r="J83" s="666"/>
      <c r="K83" s="591"/>
    </row>
    <row r="84" spans="2:11" x14ac:dyDescent="0.25">
      <c r="G84" s="668" t="str">
        <f>summ!F23</f>
        <v xml:space="preserve">  </v>
      </c>
      <c r="H84" s="641" t="str">
        <f>CONCATENATE("",E1-1," Fund Mill Rate")</f>
        <v>2012 Fund Mill Rate</v>
      </c>
      <c r="I84" s="665"/>
      <c r="J84" s="666"/>
      <c r="K84" s="591"/>
    </row>
    <row r="85" spans="2:11" x14ac:dyDescent="0.25">
      <c r="G85" s="670">
        <f>summ!I32</f>
        <v>14.982999999999999</v>
      </c>
      <c r="H85" s="641" t="str">
        <f>CONCATENATE("Total ",E1," Mill Rate")</f>
        <v>Total 2013 Mill Rate</v>
      </c>
      <c r="I85" s="665"/>
      <c r="J85" s="666"/>
      <c r="K85" s="591"/>
    </row>
    <row r="86" spans="2:11" x14ac:dyDescent="0.25">
      <c r="G86" s="668">
        <f>summ!F32</f>
        <v>15.565000000000001</v>
      </c>
      <c r="H86" s="671" t="str">
        <f>CONCATENATE("Total ",E1-1," Mill Rate")</f>
        <v>Total 2012 Mill Rate</v>
      </c>
      <c r="I86" s="672"/>
      <c r="J86" s="673"/>
      <c r="K86" s="591"/>
    </row>
    <row r="92" spans="2:11" hidden="1" x14ac:dyDescent="0.25">
      <c r="C92" s="16" t="str">
        <f>IF(C33&gt;C35,"See Tab A","")</f>
        <v>See Tab A</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24:J24"/>
    <mergeCell ref="G31:J31"/>
    <mergeCell ref="G41:J41"/>
    <mergeCell ref="G64:J64"/>
    <mergeCell ref="G71:J71"/>
    <mergeCell ref="G81:J81"/>
    <mergeCell ref="C80:D80"/>
    <mergeCell ref="C40:D40"/>
    <mergeCell ref="C36:D36"/>
    <mergeCell ref="C37:D37"/>
    <mergeCell ref="C76:D76"/>
    <mergeCell ref="C77:D77"/>
  </mergeCells>
  <phoneticPr fontId="0" type="noConversion"/>
  <conditionalFormatting sqref="E76">
    <cfRule type="cellIs" dxfId="78" priority="3" stopIfTrue="1" operator="greaterThan">
      <formula>$E$73/0.95-$E$73</formula>
    </cfRule>
  </conditionalFormatting>
  <conditionalFormatting sqref="C71">
    <cfRule type="cellIs" dxfId="77" priority="4" stopIfTrue="1" operator="greaterThan">
      <formula>$C$73*0.1</formula>
    </cfRule>
  </conditionalFormatting>
  <conditionalFormatting sqref="D71">
    <cfRule type="cellIs" dxfId="76" priority="5" stopIfTrue="1" operator="greaterThan">
      <formula>$D$73*0.1</formula>
    </cfRule>
  </conditionalFormatting>
  <conditionalFormatting sqref="E71">
    <cfRule type="cellIs" dxfId="75" priority="6" stopIfTrue="1" operator="greaterThan">
      <formula>$E$73*0.1</formula>
    </cfRule>
  </conditionalFormatting>
  <conditionalFormatting sqref="C58">
    <cfRule type="cellIs" dxfId="74" priority="7" stopIfTrue="1" operator="greaterThan">
      <formula>$C$60*0.1</formula>
    </cfRule>
  </conditionalFormatting>
  <conditionalFormatting sqref="D58">
    <cfRule type="cellIs" dxfId="73" priority="8" stopIfTrue="1" operator="greaterThan">
      <formula>$D$60*0.1</formula>
    </cfRule>
  </conditionalFormatting>
  <conditionalFormatting sqref="E36">
    <cfRule type="cellIs" dxfId="72" priority="9" stopIfTrue="1" operator="greaterThan">
      <formula>$E$33/0.95-$E$33</formula>
    </cfRule>
  </conditionalFormatting>
  <conditionalFormatting sqref="C31">
    <cfRule type="cellIs" dxfId="71" priority="10" stopIfTrue="1" operator="greaterThan">
      <formula>$C$33*0.1</formula>
    </cfRule>
  </conditionalFormatting>
  <conditionalFormatting sqref="D31">
    <cfRule type="cellIs" dxfId="70" priority="11" stopIfTrue="1" operator="greaterThan">
      <formula>$D$33*0.1</formula>
    </cfRule>
  </conditionalFormatting>
  <conditionalFormatting sqref="E31">
    <cfRule type="cellIs" dxfId="69" priority="12" stopIfTrue="1" operator="greaterThan">
      <formula>$E$33*0.1</formula>
    </cfRule>
  </conditionalFormatting>
  <conditionalFormatting sqref="C18">
    <cfRule type="cellIs" dxfId="68" priority="13" stopIfTrue="1" operator="greaterThan">
      <formula>$C$20*0.1</formula>
    </cfRule>
  </conditionalFormatting>
  <conditionalFormatting sqref="D18">
    <cfRule type="cellIs" dxfId="67" priority="14" stopIfTrue="1" operator="greaterThan">
      <formula>$D$20*0.1</formula>
    </cfRule>
  </conditionalFormatting>
  <conditionalFormatting sqref="E58">
    <cfRule type="cellIs" dxfId="66" priority="15" stopIfTrue="1" operator="greaterThan">
      <formula>$E$60*0.1+$E$80</formula>
    </cfRule>
  </conditionalFormatting>
  <conditionalFormatting sqref="E18">
    <cfRule type="cellIs" dxfId="65" priority="16" stopIfTrue="1" operator="greaterThan">
      <formula>$E$20*0.1+$E$40</formula>
    </cfRule>
  </conditionalFormatting>
  <conditionalFormatting sqref="C74 C34">
    <cfRule type="cellIs" dxfId="64" priority="17" stopIfTrue="1" operator="lessThan">
      <formula>0</formula>
    </cfRule>
  </conditionalFormatting>
  <conditionalFormatting sqref="C73">
    <cfRule type="cellIs" dxfId="63" priority="18" stopIfTrue="1" operator="greaterThan">
      <formula>$C$75</formula>
    </cfRule>
  </conditionalFormatting>
  <conditionalFormatting sqref="D73">
    <cfRule type="cellIs" dxfId="62" priority="19" stopIfTrue="1" operator="greaterThan">
      <formula>$D$75</formula>
    </cfRule>
  </conditionalFormatting>
  <conditionalFormatting sqref="C33">
    <cfRule type="cellIs" dxfId="61" priority="20" stopIfTrue="1" operator="greaterThan">
      <formula>$C$35</formula>
    </cfRule>
  </conditionalFormatting>
  <conditionalFormatting sqref="D33">
    <cfRule type="cellIs" dxfId="60" priority="21" stopIfTrue="1" operator="greaterThan">
      <formula>$D$35</formula>
    </cfRule>
  </conditionalFormatting>
  <conditionalFormatting sqref="D34 D74">
    <cfRule type="cellIs" dxfId="59" priority="2" stopIfTrue="1" operator="lessThan">
      <formula>0</formula>
    </cfRule>
  </conditionalFormatting>
  <pageMargins left="0.9" right="0.9" top="0.96" bottom="0.5" header="0.41" footer="0.3"/>
  <pageSetup scale="57" orientation="portrait" blackAndWhite="1" horizontalDpi="1200" verticalDpi="1200" r:id="rId1"/>
  <headerFooter alignWithMargins="0">
    <oddHeader xml:space="preserve">&amp;RState of Kansas
Township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C15" sqref="C15:D15"/>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Delhi Township</v>
      </c>
      <c r="C1" s="14"/>
      <c r="D1" s="14"/>
      <c r="E1" s="15">
        <f>inputPrYr!D5</f>
        <v>2013</v>
      </c>
    </row>
    <row r="2" spans="2:5" x14ac:dyDescent="0.25">
      <c r="B2" s="17"/>
      <c r="C2" s="14"/>
      <c r="D2" s="61"/>
      <c r="E2" s="82"/>
    </row>
    <row r="3" spans="2:5" x14ac:dyDescent="0.25">
      <c r="B3" s="541" t="s">
        <v>721</v>
      </c>
      <c r="C3" s="66"/>
      <c r="D3" s="66"/>
      <c r="E3" s="66"/>
    </row>
    <row r="4" spans="2:5" x14ac:dyDescent="0.25">
      <c r="B4" s="22" t="s">
        <v>10</v>
      </c>
      <c r="C4" s="388" t="s">
        <v>11</v>
      </c>
      <c r="D4" s="391" t="s">
        <v>12</v>
      </c>
      <c r="E4" s="23" t="s">
        <v>13</v>
      </c>
    </row>
    <row r="5" spans="2:5" x14ac:dyDescent="0.25">
      <c r="B5" s="400">
        <f>inputPrYr!B22</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IF(inputPrYr!H15&gt;0,inputPrYr!G22,inputPrYr!E22)</f>
        <v>0</v>
      </c>
      <c r="E8" s="33" t="s">
        <v>290</v>
      </c>
    </row>
    <row r="9" spans="2:5" x14ac:dyDescent="0.25">
      <c r="B9" s="27" t="s">
        <v>17</v>
      </c>
      <c r="C9" s="29"/>
      <c r="D9" s="29"/>
      <c r="E9" s="34"/>
    </row>
    <row r="10" spans="2:5" x14ac:dyDescent="0.25">
      <c r="B10" s="27" t="s">
        <v>18</v>
      </c>
      <c r="C10" s="29"/>
      <c r="D10" s="29"/>
      <c r="E10" s="32">
        <f>mvalloc!G17</f>
        <v>0</v>
      </c>
    </row>
    <row r="11" spans="2:5" x14ac:dyDescent="0.25">
      <c r="B11" s="27" t="s">
        <v>19</v>
      </c>
      <c r="C11" s="29"/>
      <c r="D11" s="29"/>
      <c r="E11" s="32">
        <f>mvalloc!I17</f>
        <v>0</v>
      </c>
    </row>
    <row r="12" spans="2:5" x14ac:dyDescent="0.25">
      <c r="B12" s="27" t="s">
        <v>99</v>
      </c>
      <c r="C12" s="29"/>
      <c r="D12" s="29"/>
      <c r="E12" s="32">
        <f>mvalloc!J17</f>
        <v>0</v>
      </c>
    </row>
    <row r="13" spans="2:5" x14ac:dyDescent="0.25">
      <c r="B13" s="37"/>
      <c r="C13" s="29"/>
      <c r="D13" s="29"/>
      <c r="E13" s="34"/>
    </row>
    <row r="14" spans="2:5" x14ac:dyDescent="0.25">
      <c r="B14" s="37"/>
      <c r="C14" s="29"/>
      <c r="D14" s="29"/>
      <c r="E14" s="34"/>
    </row>
    <row r="15" spans="2:5" x14ac:dyDescent="0.25">
      <c r="B15" s="37"/>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38"/>
      <c r="C26" s="29"/>
      <c r="D26" s="29"/>
      <c r="E26" s="34"/>
      <c r="G26" s="626" t="s">
        <v>715</v>
      </c>
      <c r="H26" s="624"/>
      <c r="I26" s="624"/>
      <c r="J26" s="627">
        <v>0</v>
      </c>
      <c r="K26" s="591"/>
    </row>
    <row r="27" spans="2:11" x14ac:dyDescent="0.25">
      <c r="B27" s="38"/>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nhood!E12</f>
        <v/>
      </c>
      <c r="G30" s="591"/>
      <c r="H30" s="591"/>
      <c r="I30" s="591"/>
      <c r="J30" s="591"/>
      <c r="K30" s="591"/>
    </row>
    <row r="31" spans="2:11" x14ac:dyDescent="0.25">
      <c r="B31" s="35" t="s">
        <v>213</v>
      </c>
      <c r="C31" s="29"/>
      <c r="D31" s="29"/>
      <c r="E31" s="34"/>
      <c r="G31" s="820" t="str">
        <f>CONCATENATE("Projected Carryover Into ",E1+1,"")</f>
        <v>Projected Carryover Into 2014</v>
      </c>
      <c r="H31" s="825"/>
      <c r="I31" s="825"/>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inputOth!B52</f>
        <v>0</v>
      </c>
      <c r="D35" s="161">
        <f>inputPrYr!D22</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summ!I24</f>
        <v xml:space="preserve"> </v>
      </c>
      <c r="H43" s="641" t="str">
        <f>CONCATENATE("",E1," Fund Mill Rate")</f>
        <v>2013 Fund Mill Rate</v>
      </c>
      <c r="I43" s="665"/>
      <c r="J43" s="666"/>
      <c r="K43" s="591"/>
    </row>
    <row r="44" spans="2:11" x14ac:dyDescent="0.25">
      <c r="B44" s="14"/>
      <c r="C44" s="388" t="s">
        <v>11</v>
      </c>
      <c r="D44" s="391" t="s">
        <v>12</v>
      </c>
      <c r="E44" s="23" t="s">
        <v>13</v>
      </c>
      <c r="G44" s="668" t="str">
        <f>summ!F24</f>
        <v xml:space="preserve">  </v>
      </c>
      <c r="H44" s="641" t="str">
        <f>CONCATENATE("",E1-1," Fund Mill Rate")</f>
        <v>2012 Fund Mill Rate</v>
      </c>
      <c r="I44" s="665"/>
      <c r="J44" s="666"/>
      <c r="K44" s="591"/>
    </row>
    <row r="45" spans="2:11" x14ac:dyDescent="0.25">
      <c r="B45" s="481">
        <f>inputPrYr!B23</f>
        <v>0</v>
      </c>
      <c r="C45" s="389" t="str">
        <f>C5</f>
        <v>Actual for 2011</v>
      </c>
      <c r="D45" s="389" t="str">
        <f>D5</f>
        <v>Estimate for 2012</v>
      </c>
      <c r="E45" s="26" t="str">
        <f>E5</f>
        <v>Year for 2013</v>
      </c>
      <c r="G45" s="670">
        <f>summ!I32</f>
        <v>14.982999999999999</v>
      </c>
      <c r="H45" s="641" t="str">
        <f>CONCATENATE("Total ",E1," Mill Rate")</f>
        <v>Total 2013 Mill Rate</v>
      </c>
      <c r="I45" s="665"/>
      <c r="J45" s="666"/>
      <c r="K45" s="591"/>
    </row>
    <row r="46" spans="2:11" x14ac:dyDescent="0.25">
      <c r="B46" s="27" t="s">
        <v>118</v>
      </c>
      <c r="C46" s="29"/>
      <c r="D46" s="390">
        <f>C74</f>
        <v>0</v>
      </c>
      <c r="E46" s="32">
        <f>D74</f>
        <v>0</v>
      </c>
      <c r="G46" s="668">
        <f>summ!F32</f>
        <v>15.565000000000001</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IF(inputPrYr!H15&gt;0,inputPrYr!G23,inputPrYr!E23)</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mvalloc!G18</f>
        <v>0</v>
      </c>
      <c r="G50" s="591"/>
      <c r="H50" s="591"/>
      <c r="I50" s="591"/>
      <c r="J50" s="591"/>
      <c r="K50" s="591"/>
    </row>
    <row r="51" spans="2:11" x14ac:dyDescent="0.25">
      <c r="B51" s="27" t="s">
        <v>19</v>
      </c>
      <c r="C51" s="29"/>
      <c r="D51" s="29"/>
      <c r="E51" s="32">
        <f>mvalloc!I18</f>
        <v>0</v>
      </c>
      <c r="G51" s="591"/>
      <c r="H51" s="591"/>
      <c r="I51" s="591"/>
      <c r="J51" s="591"/>
      <c r="K51" s="591"/>
    </row>
    <row r="52" spans="2:11" x14ac:dyDescent="0.25">
      <c r="B52" s="27" t="s">
        <v>99</v>
      </c>
      <c r="C52" s="29"/>
      <c r="D52" s="29"/>
      <c r="E52" s="32">
        <f>mvalloc!J18</f>
        <v>0</v>
      </c>
      <c r="G52" s="591"/>
      <c r="H52" s="591"/>
      <c r="I52" s="591"/>
      <c r="J52" s="591"/>
      <c r="K52" s="591"/>
    </row>
    <row r="53" spans="2:11" x14ac:dyDescent="0.25">
      <c r="B53" s="38"/>
      <c r="C53" s="29"/>
      <c r="D53" s="29"/>
      <c r="E53" s="34"/>
      <c r="G53" s="591"/>
      <c r="H53" s="591"/>
      <c r="I53" s="591"/>
      <c r="J53" s="591"/>
      <c r="K53" s="591"/>
    </row>
    <row r="54" spans="2:11" x14ac:dyDescent="0.25">
      <c r="B54" s="38"/>
      <c r="C54" s="29"/>
      <c r="D54" s="29"/>
      <c r="E54" s="34"/>
      <c r="G54" s="591"/>
      <c r="H54" s="591"/>
      <c r="I54" s="591"/>
      <c r="J54" s="591"/>
      <c r="K54" s="591"/>
    </row>
    <row r="55" spans="2:11" x14ac:dyDescent="0.25">
      <c r="B55" s="38"/>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nhood!E13</f>
        <v/>
      </c>
      <c r="G70" s="591"/>
      <c r="H70" s="591"/>
      <c r="I70" s="591"/>
      <c r="J70" s="591"/>
      <c r="K70" s="591"/>
    </row>
    <row r="71" spans="2:11" x14ac:dyDescent="0.25">
      <c r="B71" s="35" t="s">
        <v>213</v>
      </c>
      <c r="C71" s="29"/>
      <c r="D71" s="29"/>
      <c r="E71" s="34"/>
      <c r="G71" s="820" t="str">
        <f>CONCATENATE("Projected Carryover Into ",E1+1,"")</f>
        <v>Projected Carryover Into 2014</v>
      </c>
      <c r="H71" s="823"/>
      <c r="I71" s="823"/>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inputOth!B53</f>
        <v>0</v>
      </c>
      <c r="D75" s="161">
        <f>inputPrYr!D23</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540"/>
      <c r="F76" s="486" t="str">
        <f>IF(E73/0.95-E73&lt;E76,"Exceeds 5%","")</f>
        <v/>
      </c>
      <c r="G76" s="679">
        <f>SUM(G73:G75)</f>
        <v>0</v>
      </c>
      <c r="H76" s="624" t="str">
        <f>CONCATENATE("Total ",E1," Resources Available")</f>
        <v>Total 2013 Resources Available</v>
      </c>
      <c r="I76" s="680"/>
      <c r="J76" s="677"/>
      <c r="K76" s="591"/>
    </row>
    <row r="77" spans="2:11" x14ac:dyDescent="0.25">
      <c r="B77" s="399" t="str">
        <f>CONCATENATE(C94,"     ",D94)</f>
        <v xml:space="preserve">     </v>
      </c>
      <c r="C77" s="810" t="s">
        <v>624</v>
      </c>
      <c r="D77" s="811"/>
      <c r="E77" s="32">
        <f>E73+E76</f>
        <v>0</v>
      </c>
      <c r="G77" s="681"/>
      <c r="H77" s="682"/>
      <c r="I77" s="623"/>
      <c r="J77" s="677"/>
      <c r="K77" s="591"/>
    </row>
    <row r="78" spans="2:11" x14ac:dyDescent="0.25">
      <c r="B78" s="399" t="str">
        <f>CONCATENATE(C95,"     ",D95)</f>
        <v xml:space="preserve">     </v>
      </c>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summ!I25</f>
        <v xml:space="preserve"> </v>
      </c>
      <c r="H83" s="641" t="str">
        <f>CONCATENATE("",E1," Fund Mill Rate")</f>
        <v>2013 Fund Mill Rate</v>
      </c>
      <c r="I83" s="665"/>
      <c r="J83" s="666"/>
      <c r="K83" s="591"/>
    </row>
    <row r="84" spans="2:11" x14ac:dyDescent="0.25">
      <c r="G84" s="668" t="str">
        <f>summ!F25</f>
        <v xml:space="preserve">  </v>
      </c>
      <c r="H84" s="641" t="str">
        <f>CONCATENATE("",E1-1," Fund Mill Rate")</f>
        <v>2012 Fund Mill Rate</v>
      </c>
      <c r="I84" s="665"/>
      <c r="J84" s="666"/>
      <c r="K84" s="591"/>
    </row>
    <row r="85" spans="2:11" x14ac:dyDescent="0.25">
      <c r="G85" s="670">
        <f>summ!I32</f>
        <v>14.982999999999999</v>
      </c>
      <c r="H85" s="641" t="str">
        <f>CONCATENATE("Total ",E1," Mill Rate")</f>
        <v>Total 2013 Mill Rate</v>
      </c>
      <c r="I85" s="665"/>
      <c r="J85" s="666"/>
      <c r="K85" s="591"/>
    </row>
    <row r="86" spans="2:11" x14ac:dyDescent="0.25">
      <c r="G86" s="668">
        <f>summ!F32</f>
        <v>15.565000000000001</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24:J24"/>
    <mergeCell ref="G31:J31"/>
    <mergeCell ref="G41:J41"/>
    <mergeCell ref="G64:J64"/>
    <mergeCell ref="G71:J71"/>
    <mergeCell ref="G81:J81"/>
    <mergeCell ref="C80:D80"/>
    <mergeCell ref="C40:D40"/>
    <mergeCell ref="C36:D36"/>
    <mergeCell ref="C37:D37"/>
    <mergeCell ref="C76:D76"/>
    <mergeCell ref="C77:D77"/>
  </mergeCells>
  <phoneticPr fontId="0" type="noConversion"/>
  <conditionalFormatting sqref="C71">
    <cfRule type="cellIs" dxfId="58" priority="5" stopIfTrue="1" operator="greaterThan">
      <formula>$C$73*0.1</formula>
    </cfRule>
  </conditionalFormatting>
  <conditionalFormatting sqref="D71">
    <cfRule type="cellIs" dxfId="57" priority="6" stopIfTrue="1" operator="greaterThan">
      <formula>$D$73*0.1</formula>
    </cfRule>
  </conditionalFormatting>
  <conditionalFormatting sqref="E71">
    <cfRule type="cellIs" dxfId="56" priority="7" stopIfTrue="1" operator="greaterThan">
      <formula>$E$73*0.1</formula>
    </cfRule>
  </conditionalFormatting>
  <conditionalFormatting sqref="C58">
    <cfRule type="cellIs" dxfId="55" priority="8" stopIfTrue="1" operator="greaterThan">
      <formula>$C$60*0.1</formula>
    </cfRule>
  </conditionalFormatting>
  <conditionalFormatting sqref="D58">
    <cfRule type="cellIs" dxfId="54" priority="9" stopIfTrue="1" operator="greaterThan">
      <formula>$D$60*0.1</formula>
    </cfRule>
  </conditionalFormatting>
  <conditionalFormatting sqref="E36">
    <cfRule type="cellIs" dxfId="53" priority="10" stopIfTrue="1" operator="greaterThan">
      <formula>$E$33/0.95-$E$33</formula>
    </cfRule>
  </conditionalFormatting>
  <conditionalFormatting sqref="C31">
    <cfRule type="cellIs" dxfId="52" priority="11" stopIfTrue="1" operator="greaterThan">
      <formula>$C$33*0.1</formula>
    </cfRule>
  </conditionalFormatting>
  <conditionalFormatting sqref="D31">
    <cfRule type="cellIs" dxfId="51" priority="12" stopIfTrue="1" operator="greaterThan">
      <formula>$D$33*0.1</formula>
    </cfRule>
  </conditionalFormatting>
  <conditionalFormatting sqref="E31">
    <cfRule type="cellIs" dxfId="50" priority="13" stopIfTrue="1" operator="greaterThan">
      <formula>$E$33*0.1</formula>
    </cfRule>
  </conditionalFormatting>
  <conditionalFormatting sqref="C18">
    <cfRule type="cellIs" dxfId="49" priority="14" stopIfTrue="1" operator="greaterThan">
      <formula>$C$20*0.1</formula>
    </cfRule>
  </conditionalFormatting>
  <conditionalFormatting sqref="D18">
    <cfRule type="cellIs" dxfId="48" priority="15" stopIfTrue="1" operator="greaterThan">
      <formula>$D$20*0.1</formula>
    </cfRule>
  </conditionalFormatting>
  <conditionalFormatting sqref="E58">
    <cfRule type="cellIs" dxfId="47" priority="16" stopIfTrue="1" operator="greaterThan">
      <formula>$E$60*0.1+$E$80</formula>
    </cfRule>
  </conditionalFormatting>
  <conditionalFormatting sqref="E18">
    <cfRule type="cellIs" dxfId="46" priority="17" stopIfTrue="1" operator="greaterThan">
      <formula>$E$20*0.1+$E$40</formula>
    </cfRule>
  </conditionalFormatting>
  <conditionalFormatting sqref="C74 C34">
    <cfRule type="cellIs" dxfId="45" priority="18" stopIfTrue="1" operator="lessThan">
      <formula>0</formula>
    </cfRule>
  </conditionalFormatting>
  <conditionalFormatting sqref="C73">
    <cfRule type="cellIs" dxfId="44" priority="19" stopIfTrue="1" operator="greaterThan">
      <formula>$C$75</formula>
    </cfRule>
  </conditionalFormatting>
  <conditionalFormatting sqref="D73">
    <cfRule type="cellIs" dxfId="43" priority="20" stopIfTrue="1" operator="greaterThan">
      <formula>$D$75</formula>
    </cfRule>
  </conditionalFormatting>
  <conditionalFormatting sqref="C33">
    <cfRule type="cellIs" dxfId="42" priority="21" stopIfTrue="1" operator="greaterThan">
      <formula>$C$35</formula>
    </cfRule>
  </conditionalFormatting>
  <conditionalFormatting sqref="D33">
    <cfRule type="cellIs" dxfId="41" priority="22" stopIfTrue="1" operator="greaterThan">
      <formula>$D$35</formula>
    </cfRule>
  </conditionalFormatting>
  <conditionalFormatting sqref="D34 D74">
    <cfRule type="cellIs" dxfId="40" priority="3" stopIfTrue="1" operator="lessThan">
      <formula>0</formula>
    </cfRule>
  </conditionalFormatting>
  <conditionalFormatting sqref="E76">
    <cfRule type="cellIs" dxfId="39" priority="1" stopIfTrue="1" operator="greaterThan">
      <formula>$E$73/0.95-$E$73</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G39" sqref="G39"/>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Delhi Township</v>
      </c>
      <c r="C1" s="14"/>
      <c r="D1" s="14"/>
      <c r="E1" s="15">
        <f>inputPrYr!D5</f>
        <v>2013</v>
      </c>
    </row>
    <row r="2" spans="2:5" x14ac:dyDescent="0.25">
      <c r="B2" s="17"/>
      <c r="C2" s="14"/>
      <c r="D2" s="61"/>
      <c r="E2" s="62"/>
    </row>
    <row r="3" spans="2:5" x14ac:dyDescent="0.25">
      <c r="B3" s="541" t="s">
        <v>721</v>
      </c>
      <c r="C3" s="66"/>
      <c r="D3" s="66"/>
      <c r="E3" s="66"/>
    </row>
    <row r="4" spans="2:5" x14ac:dyDescent="0.25">
      <c r="B4" s="22" t="s">
        <v>10</v>
      </c>
      <c r="C4" s="388" t="s">
        <v>11</v>
      </c>
      <c r="D4" s="391" t="s">
        <v>12</v>
      </c>
      <c r="E4" s="23" t="s">
        <v>13</v>
      </c>
    </row>
    <row r="5" spans="2:5" x14ac:dyDescent="0.25">
      <c r="B5" s="400">
        <f>inputPrYr!B24</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IF(inputPrYr!H15&gt;0,inputPrYr!G24,inputPrYr!E24)</f>
        <v>0</v>
      </c>
      <c r="E8" s="33" t="s">
        <v>290</v>
      </c>
    </row>
    <row r="9" spans="2:5" x14ac:dyDescent="0.25">
      <c r="B9" s="27" t="s">
        <v>17</v>
      </c>
      <c r="C9" s="29"/>
      <c r="D9" s="29"/>
      <c r="E9" s="34"/>
    </row>
    <row r="10" spans="2:5" x14ac:dyDescent="0.25">
      <c r="B10" s="27" t="s">
        <v>18</v>
      </c>
      <c r="C10" s="29"/>
      <c r="D10" s="29"/>
      <c r="E10" s="32">
        <f>mvalloc!G19</f>
        <v>0</v>
      </c>
    </row>
    <row r="11" spans="2:5" x14ac:dyDescent="0.25">
      <c r="B11" s="27" t="s">
        <v>19</v>
      </c>
      <c r="C11" s="29"/>
      <c r="D11" s="29"/>
      <c r="E11" s="32">
        <f>mvalloc!I19</f>
        <v>0</v>
      </c>
    </row>
    <row r="12" spans="2:5" x14ac:dyDescent="0.25">
      <c r="B12" s="27" t="s">
        <v>99</v>
      </c>
      <c r="C12" s="29"/>
      <c r="D12" s="29"/>
      <c r="E12" s="32">
        <f>mvalloc!J19</f>
        <v>0</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29"/>
      <c r="C26" s="29"/>
      <c r="D26" s="29"/>
      <c r="E26" s="34"/>
      <c r="G26" s="626" t="s">
        <v>715</v>
      </c>
      <c r="H26" s="624"/>
      <c r="I26" s="624"/>
      <c r="J26" s="627">
        <v>0</v>
      </c>
      <c r="K26" s="591"/>
    </row>
    <row r="27" spans="2:11" x14ac:dyDescent="0.25">
      <c r="B27" s="29"/>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nhood!E14</f>
        <v/>
      </c>
      <c r="G30" s="591"/>
      <c r="H30" s="591"/>
      <c r="I30" s="591"/>
      <c r="J30" s="591"/>
      <c r="K30" s="591"/>
    </row>
    <row r="31" spans="2:11" x14ac:dyDescent="0.25">
      <c r="B31" s="35" t="s">
        <v>213</v>
      </c>
      <c r="C31" s="29"/>
      <c r="D31" s="29"/>
      <c r="E31" s="34"/>
      <c r="G31" s="820" t="str">
        <f>CONCATENATE("Projected Carryover Into ",E1+1,"")</f>
        <v>Projected Carryover Into 2014</v>
      </c>
      <c r="H31" s="825"/>
      <c r="I31" s="825"/>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inputOth!B54</f>
        <v>0</v>
      </c>
      <c r="D35" s="161">
        <f>inputPrYr!D24</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ROUND(C33*0.05+C33,)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summ!I26</f>
        <v xml:space="preserve"> </v>
      </c>
      <c r="H43" s="641" t="str">
        <f>CONCATENATE("",E1," Fund Mill Rate")</f>
        <v>2013 Fund Mill Rate</v>
      </c>
      <c r="I43" s="665"/>
      <c r="J43" s="666"/>
      <c r="K43" s="591"/>
    </row>
    <row r="44" spans="2:11" x14ac:dyDescent="0.25">
      <c r="B44" s="14"/>
      <c r="C44" s="388" t="s">
        <v>11</v>
      </c>
      <c r="D44" s="391" t="s">
        <v>12</v>
      </c>
      <c r="E44" s="23" t="s">
        <v>13</v>
      </c>
      <c r="G44" s="668" t="str">
        <f>summ!F26</f>
        <v xml:space="preserve">  </v>
      </c>
      <c r="H44" s="641" t="str">
        <f>CONCATENATE("",E1-1," Fund Mill Rate")</f>
        <v>2012 Fund Mill Rate</v>
      </c>
      <c r="I44" s="665"/>
      <c r="J44" s="666"/>
      <c r="K44" s="591"/>
    </row>
    <row r="45" spans="2:11" x14ac:dyDescent="0.25">
      <c r="B45" s="481">
        <f>inputPrYr!B25</f>
        <v>0</v>
      </c>
      <c r="C45" s="389" t="str">
        <f>C5</f>
        <v>Actual for 2011</v>
      </c>
      <c r="D45" s="389" t="str">
        <f>D5</f>
        <v>Estimate for 2012</v>
      </c>
      <c r="E45" s="26" t="str">
        <f>E5</f>
        <v>Year for 2013</v>
      </c>
      <c r="G45" s="670">
        <f>summ!I32</f>
        <v>14.982999999999999</v>
      </c>
      <c r="H45" s="641" t="str">
        <f>CONCATENATE("Total ",E1," Mill Rate")</f>
        <v>Total 2013 Mill Rate</v>
      </c>
      <c r="I45" s="665"/>
      <c r="J45" s="666"/>
      <c r="K45" s="591"/>
    </row>
    <row r="46" spans="2:11" x14ac:dyDescent="0.25">
      <c r="B46" s="27" t="s">
        <v>118</v>
      </c>
      <c r="C46" s="29"/>
      <c r="D46" s="390">
        <f>C74</f>
        <v>0</v>
      </c>
      <c r="E46" s="32">
        <f>D74</f>
        <v>0</v>
      </c>
      <c r="G46" s="668">
        <f>summ!F32</f>
        <v>15.565000000000001</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IF(inputPrYr!H15&gt;0,inputPrYr!G25,inputPrYr!E25)</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mvalloc!G20</f>
        <v>0</v>
      </c>
      <c r="G50" s="591"/>
      <c r="H50" s="591"/>
      <c r="I50" s="591"/>
      <c r="J50" s="591"/>
      <c r="K50" s="591"/>
    </row>
    <row r="51" spans="2:11" x14ac:dyDescent="0.25">
      <c r="B51" s="27" t="s">
        <v>19</v>
      </c>
      <c r="C51" s="29"/>
      <c r="D51" s="29"/>
      <c r="E51" s="32">
        <f>mvalloc!I20</f>
        <v>0</v>
      </c>
      <c r="G51" s="591"/>
      <c r="H51" s="591"/>
      <c r="I51" s="591"/>
      <c r="J51" s="591"/>
      <c r="K51" s="591"/>
    </row>
    <row r="52" spans="2:11" x14ac:dyDescent="0.25">
      <c r="B52" s="27" t="s">
        <v>99</v>
      </c>
      <c r="C52" s="29"/>
      <c r="D52" s="29"/>
      <c r="E52" s="32">
        <f>mvalloc!J20</f>
        <v>0</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nhood!E15</f>
        <v/>
      </c>
      <c r="G70" s="591"/>
      <c r="H70" s="591"/>
      <c r="I70" s="591"/>
      <c r="J70" s="591"/>
      <c r="K70" s="591"/>
    </row>
    <row r="71" spans="2:11" x14ac:dyDescent="0.25">
      <c r="B71" s="35" t="s">
        <v>213</v>
      </c>
      <c r="C71" s="29"/>
      <c r="D71" s="29"/>
      <c r="E71" s="34"/>
      <c r="G71" s="820" t="str">
        <f>CONCATENATE("Projected Carryover Into ",E1+1,"")</f>
        <v>Projected Carryover Into 2014</v>
      </c>
      <c r="H71" s="823"/>
      <c r="I71" s="823"/>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inputOth!B55</f>
        <v>0</v>
      </c>
      <c r="D75" s="161">
        <f>inputPrYr!D25</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34"/>
      <c r="F76" s="486" t="str">
        <f>IF(E73/0.95-E73&lt;E76,"Exceeds 5%","")</f>
        <v/>
      </c>
      <c r="G76" s="679">
        <f>SUM(G73:G75)</f>
        <v>0</v>
      </c>
      <c r="H76" s="624" t="str">
        <f>CONCATENATE("Total ",E1," Resources Available")</f>
        <v>Total 2013 Resources Available</v>
      </c>
      <c r="I76" s="680"/>
      <c r="J76" s="677"/>
      <c r="K76" s="591"/>
    </row>
    <row r="77" spans="2:11" x14ac:dyDescent="0.25">
      <c r="B77" s="48"/>
      <c r="C77" s="810" t="s">
        <v>624</v>
      </c>
      <c r="D77" s="811"/>
      <c r="E77" s="32">
        <f>E73+E76</f>
        <v>0</v>
      </c>
      <c r="G77" s="681"/>
      <c r="H77" s="682"/>
      <c r="I77" s="623"/>
      <c r="J77" s="677"/>
      <c r="K77" s="591"/>
    </row>
    <row r="78" spans="2:11" x14ac:dyDescent="0.25">
      <c r="B78" s="48"/>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summ!I27</f>
        <v xml:space="preserve"> </v>
      </c>
      <c r="H83" s="641" t="str">
        <f>CONCATENATE("",E1," Fund Mill Rate")</f>
        <v>2013 Fund Mill Rate</v>
      </c>
      <c r="I83" s="665"/>
      <c r="J83" s="666"/>
      <c r="K83" s="591"/>
    </row>
    <row r="84" spans="2:11" x14ac:dyDescent="0.25">
      <c r="G84" s="668" t="str">
        <f>summ!F27</f>
        <v xml:space="preserve">  </v>
      </c>
      <c r="H84" s="641" t="str">
        <f>CONCATENATE("",E1-1," Fund Mill Rate")</f>
        <v>2012 Fund Mill Rate</v>
      </c>
      <c r="I84" s="665"/>
      <c r="J84" s="666"/>
      <c r="K84" s="591"/>
    </row>
    <row r="85" spans="2:11" x14ac:dyDescent="0.25">
      <c r="G85" s="670">
        <f>summ!I32</f>
        <v>14.982999999999999</v>
      </c>
      <c r="H85" s="641" t="str">
        <f>CONCATENATE("Total ",E1," Mill Rate")</f>
        <v>Total 2013 Mill Rate</v>
      </c>
      <c r="I85" s="665"/>
      <c r="J85" s="666"/>
      <c r="K85" s="591"/>
    </row>
    <row r="86" spans="2:11" x14ac:dyDescent="0.25">
      <c r="G86" s="668">
        <f>summ!F32</f>
        <v>15.565000000000001</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24:J24"/>
    <mergeCell ref="G31:J31"/>
    <mergeCell ref="G41:J41"/>
    <mergeCell ref="G64:J64"/>
    <mergeCell ref="G71:J71"/>
    <mergeCell ref="C36:D36"/>
    <mergeCell ref="C37:D37"/>
    <mergeCell ref="G81:J81"/>
    <mergeCell ref="C80:D80"/>
    <mergeCell ref="C40:D40"/>
    <mergeCell ref="C76:D76"/>
    <mergeCell ref="C77:D77"/>
  </mergeCells>
  <phoneticPr fontId="0" type="noConversion"/>
  <conditionalFormatting sqref="E76">
    <cfRule type="cellIs" dxfId="38" priority="3" stopIfTrue="1" operator="greaterThan">
      <formula>$E$73/0.95-$E$73</formula>
    </cfRule>
  </conditionalFormatting>
  <conditionalFormatting sqref="C71">
    <cfRule type="cellIs" dxfId="37" priority="4" stopIfTrue="1" operator="greaterThan">
      <formula>$C$73*0.1</formula>
    </cfRule>
  </conditionalFormatting>
  <conditionalFormatting sqref="D71">
    <cfRule type="cellIs" dxfId="36" priority="5" stopIfTrue="1" operator="greaterThan">
      <formula>$D$73*0.1</formula>
    </cfRule>
  </conditionalFormatting>
  <conditionalFormatting sqref="E71">
    <cfRule type="cellIs" dxfId="35" priority="6" stopIfTrue="1" operator="greaterThan">
      <formula>$E$73*0.1</formula>
    </cfRule>
  </conditionalFormatting>
  <conditionalFormatting sqref="C58">
    <cfRule type="cellIs" dxfId="34" priority="7" stopIfTrue="1" operator="greaterThan">
      <formula>$C$60*0.1</formula>
    </cfRule>
  </conditionalFormatting>
  <conditionalFormatting sqref="D58">
    <cfRule type="cellIs" dxfId="33" priority="8" stopIfTrue="1" operator="greaterThan">
      <formula>$D$60*0.1</formula>
    </cfRule>
  </conditionalFormatting>
  <conditionalFormatting sqref="E36">
    <cfRule type="cellIs" dxfId="32" priority="9" stopIfTrue="1" operator="greaterThan">
      <formula>$E$33/0.95-$E$33</formula>
    </cfRule>
  </conditionalFormatting>
  <conditionalFormatting sqref="C31">
    <cfRule type="cellIs" dxfId="31" priority="10" stopIfTrue="1" operator="greaterThan">
      <formula>$C$33*0.1</formula>
    </cfRule>
  </conditionalFormatting>
  <conditionalFormatting sqref="D31">
    <cfRule type="cellIs" dxfId="30" priority="11" stopIfTrue="1" operator="greaterThan">
      <formula>$D$33*0.1</formula>
    </cfRule>
  </conditionalFormatting>
  <conditionalFormatting sqref="E31">
    <cfRule type="cellIs" dxfId="29" priority="12" stopIfTrue="1" operator="greaterThan">
      <formula>$E$33*0.1</formula>
    </cfRule>
  </conditionalFormatting>
  <conditionalFormatting sqref="C18">
    <cfRule type="cellIs" dxfId="28" priority="13" stopIfTrue="1" operator="greaterThan">
      <formula>$C$20*0.1</formula>
    </cfRule>
  </conditionalFormatting>
  <conditionalFormatting sqref="D18">
    <cfRule type="cellIs" dxfId="27" priority="14" stopIfTrue="1" operator="greaterThan">
      <formula>$D$20*0.1</formula>
    </cfRule>
  </conditionalFormatting>
  <conditionalFormatting sqref="E58">
    <cfRule type="cellIs" dxfId="26" priority="15" stopIfTrue="1" operator="greaterThan">
      <formula>$E$60*0.1+$E$80</formula>
    </cfRule>
  </conditionalFormatting>
  <conditionalFormatting sqref="E18">
    <cfRule type="cellIs" dxfId="25" priority="16" stopIfTrue="1" operator="greaterThan">
      <formula>$E$20*0.1+$E$40</formula>
    </cfRule>
  </conditionalFormatting>
  <conditionalFormatting sqref="C74 C34">
    <cfRule type="cellIs" dxfId="24" priority="17" stopIfTrue="1" operator="lessThan">
      <formula>0</formula>
    </cfRule>
  </conditionalFormatting>
  <conditionalFormatting sqref="C73">
    <cfRule type="cellIs" dxfId="23" priority="18" stopIfTrue="1" operator="greaterThan">
      <formula>$C$75</formula>
    </cfRule>
  </conditionalFormatting>
  <conditionalFormatting sqref="D73">
    <cfRule type="cellIs" dxfId="22" priority="19" stopIfTrue="1" operator="greaterThan">
      <formula>$D$75</formula>
    </cfRule>
  </conditionalFormatting>
  <conditionalFormatting sqref="C33">
    <cfRule type="cellIs" dxfId="21" priority="20" stopIfTrue="1" operator="greaterThan">
      <formula>$C$35</formula>
    </cfRule>
  </conditionalFormatting>
  <conditionalFormatting sqref="D33">
    <cfRule type="cellIs" dxfId="20" priority="21" stopIfTrue="1" operator="greaterThan">
      <formula>$D$35</formula>
    </cfRule>
  </conditionalFormatting>
  <conditionalFormatting sqref="D34 D74">
    <cfRule type="cellIs" dxfId="1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65"/>
  <sheetViews>
    <sheetView workbookViewId="0">
      <selection activeCell="C24" sqref="C24:E24"/>
    </sheetView>
  </sheetViews>
  <sheetFormatPr defaultRowHeight="15.75" x14ac:dyDescent="0.25"/>
  <cols>
    <col min="1" max="1" width="2.3984375" style="80" customWidth="1"/>
    <col min="2" max="2" width="31" style="80" customWidth="1"/>
    <col min="3" max="5" width="14.19921875" style="80" customWidth="1"/>
    <col min="6" max="16384" width="8.796875" style="80"/>
  </cols>
  <sheetData>
    <row r="1" spans="2:5" x14ac:dyDescent="0.25">
      <c r="B1" s="13" t="str">
        <f>inputPrYr!D2</f>
        <v>Delhi Township</v>
      </c>
      <c r="C1" s="14"/>
      <c r="D1" s="14"/>
      <c r="E1" s="15">
        <f>inputPrYr!D5</f>
        <v>2013</v>
      </c>
    </row>
    <row r="2" spans="2:5" x14ac:dyDescent="0.25">
      <c r="B2" s="14"/>
      <c r="C2" s="14"/>
      <c r="D2" s="14"/>
      <c r="E2" s="52"/>
    </row>
    <row r="3" spans="2:5" x14ac:dyDescent="0.25">
      <c r="B3" s="17" t="s">
        <v>143</v>
      </c>
      <c r="C3" s="66"/>
      <c r="D3" s="66"/>
      <c r="E3" s="66"/>
    </row>
    <row r="4" spans="2:5" x14ac:dyDescent="0.25">
      <c r="B4" s="22" t="s">
        <v>10</v>
      </c>
      <c r="C4" s="69" t="s">
        <v>11</v>
      </c>
      <c r="D4" s="23" t="s">
        <v>12</v>
      </c>
      <c r="E4" s="23" t="s">
        <v>13</v>
      </c>
    </row>
    <row r="5" spans="2:5" x14ac:dyDescent="0.25">
      <c r="B5" s="400">
        <f>inputPrYr!B29</f>
        <v>0</v>
      </c>
      <c r="C5" s="26" t="str">
        <f>gen!C5</f>
        <v>Actual for 2011</v>
      </c>
      <c r="D5" s="26" t="str">
        <f>gen!D5</f>
        <v>Estimate for 2012</v>
      </c>
      <c r="E5" s="26" t="str">
        <f>gen!E5</f>
        <v>Year for 2013</v>
      </c>
    </row>
    <row r="6" spans="2:5" x14ac:dyDescent="0.25">
      <c r="B6" s="83" t="s">
        <v>144</v>
      </c>
      <c r="C6" s="34"/>
      <c r="D6" s="32">
        <f>C29</f>
        <v>0</v>
      </c>
      <c r="E6" s="32">
        <f>D29</f>
        <v>0</v>
      </c>
    </row>
    <row r="7" spans="2:5" s="16" customFormat="1" x14ac:dyDescent="0.25">
      <c r="B7" s="84" t="s">
        <v>120</v>
      </c>
      <c r="C7" s="85"/>
      <c r="D7" s="85"/>
      <c r="E7" s="85"/>
    </row>
    <row r="8" spans="2:5" x14ac:dyDescent="0.25">
      <c r="B8" s="37"/>
      <c r="C8" s="34"/>
      <c r="D8" s="34"/>
      <c r="E8" s="34"/>
    </row>
    <row r="9" spans="2:5" x14ac:dyDescent="0.25">
      <c r="B9" s="37"/>
      <c r="C9" s="34"/>
      <c r="D9" s="34"/>
      <c r="E9" s="34"/>
    </row>
    <row r="10" spans="2:5" x14ac:dyDescent="0.25">
      <c r="B10" s="37"/>
      <c r="C10" s="34"/>
      <c r="D10" s="34"/>
      <c r="E10" s="34"/>
    </row>
    <row r="11" spans="2:5" x14ac:dyDescent="0.25">
      <c r="B11" s="37"/>
      <c r="C11" s="34"/>
      <c r="D11" s="34"/>
      <c r="E11" s="34"/>
    </row>
    <row r="12" spans="2:5" x14ac:dyDescent="0.25">
      <c r="B12" s="86" t="s">
        <v>22</v>
      </c>
      <c r="C12" s="34"/>
      <c r="D12" s="34"/>
      <c r="E12" s="34"/>
    </row>
    <row r="13" spans="2:5" x14ac:dyDescent="0.25">
      <c r="B13" s="39" t="s">
        <v>213</v>
      </c>
      <c r="C13" s="34"/>
      <c r="D13" s="30"/>
      <c r="E13" s="30"/>
    </row>
    <row r="14" spans="2:5" x14ac:dyDescent="0.25">
      <c r="B14" s="39" t="s">
        <v>214</v>
      </c>
      <c r="C14" s="45" t="str">
        <f>IF(C15*0.1&lt;C13,"Exceed 10% Rule","")</f>
        <v/>
      </c>
      <c r="D14" s="40" t="str">
        <f>IF(D15*0.1&lt;D13,"Exceed 10% Rule","")</f>
        <v/>
      </c>
      <c r="E14" s="40" t="str">
        <f>IF(E15*0.1&lt;E13,"Exceed 10% Rule","")</f>
        <v/>
      </c>
    </row>
    <row r="15" spans="2:5" x14ac:dyDescent="0.25">
      <c r="B15" s="43" t="s">
        <v>23</v>
      </c>
      <c r="C15" s="42">
        <f>SUM(C8:C13)</f>
        <v>0</v>
      </c>
      <c r="D15" s="42">
        <f>SUM(D8:D13)</f>
        <v>0</v>
      </c>
      <c r="E15" s="42">
        <f>SUM(E8:E13)</f>
        <v>0</v>
      </c>
    </row>
    <row r="16" spans="2:5" x14ac:dyDescent="0.25">
      <c r="B16" s="43" t="s">
        <v>24</v>
      </c>
      <c r="C16" s="42">
        <f>C6+C15</f>
        <v>0</v>
      </c>
      <c r="D16" s="42">
        <f>D6+D15</f>
        <v>0</v>
      </c>
      <c r="E16" s="42">
        <f>E6+E15</f>
        <v>0</v>
      </c>
    </row>
    <row r="17" spans="2:5" x14ac:dyDescent="0.25">
      <c r="B17" s="27" t="s">
        <v>25</v>
      </c>
      <c r="C17" s="32"/>
      <c r="D17" s="32"/>
      <c r="E17" s="32"/>
    </row>
    <row r="18" spans="2:5" x14ac:dyDescent="0.25">
      <c r="B18" s="37"/>
      <c r="C18" s="34"/>
      <c r="D18" s="34"/>
      <c r="E18" s="34"/>
    </row>
    <row r="19" spans="2:5" x14ac:dyDescent="0.25">
      <c r="B19" s="37"/>
      <c r="C19" s="34"/>
      <c r="D19" s="34"/>
      <c r="E19" s="34"/>
    </row>
    <row r="20" spans="2:5" x14ac:dyDescent="0.25">
      <c r="B20" s="37"/>
      <c r="C20" s="34"/>
      <c r="D20" s="34"/>
      <c r="E20" s="34"/>
    </row>
    <row r="21" spans="2:5" x14ac:dyDescent="0.25">
      <c r="B21" s="37"/>
      <c r="C21" s="34"/>
      <c r="D21" s="34"/>
      <c r="E21" s="34"/>
    </row>
    <row r="22" spans="2:5" x14ac:dyDescent="0.25">
      <c r="B22" s="37"/>
      <c r="C22" s="34"/>
      <c r="D22" s="34"/>
      <c r="E22" s="34"/>
    </row>
    <row r="23" spans="2:5" x14ac:dyDescent="0.25">
      <c r="B23" s="37"/>
      <c r="C23" s="34"/>
      <c r="D23" s="34"/>
      <c r="E23" s="34"/>
    </row>
    <row r="24" spans="2:5" x14ac:dyDescent="0.25">
      <c r="B24" s="37"/>
      <c r="C24" s="34"/>
      <c r="D24" s="34"/>
      <c r="E24" s="34"/>
    </row>
    <row r="25" spans="2:5" x14ac:dyDescent="0.25">
      <c r="B25" s="37"/>
      <c r="C25" s="34"/>
      <c r="D25" s="34"/>
      <c r="E25" s="34"/>
    </row>
    <row r="26" spans="2:5" x14ac:dyDescent="0.25">
      <c r="B26" s="35" t="s">
        <v>213</v>
      </c>
      <c r="C26" s="34"/>
      <c r="D26" s="30"/>
      <c r="E26" s="30"/>
    </row>
    <row r="27" spans="2:5" x14ac:dyDescent="0.25">
      <c r="B27" s="35" t="s">
        <v>622</v>
      </c>
      <c r="C27" s="45" t="str">
        <f>IF(C28*0.1&lt;C26,"Exceed 10% Rule","")</f>
        <v/>
      </c>
      <c r="D27" s="40" t="str">
        <f>IF(D28*0.1&lt;D26,"Exceed 10% Rule","")</f>
        <v/>
      </c>
      <c r="E27" s="40" t="str">
        <f>IF(E28*0.1&lt;E26,"Exceed 10% Rule","")</f>
        <v/>
      </c>
    </row>
    <row r="28" spans="2:5" x14ac:dyDescent="0.25">
      <c r="B28" s="43" t="s">
        <v>26</v>
      </c>
      <c r="C28" s="42">
        <f>SUM(C18:C26)</f>
        <v>0</v>
      </c>
      <c r="D28" s="42">
        <f>SUM(D18:D26)</f>
        <v>0</v>
      </c>
      <c r="E28" s="42">
        <f>SUM(E18:E26)</f>
        <v>0</v>
      </c>
    </row>
    <row r="29" spans="2:5" x14ac:dyDescent="0.25">
      <c r="B29" s="27" t="s">
        <v>119</v>
      </c>
      <c r="C29" s="46">
        <f>C16-C28</f>
        <v>0</v>
      </c>
      <c r="D29" s="46">
        <f>D16-D28</f>
        <v>0</v>
      </c>
      <c r="E29" s="46">
        <f>E16-E28</f>
        <v>0</v>
      </c>
    </row>
    <row r="30" spans="2:5" x14ac:dyDescent="0.25">
      <c r="B30" s="48" t="str">
        <f>CONCATENATE("",E1-2,"/",E1-1," Budget Authority Amount:")</f>
        <v>2011/2012 Budget Authority Amount:</v>
      </c>
      <c r="C30" s="132">
        <f>inputOth!B56</f>
        <v>0</v>
      </c>
      <c r="D30" s="132">
        <f>inputPrYr!D29</f>
        <v>0</v>
      </c>
      <c r="E30" s="398" t="str">
        <f>IF(E29&lt;0,"See Tab E","")</f>
        <v/>
      </c>
    </row>
    <row r="31" spans="2:5" x14ac:dyDescent="0.25">
      <c r="B31" s="48"/>
      <c r="C31" s="51" t="str">
        <f>IF(C28&gt;C30,"See Tab A","")</f>
        <v/>
      </c>
      <c r="D31" s="51" t="str">
        <f>IF(D28&gt;D30,"See Tab C","")</f>
        <v/>
      </c>
      <c r="E31" s="55"/>
    </row>
    <row r="32" spans="2:5" x14ac:dyDescent="0.25">
      <c r="B32" s="48"/>
      <c r="C32" s="51" t="str">
        <f>IF(C29&lt;0,"See Tab B","")</f>
        <v/>
      </c>
      <c r="D32" s="87" t="str">
        <f>IF(D29&lt;0,"See Tab D","")</f>
        <v/>
      </c>
      <c r="E32" s="55"/>
    </row>
    <row r="33" spans="2:5" x14ac:dyDescent="0.25">
      <c r="B33" s="14"/>
      <c r="C33" s="55"/>
      <c r="D33" s="55"/>
      <c r="E33" s="55"/>
    </row>
    <row r="34" spans="2:5" x14ac:dyDescent="0.25">
      <c r="B34" s="22" t="s">
        <v>10</v>
      </c>
      <c r="C34" s="66"/>
      <c r="D34" s="66"/>
      <c r="E34" s="66"/>
    </row>
    <row r="35" spans="2:5" x14ac:dyDescent="0.25">
      <c r="B35" s="14"/>
      <c r="C35" s="69" t="s">
        <v>11</v>
      </c>
      <c r="D35" s="23" t="s">
        <v>12</v>
      </c>
      <c r="E35" s="23" t="s">
        <v>13</v>
      </c>
    </row>
    <row r="36" spans="2:5" x14ac:dyDescent="0.25">
      <c r="B36" s="481">
        <f>inputPrYr!B30</f>
        <v>0</v>
      </c>
      <c r="C36" s="26" t="str">
        <f>C5</f>
        <v>Actual for 2011</v>
      </c>
      <c r="D36" s="26" t="str">
        <f>D5</f>
        <v>Estimate for 2012</v>
      </c>
      <c r="E36" s="26" t="str">
        <f>E5</f>
        <v>Year for 2013</v>
      </c>
    </row>
    <row r="37" spans="2:5" x14ac:dyDescent="0.25">
      <c r="B37" s="83" t="s">
        <v>144</v>
      </c>
      <c r="C37" s="34"/>
      <c r="D37" s="32">
        <f>C60</f>
        <v>0</v>
      </c>
      <c r="E37" s="32">
        <f>D60</f>
        <v>0</v>
      </c>
    </row>
    <row r="38" spans="2:5" s="16" customFormat="1" x14ac:dyDescent="0.25">
      <c r="B38" s="83" t="s">
        <v>120</v>
      </c>
      <c r="C38" s="85"/>
      <c r="D38" s="85"/>
      <c r="E38" s="85"/>
    </row>
    <row r="39" spans="2:5" x14ac:dyDescent="0.25">
      <c r="B39" s="37"/>
      <c r="C39" s="34"/>
      <c r="D39" s="34"/>
      <c r="E39" s="34"/>
    </row>
    <row r="40" spans="2:5" x14ac:dyDescent="0.25">
      <c r="B40" s="37"/>
      <c r="C40" s="34"/>
      <c r="D40" s="34"/>
      <c r="E40" s="34"/>
    </row>
    <row r="41" spans="2:5" x14ac:dyDescent="0.25">
      <c r="B41" s="37"/>
      <c r="C41" s="34"/>
      <c r="D41" s="34"/>
      <c r="E41" s="34"/>
    </row>
    <row r="42" spans="2:5" x14ac:dyDescent="0.25">
      <c r="B42" s="37"/>
      <c r="C42" s="34"/>
      <c r="D42" s="34"/>
      <c r="E42" s="34"/>
    </row>
    <row r="43" spans="2:5" x14ac:dyDescent="0.25">
      <c r="B43" s="86" t="s">
        <v>22</v>
      </c>
      <c r="C43" s="34"/>
      <c r="D43" s="34"/>
      <c r="E43" s="34"/>
    </row>
    <row r="44" spans="2:5" x14ac:dyDescent="0.25">
      <c r="B44" s="39" t="s">
        <v>213</v>
      </c>
      <c r="C44" s="34"/>
      <c r="D44" s="30"/>
      <c r="E44" s="30"/>
    </row>
    <row r="45" spans="2:5" x14ac:dyDescent="0.25">
      <c r="B45" s="39" t="s">
        <v>214</v>
      </c>
      <c r="C45" s="45" t="str">
        <f>IF(C46*0.1&lt;C44,"Exceed 10% Rule","")</f>
        <v/>
      </c>
      <c r="D45" s="40" t="str">
        <f>IF(D46*0.1&lt;D44,"Exceed 10% Rule","")</f>
        <v/>
      </c>
      <c r="E45" s="40" t="str">
        <f>IF(E46*0.1&lt;E44,"Exceed 10% Rule","")</f>
        <v/>
      </c>
    </row>
    <row r="46" spans="2:5" x14ac:dyDescent="0.25">
      <c r="B46" s="43" t="s">
        <v>23</v>
      </c>
      <c r="C46" s="42">
        <f>SUM(C39:C44)</f>
        <v>0</v>
      </c>
      <c r="D46" s="42">
        <f>SUM(D39:D44)</f>
        <v>0</v>
      </c>
      <c r="E46" s="42">
        <f>SUM(E39:E44)</f>
        <v>0</v>
      </c>
    </row>
    <row r="47" spans="2:5" x14ac:dyDescent="0.25">
      <c r="B47" s="43" t="s">
        <v>24</v>
      </c>
      <c r="C47" s="42">
        <f>C37+C46</f>
        <v>0</v>
      </c>
      <c r="D47" s="42">
        <f>D37+D46</f>
        <v>0</v>
      </c>
      <c r="E47" s="42">
        <f>E37+E46</f>
        <v>0</v>
      </c>
    </row>
    <row r="48" spans="2:5" x14ac:dyDescent="0.25">
      <c r="B48" s="27" t="s">
        <v>25</v>
      </c>
      <c r="C48" s="32"/>
      <c r="D48" s="32"/>
      <c r="E48" s="32"/>
    </row>
    <row r="49" spans="2:5" x14ac:dyDescent="0.25">
      <c r="B49" s="37"/>
      <c r="C49" s="34"/>
      <c r="D49" s="34"/>
      <c r="E49" s="34"/>
    </row>
    <row r="50" spans="2:5" x14ac:dyDescent="0.25">
      <c r="B50" s="37"/>
      <c r="C50" s="34"/>
      <c r="D50" s="34"/>
      <c r="E50" s="34"/>
    </row>
    <row r="51" spans="2:5" x14ac:dyDescent="0.25">
      <c r="B51" s="37"/>
      <c r="C51" s="34"/>
      <c r="D51" s="34"/>
      <c r="E51" s="34"/>
    </row>
    <row r="52" spans="2:5" x14ac:dyDescent="0.25">
      <c r="B52" s="37"/>
      <c r="C52" s="34"/>
      <c r="D52" s="34"/>
      <c r="E52" s="34"/>
    </row>
    <row r="53" spans="2:5" x14ac:dyDescent="0.25">
      <c r="B53" s="37"/>
      <c r="C53" s="34"/>
      <c r="D53" s="34"/>
      <c r="E53" s="34"/>
    </row>
    <row r="54" spans="2:5" x14ac:dyDescent="0.25">
      <c r="B54" s="37"/>
      <c r="C54" s="34"/>
      <c r="D54" s="34"/>
      <c r="E54" s="34"/>
    </row>
    <row r="55" spans="2:5" x14ac:dyDescent="0.25">
      <c r="B55" s="37"/>
      <c r="C55" s="34"/>
      <c r="D55" s="34"/>
      <c r="E55" s="34"/>
    </row>
    <row r="56" spans="2:5" x14ac:dyDescent="0.25">
      <c r="B56" s="37"/>
      <c r="C56" s="34"/>
      <c r="D56" s="34"/>
      <c r="E56" s="34"/>
    </row>
    <row r="57" spans="2:5" x14ac:dyDescent="0.25">
      <c r="B57" s="35" t="s">
        <v>213</v>
      </c>
      <c r="C57" s="34"/>
      <c r="D57" s="30"/>
      <c r="E57" s="30"/>
    </row>
    <row r="58" spans="2:5" x14ac:dyDescent="0.25">
      <c r="B58" s="35" t="s">
        <v>622</v>
      </c>
      <c r="C58" s="45" t="str">
        <f>IF(C59*0.1&lt;C57,"Exceed 10% Rule","")</f>
        <v/>
      </c>
      <c r="D58" s="40" t="str">
        <f>IF(D59*0.1&lt;D57,"Exceed 10% Rule","")</f>
        <v/>
      </c>
      <c r="E58" s="40" t="str">
        <f>IF(E59*0.1&lt;E57,"Exceed 10% Rule","")</f>
        <v/>
      </c>
    </row>
    <row r="59" spans="2:5" x14ac:dyDescent="0.25">
      <c r="B59" s="43" t="s">
        <v>26</v>
      </c>
      <c r="C59" s="42">
        <f>SUM(C49:C57)</f>
        <v>0</v>
      </c>
      <c r="D59" s="42">
        <f>SUM(D49:D57)</f>
        <v>0</v>
      </c>
      <c r="E59" s="42">
        <f>SUM(E49:E57)</f>
        <v>0</v>
      </c>
    </row>
    <row r="60" spans="2:5" x14ac:dyDescent="0.25">
      <c r="B60" s="27" t="s">
        <v>119</v>
      </c>
      <c r="C60" s="46">
        <f>C47-C59</f>
        <v>0</v>
      </c>
      <c r="D60" s="46">
        <f>D47-D59</f>
        <v>0</v>
      </c>
      <c r="E60" s="46">
        <f>E47-E59</f>
        <v>0</v>
      </c>
    </row>
    <row r="61" spans="2:5" x14ac:dyDescent="0.25">
      <c r="B61" s="48" t="str">
        <f>CONCATENATE("",E1-2,"/",E1-1," Budget Authority Amount:")</f>
        <v>2011/2012 Budget Authority Amount:</v>
      </c>
      <c r="C61" s="132">
        <f>inputOth!B57</f>
        <v>0</v>
      </c>
      <c r="D61" s="132">
        <f>inputPrYr!D30</f>
        <v>0</v>
      </c>
      <c r="E61" s="397" t="str">
        <f>IF(E60&lt;0,"See Tab E","")</f>
        <v/>
      </c>
    </row>
    <row r="62" spans="2:5" x14ac:dyDescent="0.25">
      <c r="B62" s="48"/>
      <c r="C62" s="51" t="str">
        <f>IF(C59&gt;C61,"See Tab A","")</f>
        <v/>
      </c>
      <c r="D62" s="51" t="str">
        <f>IF(D59&gt;D61,"See Tab C","")</f>
        <v/>
      </c>
      <c r="E62" s="14"/>
    </row>
    <row r="63" spans="2:5" x14ac:dyDescent="0.25">
      <c r="B63" s="48"/>
      <c r="C63" s="51" t="str">
        <f>IF(C60&lt;0,"See Tab B","")</f>
        <v/>
      </c>
      <c r="D63" s="87" t="str">
        <f>IF(D60&lt;0,"See Tab D","")</f>
        <v/>
      </c>
      <c r="E63" s="14"/>
    </row>
    <row r="64" spans="2:5" x14ac:dyDescent="0.25">
      <c r="B64" s="14"/>
      <c r="C64" s="14"/>
      <c r="D64" s="14"/>
      <c r="E64" s="14"/>
    </row>
    <row r="65" spans="2:5" x14ac:dyDescent="0.25">
      <c r="B65" s="52" t="s">
        <v>9</v>
      </c>
      <c r="C65" s="65"/>
      <c r="D65" s="14"/>
      <c r="E65" s="14"/>
    </row>
  </sheetData>
  <sheetProtection sheet="1"/>
  <phoneticPr fontId="11" type="noConversion"/>
  <conditionalFormatting sqref="C57">
    <cfRule type="cellIs" dxfId="18" priority="3" stopIfTrue="1" operator="greaterThan">
      <formula>$C$59*0.1</formula>
    </cfRule>
  </conditionalFormatting>
  <conditionalFormatting sqref="D57">
    <cfRule type="cellIs" dxfId="17" priority="4" stopIfTrue="1" operator="greaterThan">
      <formula>$D$59*0.1</formula>
    </cfRule>
  </conditionalFormatting>
  <conditionalFormatting sqref="E57">
    <cfRule type="cellIs" dxfId="16" priority="5" stopIfTrue="1" operator="greaterThan">
      <formula>$E$59*0.1</formula>
    </cfRule>
  </conditionalFormatting>
  <conditionalFormatting sqref="C44">
    <cfRule type="cellIs" dxfId="15" priority="6" stopIfTrue="1" operator="greaterThan">
      <formula>$C$46*0.1</formula>
    </cfRule>
  </conditionalFormatting>
  <conditionalFormatting sqref="D44">
    <cfRule type="cellIs" dxfId="14" priority="7" stopIfTrue="1" operator="greaterThan">
      <formula>$D$46*0.1</formula>
    </cfRule>
  </conditionalFormatting>
  <conditionalFormatting sqref="E44">
    <cfRule type="cellIs" dxfId="13" priority="8" stopIfTrue="1" operator="greaterThan">
      <formula>$E$46*0.1</formula>
    </cfRule>
  </conditionalFormatting>
  <conditionalFormatting sqref="C26">
    <cfRule type="cellIs" dxfId="12" priority="9" stopIfTrue="1" operator="greaterThan">
      <formula>$C$28*0.1</formula>
    </cfRule>
  </conditionalFormatting>
  <conditionalFormatting sqref="D26">
    <cfRule type="cellIs" dxfId="11" priority="10" stopIfTrue="1" operator="greaterThan">
      <formula>$D$28*0.1</formula>
    </cfRule>
  </conditionalFormatting>
  <conditionalFormatting sqref="E26">
    <cfRule type="cellIs" dxfId="10" priority="11" stopIfTrue="1" operator="greaterThan">
      <formula>$E$28*0.1</formula>
    </cfRule>
  </conditionalFormatting>
  <conditionalFormatting sqref="C13">
    <cfRule type="cellIs" dxfId="9" priority="12" stopIfTrue="1" operator="greaterThan">
      <formula>$C$15*0.1</formula>
    </cfRule>
  </conditionalFormatting>
  <conditionalFormatting sqref="D13">
    <cfRule type="cellIs" dxfId="8" priority="13" stopIfTrue="1" operator="greaterThan">
      <formula>$D$15*0.1</formula>
    </cfRule>
  </conditionalFormatting>
  <conditionalFormatting sqref="E13">
    <cfRule type="cellIs" dxfId="7" priority="14" stopIfTrue="1" operator="greaterThan">
      <formula>$E$15*0.1</formula>
    </cfRule>
  </conditionalFormatting>
  <conditionalFormatting sqref="C59">
    <cfRule type="cellIs" dxfId="6" priority="15" stopIfTrue="1" operator="greaterThan">
      <formula>$C$61</formula>
    </cfRule>
  </conditionalFormatting>
  <conditionalFormatting sqref="C60 E60 E29 C29">
    <cfRule type="cellIs" dxfId="5" priority="16" stopIfTrue="1" operator="lessThan">
      <formula>0</formula>
    </cfRule>
  </conditionalFormatting>
  <conditionalFormatting sqref="C28">
    <cfRule type="cellIs" dxfId="4" priority="17" stopIfTrue="1" operator="greaterThan">
      <formula>$C$30</formula>
    </cfRule>
  </conditionalFormatting>
  <conditionalFormatting sqref="D28">
    <cfRule type="cellIs" dxfId="3" priority="18" stopIfTrue="1" operator="greaterThan">
      <formula>$D$30</formula>
    </cfRule>
  </conditionalFormatting>
  <conditionalFormatting sqref="D59">
    <cfRule type="cellIs" dxfId="2" priority="19" stopIfTrue="1" operator="greaterThan">
      <formula>$D$61</formula>
    </cfRule>
  </conditionalFormatting>
  <conditionalFormatting sqref="D29">
    <cfRule type="cellIs" dxfId="1" priority="2" stopIfTrue="1" operator="lessThan">
      <formula>0</formula>
    </cfRule>
  </conditionalFormatting>
  <conditionalFormatting sqref="D60">
    <cfRule type="cellIs" dxfId="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election activeCell="F23" sqref="F23:H23"/>
    </sheetView>
  </sheetViews>
  <sheetFormatPr defaultRowHeight="15.75" x14ac:dyDescent="0.25"/>
  <cols>
    <col min="1" max="1" width="10.3984375" style="80" customWidth="1"/>
    <col min="2" max="2" width="6.69921875" style="80" customWidth="1"/>
    <col min="3" max="3" width="10.3984375" style="80" customWidth="1"/>
    <col min="4" max="4" width="6.69921875" style="80" customWidth="1"/>
    <col min="5" max="5" width="10.3984375" style="80" customWidth="1"/>
    <col min="6" max="6" width="6.69921875" style="80" customWidth="1"/>
    <col min="7" max="7" width="10.3984375" style="80" customWidth="1"/>
    <col min="8" max="8" width="6.69921875" style="80" customWidth="1"/>
    <col min="9" max="9" width="10.3984375" style="80" customWidth="1"/>
    <col min="10" max="16384" width="8.796875" style="80"/>
  </cols>
  <sheetData>
    <row r="1" spans="1:11" x14ac:dyDescent="0.25">
      <c r="A1" s="88" t="str">
        <f>inputPrYr!$D$2</f>
        <v>Delhi Township</v>
      </c>
      <c r="B1" s="89"/>
      <c r="C1" s="90"/>
      <c r="D1" s="90"/>
      <c r="E1" s="90"/>
      <c r="F1" s="91" t="s">
        <v>326</v>
      </c>
      <c r="G1" s="90"/>
      <c r="H1" s="90"/>
      <c r="I1" s="90"/>
      <c r="J1" s="90"/>
      <c r="K1" s="90">
        <f>inputPrYr!$D$5</f>
        <v>2013</v>
      </c>
    </row>
    <row r="2" spans="1:11" x14ac:dyDescent="0.25">
      <c r="A2" s="90"/>
      <c r="B2" s="90"/>
      <c r="C2" s="90"/>
      <c r="D2" s="90"/>
      <c r="E2" s="90"/>
      <c r="F2" s="92" t="str">
        <f>CONCATENATE("(Only the actual budget year for ",K1-2," is to be shown)")</f>
        <v>(Only the actual budget year for 2011 is to be shown)</v>
      </c>
      <c r="G2" s="90"/>
      <c r="H2" s="90"/>
      <c r="I2" s="90"/>
      <c r="J2" s="90"/>
      <c r="K2" s="90"/>
    </row>
    <row r="3" spans="1:11" x14ac:dyDescent="0.25">
      <c r="A3" s="90" t="s">
        <v>327</v>
      </c>
      <c r="B3" s="90"/>
      <c r="C3" s="90"/>
      <c r="D3" s="90"/>
      <c r="E3" s="90"/>
      <c r="F3" s="89"/>
      <c r="G3" s="90"/>
      <c r="H3" s="90"/>
      <c r="I3" s="90"/>
      <c r="J3" s="90"/>
      <c r="K3" s="90"/>
    </row>
    <row r="4" spans="1:11" x14ac:dyDescent="0.25">
      <c r="A4" s="90" t="s">
        <v>328</v>
      </c>
      <c r="B4" s="90"/>
      <c r="C4" s="90" t="s">
        <v>329</v>
      </c>
      <c r="D4" s="90"/>
      <c r="E4" s="90" t="s">
        <v>330</v>
      </c>
      <c r="F4" s="89"/>
      <c r="G4" s="90" t="s">
        <v>331</v>
      </c>
      <c r="H4" s="90"/>
      <c r="I4" s="90" t="s">
        <v>332</v>
      </c>
      <c r="J4" s="90"/>
      <c r="K4" s="90"/>
    </row>
    <row r="5" spans="1:11" x14ac:dyDescent="0.25">
      <c r="A5" s="829">
        <f>inputPrYr!B34</f>
        <v>0</v>
      </c>
      <c r="B5" s="830"/>
      <c r="C5" s="829">
        <f>inputPrYr!B35</f>
        <v>0</v>
      </c>
      <c r="D5" s="830"/>
      <c r="E5" s="829">
        <f>inputPrYr!B36</f>
        <v>0</v>
      </c>
      <c r="F5" s="830"/>
      <c r="G5" s="831">
        <f>inputPrYr!B37</f>
        <v>0</v>
      </c>
      <c r="H5" s="830"/>
      <c r="I5" s="831">
        <f>inputPrYr!B38</f>
        <v>0</v>
      </c>
      <c r="J5" s="830"/>
      <c r="K5" s="94"/>
    </row>
    <row r="6" spans="1:11" x14ac:dyDescent="0.25">
      <c r="A6" s="95" t="s">
        <v>333</v>
      </c>
      <c r="B6" s="96"/>
      <c r="C6" s="97" t="s">
        <v>333</v>
      </c>
      <c r="D6" s="98"/>
      <c r="E6" s="97" t="s">
        <v>333</v>
      </c>
      <c r="F6" s="99"/>
      <c r="G6" s="97" t="s">
        <v>333</v>
      </c>
      <c r="H6" s="93"/>
      <c r="I6" s="97" t="s">
        <v>333</v>
      </c>
      <c r="J6" s="90"/>
      <c r="K6" s="100" t="s">
        <v>276</v>
      </c>
    </row>
    <row r="7" spans="1:11" x14ac:dyDescent="0.25">
      <c r="A7" s="101" t="s">
        <v>334</v>
      </c>
      <c r="B7" s="102"/>
      <c r="C7" s="103" t="s">
        <v>334</v>
      </c>
      <c r="D7" s="102"/>
      <c r="E7" s="103" t="s">
        <v>334</v>
      </c>
      <c r="F7" s="102"/>
      <c r="G7" s="103" t="s">
        <v>334</v>
      </c>
      <c r="H7" s="102"/>
      <c r="I7" s="103" t="s">
        <v>334</v>
      </c>
      <c r="J7" s="102"/>
      <c r="K7" s="104">
        <f>SUM(B7+D7+F7+H7+J7)</f>
        <v>0</v>
      </c>
    </row>
    <row r="8" spans="1:11" x14ac:dyDescent="0.25">
      <c r="A8" s="105" t="s">
        <v>120</v>
      </c>
      <c r="B8" s="106"/>
      <c r="C8" s="105" t="s">
        <v>120</v>
      </c>
      <c r="D8" s="107"/>
      <c r="E8" s="105" t="s">
        <v>120</v>
      </c>
      <c r="F8" s="89"/>
      <c r="G8" s="105" t="s">
        <v>120</v>
      </c>
      <c r="H8" s="90"/>
      <c r="I8" s="105" t="s">
        <v>120</v>
      </c>
      <c r="J8" s="90"/>
      <c r="K8" s="89"/>
    </row>
    <row r="9" spans="1:11" x14ac:dyDescent="0.25">
      <c r="A9" s="108"/>
      <c r="B9" s="102"/>
      <c r="C9" s="108"/>
      <c r="D9" s="102"/>
      <c r="E9" s="108"/>
      <c r="F9" s="102"/>
      <c r="G9" s="108"/>
      <c r="H9" s="102"/>
      <c r="I9" s="108"/>
      <c r="J9" s="102"/>
      <c r="K9" s="89"/>
    </row>
    <row r="10" spans="1:11" x14ac:dyDescent="0.25">
      <c r="A10" s="108"/>
      <c r="B10" s="102"/>
      <c r="C10" s="108"/>
      <c r="D10" s="102"/>
      <c r="E10" s="108"/>
      <c r="F10" s="102"/>
      <c r="G10" s="108"/>
      <c r="H10" s="102"/>
      <c r="I10" s="108"/>
      <c r="J10" s="102"/>
      <c r="K10" s="89"/>
    </row>
    <row r="11" spans="1:11" x14ac:dyDescent="0.25">
      <c r="A11" s="108"/>
      <c r="B11" s="102"/>
      <c r="C11" s="109"/>
      <c r="D11" s="110"/>
      <c r="E11" s="109"/>
      <c r="F11" s="102"/>
      <c r="G11" s="109"/>
      <c r="H11" s="102"/>
      <c r="I11" s="111"/>
      <c r="J11" s="102"/>
      <c r="K11" s="89"/>
    </row>
    <row r="12" spans="1:11" x14ac:dyDescent="0.25">
      <c r="A12" s="108"/>
      <c r="B12" s="112"/>
      <c r="C12" s="108"/>
      <c r="D12" s="113"/>
      <c r="E12" s="114"/>
      <c r="F12" s="102"/>
      <c r="G12" s="114"/>
      <c r="H12" s="102"/>
      <c r="I12" s="114"/>
      <c r="J12" s="102"/>
      <c r="K12" s="89"/>
    </row>
    <row r="13" spans="1:11" x14ac:dyDescent="0.25">
      <c r="A13" s="115"/>
      <c r="B13" s="116"/>
      <c r="C13" s="117"/>
      <c r="D13" s="113"/>
      <c r="E13" s="117"/>
      <c r="F13" s="102"/>
      <c r="G13" s="117"/>
      <c r="H13" s="102"/>
      <c r="I13" s="111"/>
      <c r="J13" s="102"/>
      <c r="K13" s="89"/>
    </row>
    <row r="14" spans="1:11" x14ac:dyDescent="0.25">
      <c r="A14" s="108"/>
      <c r="B14" s="102"/>
      <c r="C14" s="114"/>
      <c r="D14" s="113"/>
      <c r="E14" s="114"/>
      <c r="F14" s="102"/>
      <c r="G14" s="114"/>
      <c r="H14" s="102"/>
      <c r="I14" s="114"/>
      <c r="J14" s="102"/>
      <c r="K14" s="89"/>
    </row>
    <row r="15" spans="1:11" x14ac:dyDescent="0.25">
      <c r="A15" s="108"/>
      <c r="B15" s="102"/>
      <c r="C15" s="114"/>
      <c r="D15" s="113"/>
      <c r="E15" s="114"/>
      <c r="F15" s="102"/>
      <c r="G15" s="114"/>
      <c r="H15" s="102"/>
      <c r="I15" s="114"/>
      <c r="J15" s="102"/>
      <c r="K15" s="89"/>
    </row>
    <row r="16" spans="1:11" x14ac:dyDescent="0.25">
      <c r="A16" s="108"/>
      <c r="B16" s="116"/>
      <c r="C16" s="108"/>
      <c r="D16" s="113"/>
      <c r="E16" s="108"/>
      <c r="F16" s="102"/>
      <c r="G16" s="114"/>
      <c r="H16" s="102"/>
      <c r="I16" s="108"/>
      <c r="J16" s="102"/>
      <c r="K16" s="89"/>
    </row>
    <row r="17" spans="1:12" x14ac:dyDescent="0.25">
      <c r="A17" s="105" t="s">
        <v>23</v>
      </c>
      <c r="B17" s="104">
        <f>SUM(B9:B16)</f>
        <v>0</v>
      </c>
      <c r="C17" s="105" t="s">
        <v>23</v>
      </c>
      <c r="D17" s="104">
        <f>SUM(D9:D16)</f>
        <v>0</v>
      </c>
      <c r="E17" s="105" t="s">
        <v>23</v>
      </c>
      <c r="F17" s="118">
        <f>SUM(F9:F16)</f>
        <v>0</v>
      </c>
      <c r="G17" s="105" t="s">
        <v>23</v>
      </c>
      <c r="H17" s="104">
        <f>SUM(H9:H16)</f>
        <v>0</v>
      </c>
      <c r="I17" s="105" t="s">
        <v>23</v>
      </c>
      <c r="J17" s="104">
        <f>SUM(J9:J16)</f>
        <v>0</v>
      </c>
      <c r="K17" s="104">
        <f>SUM(B17+D17+F17+H17+J17)</f>
        <v>0</v>
      </c>
    </row>
    <row r="18" spans="1:12" x14ac:dyDescent="0.25">
      <c r="A18" s="105" t="s">
        <v>24</v>
      </c>
      <c r="B18" s="104">
        <f>SUM(B7+B17)</f>
        <v>0</v>
      </c>
      <c r="C18" s="105" t="s">
        <v>24</v>
      </c>
      <c r="D18" s="104">
        <f>SUM(D7+D17)</f>
        <v>0</v>
      </c>
      <c r="E18" s="105" t="s">
        <v>24</v>
      </c>
      <c r="F18" s="104">
        <f>SUM(F7+F17)</f>
        <v>0</v>
      </c>
      <c r="G18" s="105" t="s">
        <v>24</v>
      </c>
      <c r="H18" s="104">
        <f>SUM(H7+H17)</f>
        <v>0</v>
      </c>
      <c r="I18" s="105" t="s">
        <v>24</v>
      </c>
      <c r="J18" s="104">
        <f>SUM(J7+J17)</f>
        <v>0</v>
      </c>
      <c r="K18" s="104">
        <f>SUM(B18+D18+F18+H18+J18)</f>
        <v>0</v>
      </c>
    </row>
    <row r="19" spans="1:12" x14ac:dyDescent="0.25">
      <c r="A19" s="105" t="s">
        <v>25</v>
      </c>
      <c r="B19" s="106"/>
      <c r="C19" s="105" t="s">
        <v>25</v>
      </c>
      <c r="D19" s="107"/>
      <c r="E19" s="105" t="s">
        <v>25</v>
      </c>
      <c r="F19" s="89"/>
      <c r="G19" s="105" t="s">
        <v>25</v>
      </c>
      <c r="H19" s="90"/>
      <c r="I19" s="105" t="s">
        <v>25</v>
      </c>
      <c r="J19" s="90"/>
      <c r="K19" s="89"/>
    </row>
    <row r="20" spans="1:12" x14ac:dyDescent="0.25">
      <c r="A20" s="108"/>
      <c r="B20" s="102"/>
      <c r="C20" s="114"/>
      <c r="D20" s="102"/>
      <c r="E20" s="114"/>
      <c r="F20" s="102"/>
      <c r="G20" s="114"/>
      <c r="H20" s="102"/>
      <c r="I20" s="114"/>
      <c r="J20" s="102"/>
      <c r="K20" s="89"/>
    </row>
    <row r="21" spans="1:12" x14ac:dyDescent="0.25">
      <c r="A21" s="108"/>
      <c r="B21" s="102"/>
      <c r="C21" s="114"/>
      <c r="D21" s="102"/>
      <c r="E21" s="114"/>
      <c r="F21" s="102"/>
      <c r="G21" s="114"/>
      <c r="H21" s="102"/>
      <c r="I21" s="114"/>
      <c r="J21" s="102"/>
      <c r="K21" s="89"/>
    </row>
    <row r="22" spans="1:12" x14ac:dyDescent="0.25">
      <c r="A22" s="108"/>
      <c r="B22" s="102"/>
      <c r="C22" s="117"/>
      <c r="D22" s="102"/>
      <c r="E22" s="117"/>
      <c r="F22" s="102"/>
      <c r="G22" s="117"/>
      <c r="H22" s="102"/>
      <c r="I22" s="111"/>
      <c r="J22" s="102"/>
      <c r="K22" s="89"/>
    </row>
    <row r="23" spans="1:12" x14ac:dyDescent="0.25">
      <c r="A23" s="108"/>
      <c r="B23" s="102"/>
      <c r="C23" s="114"/>
      <c r="D23" s="102"/>
      <c r="E23" s="114"/>
      <c r="F23" s="102"/>
      <c r="G23" s="114"/>
      <c r="H23" s="102"/>
      <c r="I23" s="114"/>
      <c r="J23" s="102"/>
      <c r="K23" s="89"/>
    </row>
    <row r="24" spans="1:12" x14ac:dyDescent="0.25">
      <c r="A24" s="108"/>
      <c r="B24" s="102"/>
      <c r="C24" s="117"/>
      <c r="D24" s="102"/>
      <c r="E24" s="117"/>
      <c r="F24" s="102"/>
      <c r="G24" s="117"/>
      <c r="H24" s="102"/>
      <c r="I24" s="111"/>
      <c r="J24" s="102"/>
      <c r="K24" s="89"/>
    </row>
    <row r="25" spans="1:12" x14ac:dyDescent="0.25">
      <c r="A25" s="108"/>
      <c r="B25" s="102"/>
      <c r="C25" s="114"/>
      <c r="D25" s="102"/>
      <c r="E25" s="114"/>
      <c r="F25" s="102"/>
      <c r="G25" s="114"/>
      <c r="H25" s="102"/>
      <c r="I25" s="114"/>
      <c r="J25" s="102"/>
      <c r="K25" s="89"/>
    </row>
    <row r="26" spans="1:12" x14ac:dyDescent="0.25">
      <c r="A26" s="108"/>
      <c r="B26" s="102"/>
      <c r="C26" s="114"/>
      <c r="D26" s="102"/>
      <c r="E26" s="114"/>
      <c r="F26" s="102"/>
      <c r="G26" s="114"/>
      <c r="H26" s="102"/>
      <c r="I26" s="114"/>
      <c r="J26" s="102"/>
      <c r="K26" s="89"/>
    </row>
    <row r="27" spans="1:12" x14ac:dyDescent="0.25">
      <c r="A27" s="108"/>
      <c r="B27" s="102"/>
      <c r="C27" s="108"/>
      <c r="D27" s="102"/>
      <c r="E27" s="108"/>
      <c r="F27" s="102"/>
      <c r="G27" s="114"/>
      <c r="H27" s="102"/>
      <c r="I27" s="114"/>
      <c r="J27" s="102"/>
      <c r="K27" s="89"/>
    </row>
    <row r="28" spans="1:12" x14ac:dyDescent="0.25">
      <c r="A28" s="105" t="s">
        <v>26</v>
      </c>
      <c r="B28" s="104">
        <f>SUM(B20:B27)</f>
        <v>0</v>
      </c>
      <c r="C28" s="105" t="s">
        <v>26</v>
      </c>
      <c r="D28" s="104">
        <f>SUM(D20:D27)</f>
        <v>0</v>
      </c>
      <c r="E28" s="105" t="s">
        <v>26</v>
      </c>
      <c r="F28" s="118">
        <f>SUM(F20:F27)</f>
        <v>0</v>
      </c>
      <c r="G28" s="105" t="s">
        <v>26</v>
      </c>
      <c r="H28" s="118">
        <f>SUM(H20:H27)</f>
        <v>0</v>
      </c>
      <c r="I28" s="105" t="s">
        <v>26</v>
      </c>
      <c r="J28" s="104">
        <f>SUM(J20:J27)</f>
        <v>0</v>
      </c>
      <c r="K28" s="104">
        <f>SUM(B28+D28+F28+H28+J28)</f>
        <v>0</v>
      </c>
    </row>
    <row r="29" spans="1:12" x14ac:dyDescent="0.25">
      <c r="A29" s="105" t="s">
        <v>335</v>
      </c>
      <c r="B29" s="104">
        <f>SUM(B18-B28)</f>
        <v>0</v>
      </c>
      <c r="C29" s="105" t="s">
        <v>335</v>
      </c>
      <c r="D29" s="104">
        <f>SUM(D18-D28)</f>
        <v>0</v>
      </c>
      <c r="E29" s="105" t="s">
        <v>335</v>
      </c>
      <c r="F29" s="104">
        <f>SUM(F18-F28)</f>
        <v>0</v>
      </c>
      <c r="G29" s="105" t="s">
        <v>335</v>
      </c>
      <c r="H29" s="104">
        <f>SUM(H18-H28)</f>
        <v>0</v>
      </c>
      <c r="I29" s="105" t="s">
        <v>335</v>
      </c>
      <c r="J29" s="104">
        <f>SUM(J18-J28)</f>
        <v>0</v>
      </c>
      <c r="K29" s="119">
        <f>SUM(B29+D29+F29+H29+J29)</f>
        <v>0</v>
      </c>
      <c r="L29" s="80" t="s">
        <v>336</v>
      </c>
    </row>
    <row r="30" spans="1:12" x14ac:dyDescent="0.25">
      <c r="A30" s="105"/>
      <c r="B30" s="124" t="str">
        <f>IF(B29&lt;0,"See Tab B","")</f>
        <v/>
      </c>
      <c r="C30" s="105"/>
      <c r="D30" s="124" t="str">
        <f>IF(D29&lt;0,"See Tab B","")</f>
        <v/>
      </c>
      <c r="E30" s="105"/>
      <c r="F30" s="124" t="str">
        <f>IF(F29&lt;0,"See Tab B","")</f>
        <v/>
      </c>
      <c r="G30" s="90"/>
      <c r="H30" s="124" t="str">
        <f>IF(H29&lt;0,"See Tab B","")</f>
        <v/>
      </c>
      <c r="I30" s="90"/>
      <c r="J30" s="124" t="str">
        <f>IF(J29&lt;0,"See Tab B","")</f>
        <v/>
      </c>
      <c r="K30" s="119">
        <f>SUM(K7+K17-K28)</f>
        <v>0</v>
      </c>
      <c r="L30" s="80" t="s">
        <v>336</v>
      </c>
    </row>
    <row r="31" spans="1:12" x14ac:dyDescent="0.25">
      <c r="A31" s="90"/>
      <c r="B31" s="120"/>
      <c r="C31" s="90"/>
      <c r="D31" s="89"/>
      <c r="E31" s="90"/>
      <c r="F31" s="90"/>
      <c r="G31" s="121" t="s">
        <v>337</v>
      </c>
      <c r="H31" s="121"/>
      <c r="I31" s="121"/>
      <c r="J31" s="121"/>
      <c r="K31" s="90"/>
    </row>
    <row r="32" spans="1:12" x14ac:dyDescent="0.25">
      <c r="A32" s="90"/>
      <c r="B32" s="120"/>
      <c r="C32" s="90"/>
      <c r="D32" s="90"/>
      <c r="E32" s="90"/>
      <c r="F32" s="90"/>
      <c r="G32" s="90"/>
      <c r="H32" s="90"/>
      <c r="I32" s="90"/>
      <c r="J32" s="90"/>
      <c r="K32" s="90"/>
    </row>
    <row r="33" spans="1:11" x14ac:dyDescent="0.25">
      <c r="A33" s="90"/>
      <c r="B33" s="120"/>
      <c r="C33" s="90"/>
      <c r="D33" s="90"/>
      <c r="E33" s="122" t="s">
        <v>9</v>
      </c>
      <c r="F33" s="65"/>
      <c r="G33" s="90"/>
      <c r="H33" s="90"/>
      <c r="I33" s="90"/>
      <c r="J33" s="90"/>
      <c r="K33" s="90"/>
    </row>
    <row r="34" spans="1:11" x14ac:dyDescent="0.25">
      <c r="B34" s="123"/>
    </row>
    <row r="35" spans="1:11" x14ac:dyDescent="0.25">
      <c r="B35" s="123"/>
    </row>
    <row r="36" spans="1:11" x14ac:dyDescent="0.25">
      <c r="B36" s="123"/>
    </row>
    <row r="37" spans="1:11" x14ac:dyDescent="0.25">
      <c r="B37" s="123"/>
    </row>
    <row r="38" spans="1:11" x14ac:dyDescent="0.25">
      <c r="B38" s="123"/>
    </row>
    <row r="39" spans="1:11" x14ac:dyDescent="0.25">
      <c r="B39" s="123"/>
    </row>
    <row r="40" spans="1:11" x14ac:dyDescent="0.25">
      <c r="B40" s="123"/>
    </row>
    <row r="41" spans="1:11" x14ac:dyDescent="0.25">
      <c r="B41" s="123"/>
    </row>
  </sheetData>
  <sheetProtection sheet="1"/>
  <mergeCells count="5">
    <mergeCell ref="A5:B5"/>
    <mergeCell ref="C5:D5"/>
    <mergeCell ref="E5:F5"/>
    <mergeCell ref="G5:H5"/>
    <mergeCell ref="I5:J5"/>
  </mergeCells>
  <pageMargins left="0.7" right="0.7" top="0.75" bottom="0.75" header="0.3" footer="0.3"/>
  <pageSetup scale="67"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topLeftCell="A10" workbookViewId="0">
      <selection activeCell="E21" sqref="E21"/>
    </sheetView>
  </sheetViews>
  <sheetFormatPr defaultRowHeight="15.75" x14ac:dyDescent="0.25"/>
  <cols>
    <col min="1" max="1" width="10.69921875" style="16" customWidth="1"/>
    <col min="2" max="2" width="20.69921875" style="16" customWidth="1"/>
    <col min="3" max="3" width="11.69921875" style="16" customWidth="1"/>
    <col min="4" max="4" width="15" style="16" customWidth="1"/>
    <col min="5" max="5" width="14.09765625" style="16" customWidth="1"/>
    <col min="6" max="6" width="1.69921875" style="16" customWidth="1"/>
    <col min="7" max="7" width="18.59765625" style="16" customWidth="1"/>
    <col min="8" max="16384" width="8.796875" style="16"/>
  </cols>
  <sheetData>
    <row r="1" spans="1:8" x14ac:dyDescent="0.25">
      <c r="A1" s="305" t="s">
        <v>270</v>
      </c>
      <c r="B1" s="14"/>
      <c r="C1" s="14"/>
      <c r="D1" s="14"/>
      <c r="E1" s="14"/>
    </row>
    <row r="2" spans="1:8" x14ac:dyDescent="0.25">
      <c r="A2" s="68" t="s">
        <v>227</v>
      </c>
      <c r="B2" s="14"/>
      <c r="C2" s="14"/>
      <c r="D2" s="380" t="s">
        <v>932</v>
      </c>
      <c r="E2" s="19"/>
    </row>
    <row r="3" spans="1:8" x14ac:dyDescent="0.25">
      <c r="A3" s="68" t="s">
        <v>226</v>
      </c>
      <c r="B3" s="14"/>
      <c r="C3" s="14"/>
      <c r="D3" s="381" t="s">
        <v>933</v>
      </c>
      <c r="E3" s="19"/>
    </row>
    <row r="4" spans="1:8" x14ac:dyDescent="0.25">
      <c r="A4" s="14"/>
      <c r="B4" s="14"/>
      <c r="C4" s="14"/>
      <c r="D4" s="14"/>
      <c r="E4" s="14"/>
    </row>
    <row r="5" spans="1:8" x14ac:dyDescent="0.25">
      <c r="A5" s="17" t="s">
        <v>146</v>
      </c>
      <c r="B5" s="14"/>
      <c r="C5" s="14"/>
      <c r="D5" s="306">
        <v>2013</v>
      </c>
      <c r="E5" s="14"/>
    </row>
    <row r="6" spans="1:8" x14ac:dyDescent="0.25">
      <c r="A6" s="14"/>
      <c r="B6" s="14"/>
      <c r="C6" s="14"/>
      <c r="D6" s="14"/>
      <c r="E6" s="14"/>
    </row>
    <row r="7" spans="1:8" x14ac:dyDescent="0.25">
      <c r="A7" s="144" t="s">
        <v>148</v>
      </c>
      <c r="B7" s="148"/>
      <c r="C7" s="148"/>
      <c r="D7" s="148"/>
      <c r="E7" s="148"/>
      <c r="F7" s="14"/>
      <c r="G7" s="756" t="s">
        <v>758</v>
      </c>
      <c r="H7" s="757"/>
    </row>
    <row r="8" spans="1:8" x14ac:dyDescent="0.25">
      <c r="A8" s="144" t="s">
        <v>201</v>
      </c>
      <c r="B8" s="148"/>
      <c r="C8" s="148"/>
      <c r="D8" s="148"/>
      <c r="E8" s="148"/>
      <c r="F8" s="14"/>
      <c r="G8" s="758"/>
      <c r="H8" s="757"/>
    </row>
    <row r="9" spans="1:8" x14ac:dyDescent="0.25">
      <c r="A9" s="14"/>
      <c r="B9" s="14"/>
      <c r="C9" s="14"/>
      <c r="D9" s="14"/>
      <c r="E9" s="14"/>
      <c r="F9" s="14"/>
      <c r="G9" s="758"/>
      <c r="H9" s="757"/>
    </row>
    <row r="10" spans="1:8" x14ac:dyDescent="0.25">
      <c r="A10" s="754" t="s">
        <v>158</v>
      </c>
      <c r="B10" s="755"/>
      <c r="C10" s="755"/>
      <c r="D10" s="755"/>
      <c r="E10" s="755"/>
      <c r="F10" s="14"/>
      <c r="G10" s="758"/>
      <c r="H10" s="757"/>
    </row>
    <row r="11" spans="1:8" x14ac:dyDescent="0.25">
      <c r="A11" s="68"/>
      <c r="B11" s="14"/>
      <c r="C11" s="14"/>
      <c r="D11" s="14"/>
      <c r="E11" s="14"/>
      <c r="F11" s="14"/>
      <c r="G11" s="758"/>
      <c r="H11" s="757"/>
    </row>
    <row r="12" spans="1:8" x14ac:dyDescent="0.25">
      <c r="A12" s="307" t="s">
        <v>147</v>
      </c>
      <c r="B12" s="293"/>
      <c r="C12" s="14"/>
      <c r="D12" s="49"/>
      <c r="E12" s="308"/>
      <c r="F12" s="14"/>
      <c r="G12" s="758"/>
      <c r="H12" s="757"/>
    </row>
    <row r="13" spans="1:8" x14ac:dyDescent="0.25">
      <c r="A13" s="309" t="str">
        <f>CONCATENATE("the ",D5-1," Budget, Certificate Page:")</f>
        <v>the 2012 Budget, Certificate Page:</v>
      </c>
      <c r="B13" s="310"/>
      <c r="C13" s="49"/>
      <c r="D13" s="14"/>
      <c r="E13" s="14"/>
      <c r="F13" s="14"/>
      <c r="G13" s="19"/>
      <c r="H13" s="394"/>
    </row>
    <row r="14" spans="1:8" x14ac:dyDescent="0.25">
      <c r="A14" s="309" t="s">
        <v>316</v>
      </c>
      <c r="B14" s="310"/>
      <c r="C14" s="49"/>
      <c r="D14" s="311">
        <f>$D$5-1</f>
        <v>2012</v>
      </c>
      <c r="E14" s="312">
        <f>$D$5-2</f>
        <v>2011</v>
      </c>
      <c r="G14" s="171" t="s">
        <v>759</v>
      </c>
      <c r="H14" s="179" t="s">
        <v>29</v>
      </c>
    </row>
    <row r="15" spans="1:8" x14ac:dyDescent="0.25">
      <c r="A15" s="22" t="s">
        <v>272</v>
      </c>
      <c r="B15" s="14"/>
      <c r="C15" s="313" t="s">
        <v>271</v>
      </c>
      <c r="D15" s="314" t="s">
        <v>343</v>
      </c>
      <c r="E15" s="315" t="s">
        <v>16</v>
      </c>
      <c r="G15" s="177" t="str">
        <f>CONCATENATE("",E14," Ad Valorem Tax")</f>
        <v>2011 Ad Valorem Tax</v>
      </c>
      <c r="H15" s="741">
        <v>0</v>
      </c>
    </row>
    <row r="16" spans="1:8" x14ac:dyDescent="0.25">
      <c r="A16" s="14"/>
      <c r="B16" s="72" t="s">
        <v>273</v>
      </c>
      <c r="C16" s="161" t="s">
        <v>274</v>
      </c>
      <c r="D16" s="187">
        <v>2000</v>
      </c>
      <c r="E16" s="187">
        <v>1851</v>
      </c>
      <c r="G16" s="32">
        <f>IF(H15&gt;0,ROUND(E16-(E16*H15),0),0)</f>
        <v>0</v>
      </c>
    </row>
    <row r="17" spans="1:7" x14ac:dyDescent="0.25">
      <c r="A17" s="14"/>
      <c r="B17" s="72" t="s">
        <v>300</v>
      </c>
      <c r="C17" s="161" t="s">
        <v>153</v>
      </c>
      <c r="D17" s="187"/>
      <c r="E17" s="187"/>
      <c r="G17" s="32">
        <f>IF(H15&gt;0,ROUND(E17-(E17*H15),0),0)</f>
        <v>0</v>
      </c>
    </row>
    <row r="18" spans="1:7" x14ac:dyDescent="0.25">
      <c r="A18" s="14"/>
      <c r="B18" s="72" t="s">
        <v>829</v>
      </c>
      <c r="C18" s="691" t="s">
        <v>830</v>
      </c>
      <c r="D18" s="187"/>
      <c r="E18" s="187"/>
      <c r="G18" s="32">
        <f>IF(H15&gt;0,ROUND(E18-(E18*H15),0),0)</f>
        <v>0</v>
      </c>
    </row>
    <row r="19" spans="1:7" x14ac:dyDescent="0.25">
      <c r="A19" s="14"/>
      <c r="B19" s="72" t="s">
        <v>275</v>
      </c>
      <c r="C19" s="179" t="s">
        <v>315</v>
      </c>
      <c r="D19" s="187">
        <v>14806</v>
      </c>
      <c r="E19" s="187">
        <v>12288</v>
      </c>
      <c r="G19" s="32">
        <f>IF(H15&gt;0,ROUND(E19-(E19*H15),0),0)</f>
        <v>0</v>
      </c>
    </row>
    <row r="20" spans="1:7" x14ac:dyDescent="0.25">
      <c r="A20" s="14"/>
      <c r="B20" s="382" t="s">
        <v>934</v>
      </c>
      <c r="C20" s="383"/>
      <c r="D20" s="187">
        <v>1200</v>
      </c>
      <c r="E20" s="187">
        <v>979</v>
      </c>
      <c r="G20" s="32">
        <f>IF(H15&gt;0,ROUND(E20-(E20*H15),0),0)</f>
        <v>0</v>
      </c>
    </row>
    <row r="21" spans="1:7" x14ac:dyDescent="0.25">
      <c r="A21" s="14"/>
      <c r="B21" s="187"/>
      <c r="C21" s="395"/>
      <c r="D21" s="187"/>
      <c r="E21" s="187"/>
      <c r="G21" s="32">
        <f>IF(H15&gt;0,ROUND(E21-(E21*H15),0),0)</f>
        <v>0</v>
      </c>
    </row>
    <row r="22" spans="1:7" x14ac:dyDescent="0.25">
      <c r="A22" s="14"/>
      <c r="B22" s="76"/>
      <c r="C22" s="395"/>
      <c r="D22" s="187"/>
      <c r="E22" s="187"/>
      <c r="G22" s="32">
        <f>IF(H15&gt;0,ROUND(E22-(E22*H15),0),0)</f>
        <v>0</v>
      </c>
    </row>
    <row r="23" spans="1:7" x14ac:dyDescent="0.25">
      <c r="A23" s="14"/>
      <c r="B23" s="76"/>
      <c r="C23" s="395"/>
      <c r="D23" s="187"/>
      <c r="E23" s="187"/>
      <c r="G23" s="32">
        <f>IF(H15&gt;0,ROUND(E23-(E23*H15),0),0)</f>
        <v>0</v>
      </c>
    </row>
    <row r="24" spans="1:7" x14ac:dyDescent="0.25">
      <c r="A24" s="14"/>
      <c r="B24" s="76"/>
      <c r="C24" s="395"/>
      <c r="D24" s="187"/>
      <c r="E24" s="187"/>
      <c r="G24" s="32">
        <f>IF(H15&gt;0,ROUND(E24-(E24*H15),0),0)</f>
        <v>0</v>
      </c>
    </row>
    <row r="25" spans="1:7" x14ac:dyDescent="0.25">
      <c r="A25" s="14"/>
      <c r="B25" s="76"/>
      <c r="C25" s="395"/>
      <c r="D25" s="187"/>
      <c r="E25" s="187"/>
      <c r="G25" s="32">
        <f>IF(H15&gt;0,ROUND(E25-(E25*H15),0),0)</f>
        <v>0</v>
      </c>
    </row>
    <row r="26" spans="1:7" x14ac:dyDescent="0.25">
      <c r="A26" s="316" t="str">
        <f>CONCATENATE("Total Ad Valorem Tax for ",D5-1," Budgeted Year")</f>
        <v>Total Ad Valorem Tax for 2012 Budgeted Year</v>
      </c>
      <c r="B26" s="20"/>
      <c r="C26" s="267"/>
      <c r="D26" s="317"/>
      <c r="E26" s="318">
        <f>SUM(E16:E25)</f>
        <v>15118</v>
      </c>
    </row>
    <row r="27" spans="1:7" x14ac:dyDescent="0.25">
      <c r="A27" s="19"/>
      <c r="B27" s="19"/>
      <c r="C27" s="19"/>
      <c r="D27" s="24"/>
      <c r="E27" s="140"/>
    </row>
    <row r="28" spans="1:7" x14ac:dyDescent="0.25">
      <c r="A28" s="14" t="s">
        <v>142</v>
      </c>
      <c r="B28" s="14"/>
      <c r="C28" s="14"/>
      <c r="D28" s="14"/>
      <c r="E28" s="14"/>
    </row>
    <row r="29" spans="1:7" x14ac:dyDescent="0.25">
      <c r="A29" s="14"/>
      <c r="B29" s="224"/>
      <c r="C29" s="14"/>
      <c r="D29" s="36"/>
      <c r="E29" s="19"/>
    </row>
    <row r="30" spans="1:7" x14ac:dyDescent="0.25">
      <c r="A30" s="14"/>
      <c r="B30" s="224"/>
      <c r="C30" s="14"/>
      <c r="D30" s="36"/>
      <c r="E30" s="19"/>
    </row>
    <row r="31" spans="1:7" x14ac:dyDescent="0.25">
      <c r="A31" s="316" t="str">
        <f>CONCATENATE("Total Expenditures for ",D5-1,"")</f>
        <v>Total Expenditures for 2012</v>
      </c>
      <c r="B31" s="319"/>
      <c r="C31" s="259"/>
      <c r="D31" s="158">
        <f>SUM(D16:D25,D29:D30)</f>
        <v>18006</v>
      </c>
      <c r="E31" s="14"/>
    </row>
    <row r="32" spans="1:7" x14ac:dyDescent="0.25">
      <c r="A32" s="14"/>
      <c r="B32" s="14"/>
      <c r="C32" s="14"/>
      <c r="D32" s="14"/>
      <c r="E32" s="14"/>
    </row>
    <row r="33" spans="1:5" x14ac:dyDescent="0.25">
      <c r="A33" s="274" t="s">
        <v>338</v>
      </c>
      <c r="B33" s="19"/>
      <c r="C33" s="14"/>
      <c r="D33" s="14"/>
      <c r="E33" s="14"/>
    </row>
    <row r="34" spans="1:5" x14ac:dyDescent="0.25">
      <c r="A34" s="320">
        <v>1</v>
      </c>
      <c r="B34" s="224"/>
      <c r="C34" s="14"/>
      <c r="D34" s="14"/>
      <c r="E34" s="14"/>
    </row>
    <row r="35" spans="1:5" x14ac:dyDescent="0.25">
      <c r="A35" s="320">
        <v>2</v>
      </c>
      <c r="B35" s="224"/>
      <c r="C35" s="14"/>
      <c r="D35" s="14"/>
      <c r="E35" s="14"/>
    </row>
    <row r="36" spans="1:5" x14ac:dyDescent="0.25">
      <c r="A36" s="320">
        <v>3</v>
      </c>
      <c r="B36" s="224"/>
      <c r="C36" s="14"/>
      <c r="D36" s="14"/>
      <c r="E36" s="14"/>
    </row>
    <row r="37" spans="1:5" x14ac:dyDescent="0.25">
      <c r="A37" s="320">
        <v>4</v>
      </c>
      <c r="B37" s="224"/>
      <c r="C37" s="14"/>
      <c r="D37" s="14"/>
      <c r="E37" s="14"/>
    </row>
    <row r="38" spans="1:5" x14ac:dyDescent="0.25">
      <c r="A38" s="320">
        <v>5</v>
      </c>
      <c r="B38" s="224"/>
      <c r="C38" s="14"/>
      <c r="D38" s="14"/>
      <c r="E38" s="14"/>
    </row>
    <row r="39" spans="1:5" x14ac:dyDescent="0.25">
      <c r="A39" s="14"/>
      <c r="B39" s="14"/>
      <c r="C39" s="14"/>
      <c r="D39" s="14"/>
      <c r="E39" s="14"/>
    </row>
    <row r="40" spans="1:5" ht="15.75" customHeight="1" x14ac:dyDescent="0.25">
      <c r="A40" s="307" t="s">
        <v>147</v>
      </c>
      <c r="B40" s="293"/>
      <c r="C40" s="14"/>
      <c r="D40" s="752" t="str">
        <f>CONCATENATE("",D5-3," Tax Rate                    (",D5-2," Column)")</f>
        <v>2010 Tax Rate                    (2011 Column)</v>
      </c>
      <c r="E40" s="14"/>
    </row>
    <row r="41" spans="1:5" x14ac:dyDescent="0.25">
      <c r="A41" s="309" t="str">
        <f>CONCATENATE("the ",D5-1," Budget, Budget Summary Page:")</f>
        <v>the 2012 Budget, Budget Summary Page:</v>
      </c>
      <c r="B41" s="281"/>
      <c r="C41" s="14"/>
      <c r="D41" s="753"/>
      <c r="E41" s="14"/>
    </row>
    <row r="42" spans="1:5" x14ac:dyDescent="0.25">
      <c r="A42" s="14"/>
      <c r="B42" s="85" t="str">
        <f>B16</f>
        <v>General</v>
      </c>
      <c r="C42" s="14"/>
      <c r="D42" s="321">
        <v>0.50600000000000001</v>
      </c>
      <c r="E42" s="14"/>
    </row>
    <row r="43" spans="1:5" x14ac:dyDescent="0.25">
      <c r="A43" s="14"/>
      <c r="B43" s="85" t="str">
        <f>B17</f>
        <v>Debt Service</v>
      </c>
      <c r="C43" s="14"/>
      <c r="D43" s="322"/>
      <c r="E43" s="14"/>
    </row>
    <row r="44" spans="1:5" x14ac:dyDescent="0.25">
      <c r="A44" s="14"/>
      <c r="B44" s="85" t="str">
        <f>B18</f>
        <v>Library</v>
      </c>
      <c r="C44" s="14"/>
      <c r="D44" s="322"/>
      <c r="E44" s="14"/>
    </row>
    <row r="45" spans="1:5" x14ac:dyDescent="0.25">
      <c r="A45" s="14"/>
      <c r="B45" s="85" t="str">
        <f t="shared" ref="B45:B51" si="0">B19</f>
        <v>Road</v>
      </c>
      <c r="C45" s="14"/>
      <c r="D45" s="322">
        <v>14.045</v>
      </c>
      <c r="E45" s="14"/>
    </row>
    <row r="46" spans="1:5" x14ac:dyDescent="0.25">
      <c r="A46" s="14"/>
      <c r="B46" s="72" t="str">
        <f t="shared" si="0"/>
        <v>Cemetery</v>
      </c>
      <c r="C46" s="14"/>
      <c r="D46" s="322">
        <v>0.96699999999999997</v>
      </c>
      <c r="E46" s="14"/>
    </row>
    <row r="47" spans="1:5" x14ac:dyDescent="0.25">
      <c r="A47" s="14"/>
      <c r="B47" s="72">
        <f t="shared" si="0"/>
        <v>0</v>
      </c>
      <c r="C47" s="14"/>
      <c r="D47" s="322"/>
      <c r="E47" s="14"/>
    </row>
    <row r="48" spans="1:5" x14ac:dyDescent="0.25">
      <c r="A48" s="14"/>
      <c r="B48" s="72">
        <f t="shared" si="0"/>
        <v>0</v>
      </c>
      <c r="C48" s="14"/>
      <c r="D48" s="322"/>
      <c r="E48" s="14"/>
    </row>
    <row r="49" spans="1:5" x14ac:dyDescent="0.25">
      <c r="A49" s="14"/>
      <c r="B49" s="72">
        <f t="shared" si="0"/>
        <v>0</v>
      </c>
      <c r="C49" s="14"/>
      <c r="D49" s="322"/>
      <c r="E49" s="14"/>
    </row>
    <row r="50" spans="1:5" x14ac:dyDescent="0.25">
      <c r="A50" s="14"/>
      <c r="B50" s="72">
        <f t="shared" si="0"/>
        <v>0</v>
      </c>
      <c r="C50" s="14"/>
      <c r="D50" s="322"/>
      <c r="E50" s="14"/>
    </row>
    <row r="51" spans="1:5" x14ac:dyDescent="0.25">
      <c r="A51" s="14"/>
      <c r="B51" s="72">
        <f t="shared" si="0"/>
        <v>0</v>
      </c>
      <c r="C51" s="14"/>
      <c r="D51" s="322"/>
      <c r="E51" s="14"/>
    </row>
    <row r="52" spans="1:5" ht="16.5" thickBot="1" x14ac:dyDescent="0.3">
      <c r="A52" s="71" t="str">
        <f>CONCATENATE("Total ",D5-3," Tax Levy Rate")</f>
        <v>Total 2010 Tax Levy Rate</v>
      </c>
      <c r="B52" s="323"/>
      <c r="C52" s="259"/>
      <c r="D52" s="324">
        <f>SUM(D42:D51)</f>
        <v>15.518000000000001</v>
      </c>
      <c r="E52" s="14"/>
    </row>
    <row r="53" spans="1:5" ht="16.5" thickTop="1" x14ac:dyDescent="0.25">
      <c r="A53" s="14"/>
      <c r="B53" s="14"/>
      <c r="C53" s="14"/>
      <c r="D53" s="14"/>
      <c r="E53" s="14"/>
    </row>
    <row r="54" spans="1:5" x14ac:dyDescent="0.25">
      <c r="A54" s="325" t="str">
        <f>CONCATENATE("Total Tax Levied (",D5-2," budget column)")</f>
        <v>Total Tax Levied (2011 budget column)</v>
      </c>
      <c r="B54" s="326"/>
      <c r="C54" s="20"/>
      <c r="D54" s="259"/>
      <c r="E54" s="187">
        <v>15118</v>
      </c>
    </row>
    <row r="55" spans="1:5" x14ac:dyDescent="0.25">
      <c r="A55" s="327" t="str">
        <f>CONCATENATE("Assessed Valuation (",D5-2," budget column)")</f>
        <v>Assessed Valuation (2011 budget column)</v>
      </c>
      <c r="B55" s="328"/>
      <c r="C55" s="267"/>
      <c r="D55" s="28"/>
      <c r="E55" s="187">
        <v>974245</v>
      </c>
    </row>
    <row r="56" spans="1:5" x14ac:dyDescent="0.25">
      <c r="A56" s="274"/>
      <c r="B56" s="19"/>
      <c r="C56" s="19"/>
      <c r="D56" s="19"/>
      <c r="E56" s="284"/>
    </row>
    <row r="57" spans="1:5" x14ac:dyDescent="0.25">
      <c r="A57" s="14"/>
      <c r="B57" s="14"/>
      <c r="C57" s="14"/>
      <c r="D57" s="14"/>
      <c r="E57" s="55"/>
    </row>
    <row r="58" spans="1:5" x14ac:dyDescent="0.25">
      <c r="A58" s="293" t="s">
        <v>202</v>
      </c>
      <c r="B58" s="293"/>
      <c r="C58" s="129"/>
      <c r="D58" s="329">
        <f>D5-3</f>
        <v>2010</v>
      </c>
      <c r="E58" s="329">
        <f>D5-2</f>
        <v>2011</v>
      </c>
    </row>
    <row r="59" spans="1:5" x14ac:dyDescent="0.25">
      <c r="A59" s="326" t="s">
        <v>165</v>
      </c>
      <c r="B59" s="326"/>
      <c r="C59" s="330"/>
      <c r="D59" s="36"/>
      <c r="E59" s="36"/>
    </row>
    <row r="60" spans="1:5" x14ac:dyDescent="0.25">
      <c r="A60" s="328" t="s">
        <v>166</v>
      </c>
      <c r="B60" s="328"/>
      <c r="C60" s="331"/>
      <c r="D60" s="36"/>
      <c r="E60" s="36"/>
    </row>
    <row r="61" spans="1:5" x14ac:dyDescent="0.25">
      <c r="A61" s="328" t="s">
        <v>167</v>
      </c>
      <c r="B61" s="328"/>
      <c r="C61" s="331"/>
      <c r="D61" s="36"/>
      <c r="E61" s="36"/>
    </row>
    <row r="62" spans="1:5" x14ac:dyDescent="0.25">
      <c r="A62" s="328"/>
      <c r="B62" s="328"/>
      <c r="C62" s="332"/>
      <c r="D62" s="36"/>
      <c r="E62" s="36"/>
    </row>
    <row r="63" spans="1:5" x14ac:dyDescent="0.25">
      <c r="A63" s="12"/>
      <c r="B63" s="12"/>
      <c r="C63" s="12"/>
      <c r="D63" s="12"/>
      <c r="E63" s="12"/>
    </row>
    <row r="64" spans="1:5" x14ac:dyDescent="0.25">
      <c r="A64" s="12"/>
      <c r="B64" s="12"/>
      <c r="C64" s="12"/>
      <c r="D64" s="12"/>
      <c r="E64" s="12"/>
    </row>
    <row r="65" spans="1:5" x14ac:dyDescent="0.25">
      <c r="A65" s="12"/>
      <c r="B65" s="12"/>
      <c r="C65" s="12"/>
      <c r="D65" s="12"/>
      <c r="E65" s="12"/>
    </row>
    <row r="66" spans="1:5" x14ac:dyDescent="0.25">
      <c r="A66" s="12"/>
      <c r="B66" s="12"/>
      <c r="C66" s="12"/>
      <c r="D66" s="12"/>
      <c r="E66" s="12"/>
    </row>
    <row r="67" spans="1:5" x14ac:dyDescent="0.25">
      <c r="A67" s="12"/>
      <c r="B67" s="12"/>
      <c r="C67" s="12"/>
      <c r="D67" s="12"/>
      <c r="E67" s="12"/>
    </row>
    <row r="68" spans="1:5" x14ac:dyDescent="0.25">
      <c r="A68" s="12"/>
      <c r="B68" s="12"/>
      <c r="C68" s="12"/>
      <c r="D68" s="12"/>
      <c r="E68" s="12"/>
    </row>
    <row r="69" spans="1:5" x14ac:dyDescent="0.25">
      <c r="A69" s="12"/>
      <c r="B69" s="12"/>
      <c r="C69" s="12"/>
      <c r="D69" s="12"/>
      <c r="E69" s="12"/>
    </row>
    <row r="70" spans="1:5" x14ac:dyDescent="0.25">
      <c r="A70" s="12"/>
      <c r="B70" s="12"/>
      <c r="C70" s="12"/>
      <c r="D70" s="12"/>
      <c r="E70" s="12"/>
    </row>
    <row r="71" spans="1:5" x14ac:dyDescent="0.25">
      <c r="A71" s="12"/>
      <c r="B71" s="12"/>
      <c r="C71" s="12"/>
      <c r="D71" s="12"/>
      <c r="E71" s="12"/>
    </row>
    <row r="72" spans="1:5" x14ac:dyDescent="0.25">
      <c r="A72" s="12"/>
      <c r="B72" s="12"/>
      <c r="C72" s="12"/>
      <c r="D72" s="12"/>
      <c r="E72" s="12"/>
    </row>
    <row r="73" spans="1:5" s="333" customFormat="1" x14ac:dyDescent="0.25">
      <c r="A73" s="12"/>
      <c r="B73" s="12"/>
      <c r="C73" s="12"/>
      <c r="D73" s="12"/>
      <c r="E73" s="12"/>
    </row>
    <row r="74" spans="1:5" x14ac:dyDescent="0.25">
      <c r="A74" s="12"/>
      <c r="B74" s="12"/>
      <c r="C74" s="12"/>
      <c r="D74" s="12"/>
      <c r="E74" s="12"/>
    </row>
    <row r="75" spans="1:5" x14ac:dyDescent="0.25">
      <c r="A75" s="12"/>
      <c r="B75" s="12"/>
      <c r="C75" s="12"/>
      <c r="D75" s="12"/>
      <c r="E75" s="12"/>
    </row>
    <row r="76" spans="1:5" x14ac:dyDescent="0.25">
      <c r="A76" s="12"/>
      <c r="B76" s="12"/>
      <c r="C76" s="12"/>
      <c r="D76" s="12"/>
      <c r="E76" s="12"/>
    </row>
    <row r="77" spans="1:5" x14ac:dyDescent="0.25">
      <c r="A77" s="12"/>
      <c r="B77" s="12"/>
      <c r="C77" s="12"/>
      <c r="D77" s="12"/>
      <c r="E77" s="12"/>
    </row>
    <row r="78" spans="1:5" x14ac:dyDescent="0.25">
      <c r="A78" s="12"/>
      <c r="B78" s="12"/>
      <c r="C78" s="12"/>
      <c r="D78" s="12"/>
      <c r="E78" s="12"/>
    </row>
    <row r="79" spans="1:5" x14ac:dyDescent="0.25">
      <c r="A79" s="12"/>
      <c r="B79" s="12"/>
      <c r="C79" s="12"/>
      <c r="D79" s="12"/>
      <c r="E79" s="12"/>
    </row>
    <row r="80" spans="1:5" x14ac:dyDescent="0.25">
      <c r="A80" s="12"/>
      <c r="B80" s="12"/>
      <c r="C80" s="12"/>
      <c r="D80" s="12"/>
      <c r="E80" s="12"/>
    </row>
    <row r="81" spans="1:7" x14ac:dyDescent="0.25">
      <c r="A81" s="12"/>
      <c r="B81" s="12"/>
      <c r="C81" s="12"/>
      <c r="D81" s="12"/>
      <c r="E81" s="12"/>
    </row>
    <row r="82" spans="1:7" x14ac:dyDescent="0.25">
      <c r="A82" s="12"/>
      <c r="B82" s="12"/>
      <c r="C82" s="12"/>
      <c r="D82" s="12"/>
      <c r="E82" s="12"/>
    </row>
    <row r="83" spans="1:7" s="80" customFormat="1" x14ac:dyDescent="0.25">
      <c r="A83" s="12"/>
      <c r="B83" s="12"/>
      <c r="C83" s="12"/>
      <c r="D83" s="12"/>
      <c r="E83" s="12"/>
      <c r="G83" s="16"/>
    </row>
    <row r="84" spans="1:7" s="80" customFormat="1" x14ac:dyDescent="0.25">
      <c r="A84" s="12"/>
      <c r="B84" s="12"/>
      <c r="C84" s="12"/>
      <c r="D84" s="12"/>
      <c r="E84" s="12"/>
      <c r="G84" s="16"/>
    </row>
    <row r="85" spans="1:7" x14ac:dyDescent="0.25">
      <c r="A85" s="12"/>
      <c r="B85" s="12"/>
      <c r="C85" s="12"/>
      <c r="D85" s="12"/>
      <c r="E85" s="12"/>
    </row>
  </sheetData>
  <sheetProtection sheet="1"/>
  <mergeCells count="3">
    <mergeCell ref="D40:D41"/>
    <mergeCell ref="A10:E10"/>
    <mergeCell ref="G7:H12"/>
  </mergeCells>
  <phoneticPr fontId="0" type="noConversion"/>
  <pageMargins left="0.3" right="0.3" top="0.5" bottom="0.5" header="0.3" footer="0.3"/>
  <pageSetup fitToHeight="2" orientation="portrait" blackAndWhite="1" horizontalDpi="4294967292" verticalDpi="96"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B2" sqref="B2"/>
    </sheetView>
  </sheetViews>
  <sheetFormatPr defaultRowHeight="15.75" x14ac:dyDescent="0.25"/>
  <cols>
    <col min="1" max="1" width="62.3984375" style="12" customWidth="1"/>
    <col min="2" max="16384" width="8.796875" style="12"/>
  </cols>
  <sheetData>
    <row r="1" spans="1:1" ht="20.25" x14ac:dyDescent="0.25">
      <c r="A1" s="163" t="s">
        <v>344</v>
      </c>
    </row>
    <row r="2" spans="1:1" ht="54.75" customHeight="1" x14ac:dyDescent="0.25">
      <c r="A2" s="164" t="s">
        <v>345</v>
      </c>
    </row>
    <row r="3" spans="1:1" x14ac:dyDescent="0.25">
      <c r="A3" s="165"/>
    </row>
    <row r="4" spans="1:1" ht="56.25" customHeight="1" x14ac:dyDescent="0.25">
      <c r="A4" s="164" t="s">
        <v>346</v>
      </c>
    </row>
    <row r="5" spans="1:1" x14ac:dyDescent="0.25">
      <c r="A5" s="80"/>
    </row>
    <row r="6" spans="1:1" ht="50.25" customHeight="1" x14ac:dyDescent="0.25">
      <c r="A6" s="164" t="s">
        <v>347</v>
      </c>
    </row>
    <row r="7" spans="1:1" ht="16.5" customHeight="1" x14ac:dyDescent="0.25">
      <c r="A7" s="164"/>
    </row>
    <row r="8" spans="1:1" ht="50.25" customHeight="1" x14ac:dyDescent="0.25">
      <c r="A8" s="485" t="s">
        <v>714</v>
      </c>
    </row>
    <row r="9" spans="1:1" x14ac:dyDescent="0.25">
      <c r="A9" s="165"/>
    </row>
    <row r="10" spans="1:1" ht="40.5" customHeight="1" x14ac:dyDescent="0.25">
      <c r="A10" s="164" t="s">
        <v>348</v>
      </c>
    </row>
    <row r="11" spans="1:1" x14ac:dyDescent="0.25">
      <c r="A11" s="80"/>
    </row>
    <row r="12" spans="1:1" ht="40.5" customHeight="1" x14ac:dyDescent="0.25">
      <c r="A12" s="164" t="s">
        <v>349</v>
      </c>
    </row>
    <row r="13" spans="1:1" x14ac:dyDescent="0.25">
      <c r="A13" s="165"/>
    </row>
    <row r="14" spans="1:1" ht="71.25" customHeight="1" x14ac:dyDescent="0.25">
      <c r="A14" s="164" t="s">
        <v>350</v>
      </c>
    </row>
    <row r="15" spans="1:1" x14ac:dyDescent="0.25">
      <c r="A15" s="165"/>
    </row>
    <row r="16" spans="1:1" ht="40.5" customHeight="1" x14ac:dyDescent="0.25">
      <c r="A16" s="164" t="s">
        <v>351</v>
      </c>
    </row>
    <row r="17" spans="1:1" x14ac:dyDescent="0.25">
      <c r="A17" s="80"/>
    </row>
    <row r="18" spans="1:1" ht="49.5" customHeight="1" x14ac:dyDescent="0.25">
      <c r="A18" s="164" t="s">
        <v>352</v>
      </c>
    </row>
    <row r="19" spans="1:1" x14ac:dyDescent="0.25">
      <c r="A19" s="165"/>
    </row>
    <row r="20" spans="1:1" ht="52.5" customHeight="1" x14ac:dyDescent="0.25">
      <c r="A20" s="164" t="s">
        <v>353</v>
      </c>
    </row>
    <row r="21" spans="1:1" x14ac:dyDescent="0.25">
      <c r="A21" s="165"/>
    </row>
    <row r="22" spans="1:1" ht="48.75" customHeight="1" x14ac:dyDescent="0.25">
      <c r="A22" s="164" t="s">
        <v>354</v>
      </c>
    </row>
    <row r="23" spans="1:1" x14ac:dyDescent="0.25">
      <c r="A23" s="165"/>
    </row>
    <row r="24" spans="1:1" x14ac:dyDescent="0.25">
      <c r="A24" s="80"/>
    </row>
    <row r="25" spans="1:1" ht="51.75" customHeight="1" x14ac:dyDescent="0.25">
      <c r="A25" s="164" t="s">
        <v>355</v>
      </c>
    </row>
  </sheetData>
  <sheetProtection sheet="1"/>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08"/>
  <sheetViews>
    <sheetView topLeftCell="F13" zoomScaleNormal="100" workbookViewId="0">
      <selection activeCell="K7" sqref="K7"/>
    </sheetView>
  </sheetViews>
  <sheetFormatPr defaultRowHeight="15.75" x14ac:dyDescent="0.25"/>
  <cols>
    <col min="1" max="1" width="1.69921875" style="16" customWidth="1"/>
    <col min="2" max="2" width="20.69921875" style="16" customWidth="1"/>
    <col min="3" max="3" width="12.69921875" style="16" customWidth="1"/>
    <col min="4" max="4" width="9.69921875" style="16" customWidth="1"/>
    <col min="5" max="5" width="12.69921875" style="16" customWidth="1"/>
    <col min="6" max="6" width="9.69921875" style="16" customWidth="1"/>
    <col min="7" max="7" width="13.3984375" style="16" customWidth="1"/>
    <col min="8" max="8" width="10.69921875" style="16" customWidth="1"/>
    <col min="9" max="9" width="9.69921875" style="16" customWidth="1"/>
    <col min="10" max="10" width="5.09765625" style="16" customWidth="1"/>
    <col min="11" max="11" width="12.3984375" style="16" customWidth="1"/>
    <col min="12" max="12" width="12.296875" style="16" customWidth="1"/>
    <col min="13" max="13" width="10.5" style="16" customWidth="1"/>
    <col min="14" max="14" width="12" style="16" customWidth="1"/>
    <col min="15" max="16384" width="8.796875" style="16"/>
  </cols>
  <sheetData>
    <row r="1" spans="2:10" x14ac:dyDescent="0.25">
      <c r="B1" s="14"/>
      <c r="C1" s="14"/>
      <c r="D1" s="14"/>
      <c r="E1" s="14"/>
      <c r="F1" s="14"/>
      <c r="G1" s="14"/>
      <c r="H1" s="14"/>
      <c r="I1" s="145">
        <f>inputPrYr!D5</f>
        <v>2013</v>
      </c>
    </row>
    <row r="2" spans="2:10" x14ac:dyDescent="0.25">
      <c r="B2" s="790" t="s">
        <v>71</v>
      </c>
      <c r="C2" s="769"/>
      <c r="D2" s="769"/>
      <c r="E2" s="769"/>
      <c r="F2" s="769"/>
      <c r="G2" s="769"/>
      <c r="H2" s="769"/>
      <c r="I2" s="769"/>
    </row>
    <row r="3" spans="2:10" x14ac:dyDescent="0.25">
      <c r="B3" s="14"/>
      <c r="C3" s="14"/>
      <c r="D3" s="14"/>
      <c r="E3" s="14"/>
      <c r="F3" s="14"/>
      <c r="G3" s="22" t="s">
        <v>37</v>
      </c>
      <c r="H3" s="22" t="s">
        <v>38</v>
      </c>
      <c r="I3" s="14"/>
    </row>
    <row r="4" spans="2:10" x14ac:dyDescent="0.25">
      <c r="B4" s="779" t="s">
        <v>39</v>
      </c>
      <c r="C4" s="779"/>
      <c r="D4" s="779"/>
      <c r="E4" s="779"/>
      <c r="F4" s="779"/>
      <c r="G4" s="779"/>
      <c r="H4" s="779"/>
      <c r="I4" s="779"/>
    </row>
    <row r="5" spans="2:10" x14ac:dyDescent="0.25">
      <c r="B5" s="788" t="str">
        <f>inputPrYr!D2</f>
        <v>Delhi Township</v>
      </c>
      <c r="C5" s="788"/>
      <c r="D5" s="788"/>
      <c r="E5" s="788"/>
      <c r="F5" s="788"/>
      <c r="G5" s="788"/>
      <c r="H5" s="788"/>
      <c r="I5" s="788"/>
    </row>
    <row r="6" spans="2:10" x14ac:dyDescent="0.25">
      <c r="B6" s="788" t="str">
        <f>inputPrYr!D3</f>
        <v>Osborne County</v>
      </c>
      <c r="C6" s="788"/>
      <c r="D6" s="788"/>
      <c r="E6" s="788"/>
      <c r="F6" s="788"/>
      <c r="G6" s="788"/>
      <c r="H6" s="788"/>
      <c r="I6" s="788"/>
    </row>
    <row r="7" spans="2:10" x14ac:dyDescent="0.25">
      <c r="B7" s="844" t="str">
        <f>CONCATENATE("will meet on ",inputBudSum!B8," at ",inputBudSum!B10," at ",inputBudSum!B12," for the purpose of hearing and")</f>
        <v>will meet on August 6, 2012 at 6:00 p.m. at Wendell Robinson, 359 County 412 Drive,  Delhi Township for the purpose of hearing and</v>
      </c>
      <c r="C7" s="844"/>
      <c r="D7" s="844"/>
      <c r="E7" s="844"/>
      <c r="F7" s="844"/>
      <c r="G7" s="844"/>
      <c r="H7" s="844"/>
      <c r="I7" s="844"/>
    </row>
    <row r="8" spans="2:10" x14ac:dyDescent="0.25">
      <c r="B8" s="147" t="s">
        <v>603</v>
      </c>
      <c r="C8" s="145"/>
      <c r="D8" s="145"/>
      <c r="E8" s="145"/>
      <c r="F8" s="145"/>
      <c r="G8" s="145"/>
      <c r="H8" s="145"/>
      <c r="I8" s="145"/>
    </row>
    <row r="9" spans="2:10" x14ac:dyDescent="0.25">
      <c r="B9" s="355" t="str">
        <f>CONCATENATE("Detailed budget information is available at ",inputBudSum!B15," and will be available at this hearing.")</f>
        <v>Detailed budget information is available at Osborne County Clerks Office and will be available at this hearing.</v>
      </c>
      <c r="C9" s="354"/>
      <c r="D9" s="354"/>
      <c r="E9" s="354"/>
      <c r="F9" s="354"/>
      <c r="G9" s="354"/>
      <c r="H9" s="354"/>
      <c r="I9" s="354"/>
    </row>
    <row r="10" spans="2:10" x14ac:dyDescent="0.25">
      <c r="B10" s="144" t="s">
        <v>72</v>
      </c>
      <c r="C10" s="148"/>
      <c r="D10" s="148"/>
      <c r="E10" s="148"/>
      <c r="F10" s="148"/>
      <c r="G10" s="148"/>
      <c r="H10" s="148"/>
      <c r="I10" s="148"/>
    </row>
    <row r="11" spans="2:10" x14ac:dyDescent="0.25">
      <c r="B11" s="147" t="str">
        <f>CONCATENATE("Proposed Budget ",I1," Expenditures and Amount of ",I1-1," Ad Valorem Tax establish the maximum limits")</f>
        <v>Proposed Budget 2013 Expenditures and Amount of 2012 Ad Valorem Tax establish the maximum limits</v>
      </c>
      <c r="C11" s="145"/>
      <c r="D11" s="145"/>
      <c r="E11" s="145"/>
      <c r="F11" s="145"/>
      <c r="G11" s="145"/>
      <c r="H11" s="145"/>
      <c r="I11" s="145"/>
    </row>
    <row r="12" spans="2:10" x14ac:dyDescent="0.25">
      <c r="B12" s="147" t="str">
        <f>CONCATENATE("of the ",I1," budget.  Estimated Tax Rate is subject to change depending on the final assessed valuation.")</f>
        <v>of the 2013 budget.  Estimated Tax Rate is subject to change depending on the final assessed valuation.</v>
      </c>
      <c r="C12" s="145"/>
      <c r="D12" s="145"/>
      <c r="E12" s="145"/>
      <c r="F12" s="145"/>
      <c r="G12" s="145"/>
      <c r="H12" s="145"/>
      <c r="I12" s="145"/>
    </row>
    <row r="13" spans="2:10" x14ac:dyDescent="0.25">
      <c r="B13" s="22"/>
      <c r="C13" s="19"/>
      <c r="D13" s="19"/>
      <c r="E13" s="19"/>
      <c r="F13" s="19"/>
      <c r="G13" s="19"/>
      <c r="H13" s="19"/>
      <c r="I13" s="19"/>
      <c r="J13" s="149"/>
    </row>
    <row r="14" spans="2:10" x14ac:dyDescent="0.25">
      <c r="B14" s="14"/>
      <c r="C14" s="150" t="str">
        <f>CONCATENATE("Prior Year Actual ",I1-2,"")</f>
        <v>Prior Year Actual 2011</v>
      </c>
      <c r="D14" s="151"/>
      <c r="E14" s="150" t="str">
        <f>CONCATENATE("Current Year Estimate ",I1-1,"")</f>
        <v>Current Year Estimate 2012</v>
      </c>
      <c r="F14" s="152"/>
      <c r="G14" s="153" t="str">
        <f>CONCATENATE("Proposed Budget ",I1,"")</f>
        <v>Proposed Budget 2013</v>
      </c>
      <c r="H14" s="154"/>
      <c r="I14" s="152"/>
      <c r="J14" s="149"/>
    </row>
    <row r="15" spans="2:10" ht="22.5" customHeight="1" x14ac:dyDescent="0.25">
      <c r="B15" s="14"/>
      <c r="C15" s="69"/>
      <c r="D15" s="23" t="s">
        <v>32</v>
      </c>
      <c r="E15" s="23"/>
      <c r="F15" s="23" t="s">
        <v>32</v>
      </c>
      <c r="G15" s="155"/>
      <c r="H15" s="771" t="str">
        <f>CONCATENATE("Amount of ",I1-1," Ad Valorem Tax")</f>
        <v>Amount of 2012 Ad Valorem Tax</v>
      </c>
      <c r="I15" s="23" t="s">
        <v>40</v>
      </c>
      <c r="J15" s="149"/>
    </row>
    <row r="16" spans="2:10" x14ac:dyDescent="0.25">
      <c r="B16" s="14"/>
      <c r="C16" s="156"/>
      <c r="D16" s="156" t="s">
        <v>41</v>
      </c>
      <c r="E16" s="156"/>
      <c r="F16" s="156" t="s">
        <v>41</v>
      </c>
      <c r="G16" s="156" t="s">
        <v>209</v>
      </c>
      <c r="H16" s="842"/>
      <c r="I16" s="156" t="s">
        <v>41</v>
      </c>
      <c r="J16" s="149"/>
    </row>
    <row r="17" spans="2:14" x14ac:dyDescent="0.25">
      <c r="B17" s="25" t="s">
        <v>286</v>
      </c>
      <c r="C17" s="26" t="s">
        <v>42</v>
      </c>
      <c r="D17" s="26" t="s">
        <v>43</v>
      </c>
      <c r="E17" s="26" t="s">
        <v>42</v>
      </c>
      <c r="F17" s="26" t="s">
        <v>43</v>
      </c>
      <c r="G17" s="26" t="s">
        <v>720</v>
      </c>
      <c r="H17" s="843"/>
      <c r="I17" s="26" t="s">
        <v>43</v>
      </c>
      <c r="J17" s="149"/>
    </row>
    <row r="18" spans="2:14" x14ac:dyDescent="0.25">
      <c r="B18" s="85" t="str">
        <f>inputPrYr!B16</f>
        <v>General</v>
      </c>
      <c r="C18" s="63">
        <f>IF(gen!$C$50&lt;&gt;0,gen!$C$50,"  ")</f>
        <v>776</v>
      </c>
      <c r="D18" s="530">
        <f>IF(inputPrYr!D42&gt;0,inputPrYr!D42,"  ")</f>
        <v>0.50600000000000001</v>
      </c>
      <c r="E18" s="32">
        <f>IF(gen!$D$50&lt;&gt;0,gen!$D$50,"  ")</f>
        <v>2000</v>
      </c>
      <c r="F18" s="235">
        <f>IF(inputOth!D17&gt;0,inputOth!D17,"  ")</f>
        <v>1.9059999999999999</v>
      </c>
      <c r="G18" s="32">
        <f>IF(gen!$E$50&lt;&gt;0,gen!$E$50,"  ")</f>
        <v>1000</v>
      </c>
      <c r="H18" s="32">
        <f>IF(gen!$E$57&lt;&gt;0,gen!$E$57," ")</f>
        <v>578</v>
      </c>
      <c r="I18" s="532">
        <f>IF(gen!E57&gt;0,ROUND(H18/$G$37*1000,3)," ")</f>
        <v>0.57199999999999995</v>
      </c>
      <c r="J18" s="149"/>
    </row>
    <row r="19" spans="2:14" x14ac:dyDescent="0.25">
      <c r="B19" s="85" t="s">
        <v>300</v>
      </c>
      <c r="C19" s="32" t="str">
        <f>IF('DebtSvs-Library'!C33&lt;&gt;0,'DebtSvs-Library'!C33,"  ")</f>
        <v xml:space="preserve">  </v>
      </c>
      <c r="D19" s="530" t="str">
        <f>IF(inputPrYr!D43&gt;0,inputPrYr!D43,"  ")</f>
        <v xml:space="preserve">  </v>
      </c>
      <c r="E19" s="32" t="str">
        <f>IF('DebtSvs-Library'!D33&lt;&gt;0,'DebtSvs-Library'!D33,"  ")</f>
        <v xml:space="preserve">  </v>
      </c>
      <c r="F19" s="235" t="str">
        <f>IF(inputOth!D18&gt;0,inputOth!D18,"  ")</f>
        <v xml:space="preserve">  </v>
      </c>
      <c r="G19" s="32" t="str">
        <f>IF('DebtSvs-Library'!E33&lt;&gt;0,'DebtSvs-Library'!E33,"  ")</f>
        <v xml:space="preserve">  </v>
      </c>
      <c r="H19" s="32" t="str">
        <f>IF('DebtSvs-Library'!E40&lt;&gt;0,'DebtSvs-Library'!E40," ")</f>
        <v xml:space="preserve"> </v>
      </c>
      <c r="I19" s="532" t="str">
        <f>IF('DebtSvs-Library'!E40&gt;0,ROUND(H19/$G$37*1000,3)," ")</f>
        <v xml:space="preserve"> </v>
      </c>
      <c r="J19" s="149"/>
    </row>
    <row r="20" spans="2:14" x14ac:dyDescent="0.25">
      <c r="B20" s="85" t="str">
        <f>IF(inputPrYr!$B18&gt;"  ",inputPrYr!$B18,"  ")</f>
        <v>Library</v>
      </c>
      <c r="C20" s="32" t="str">
        <f>IF('DebtSvs-Library'!C73&lt;&gt;0,'DebtSvs-Library'!C73,"  ")</f>
        <v xml:space="preserve">  </v>
      </c>
      <c r="D20" s="530" t="str">
        <f>IF(inputPrYr!D44&gt;0,inputPrYr!D44,"  ")</f>
        <v xml:space="preserve">  </v>
      </c>
      <c r="E20" s="32" t="str">
        <f>IF('DebtSvs-Library'!D73&lt;&gt;0,'DebtSvs-Library'!D73,"  ")</f>
        <v xml:space="preserve">  </v>
      </c>
      <c r="F20" s="235" t="str">
        <f>IF(inputOth!D19&gt;0,inputOth!D19,"  ")</f>
        <v xml:space="preserve">  </v>
      </c>
      <c r="G20" s="32" t="str">
        <f>IF('DebtSvs-Library'!E73&lt;&gt;0,'DebtSvs-Library'!E73,"  ")</f>
        <v xml:space="preserve">  </v>
      </c>
      <c r="H20" s="32" t="str">
        <f>IF('DebtSvs-Library'!E80&lt;&gt;0,'DebtSvs-Library'!E80," ")</f>
        <v xml:space="preserve"> </v>
      </c>
      <c r="I20" s="532" t="str">
        <f>IF('DebtSvs-Library'!E80&gt;0,ROUND(H20/$G$37*1000,3)," ")</f>
        <v xml:space="preserve"> </v>
      </c>
      <c r="J20" s="149"/>
    </row>
    <row r="21" spans="2:14" x14ac:dyDescent="0.25">
      <c r="B21" s="85" t="str">
        <f>IF(inputPrYr!$B19&gt;"  ",inputPrYr!$B19,"  ")</f>
        <v>Road</v>
      </c>
      <c r="C21" s="32">
        <f>IF(road!$C$43&lt;&gt;0,road!$C$43,"  ")</f>
        <v>16528</v>
      </c>
      <c r="D21" s="530">
        <f>IF(inputPrYr!D45&gt;0,inputPrYr!D45,"  ")</f>
        <v>14.045</v>
      </c>
      <c r="E21" s="32">
        <f>IF(road!$D$43&lt;&gt;0,road!$D$43,"  ")</f>
        <v>14600</v>
      </c>
      <c r="F21" s="235">
        <f>IF(inputOth!D20&gt;0,inputOth!D20,"  ")</f>
        <v>12.651</v>
      </c>
      <c r="G21" s="32">
        <f>IF(road!$E$43&lt;&gt;0,road!$E$43,"  ")</f>
        <v>15330</v>
      </c>
      <c r="H21" s="32">
        <f>IF(road!$E$50&lt;&gt;0,road!$E$50,"  ")</f>
        <v>13406</v>
      </c>
      <c r="I21" s="532">
        <f>IF(road!E50&gt;0,ROUND(H21/$G$37*1000,3)," ")</f>
        <v>13.263</v>
      </c>
      <c r="K21" s="835" t="str">
        <f>CONCATENATE("Estimated Value Of One Mill For ",I1,"")</f>
        <v>Estimated Value Of One Mill For 2013</v>
      </c>
      <c r="L21" s="840"/>
      <c r="M21" s="840"/>
      <c r="N21" s="841"/>
    </row>
    <row r="22" spans="2:14" x14ac:dyDescent="0.25">
      <c r="B22" s="85" t="str">
        <f>IF(inputPrYr!$B20&gt;"  ",inputPrYr!$B20,"  ")</f>
        <v>Cemetery</v>
      </c>
      <c r="C22" s="32">
        <f>IF(levypage9!$C$33&lt;&gt;0,levypage9!$C$33,"  ")</f>
        <v>1170</v>
      </c>
      <c r="D22" s="530">
        <f>IF(inputPrYr!D46&gt;0,inputPrYr!D46,"  ")</f>
        <v>0.96699999999999997</v>
      </c>
      <c r="E22" s="32">
        <f>IF(levypage9!$D$33&lt;&gt;0,levypage9!$D$33,"  ")</f>
        <v>1078</v>
      </c>
      <c r="F22" s="235">
        <f>IF(inputOth!D21&gt;0,inputOth!D21,"  ")</f>
        <v>1.008</v>
      </c>
      <c r="G22" s="32">
        <f>IF(levypage9!$E$33&lt;&gt;0,levypage9!$E$33,"  ")</f>
        <v>1200</v>
      </c>
      <c r="H22" s="32">
        <f>IF(levypage9!$E$40&lt;&gt;0,levypage9!$E$40,"  ")</f>
        <v>1160</v>
      </c>
      <c r="I22" s="532">
        <f>IF(levypage9!E40&gt;0,ROUND(H22/$G$37*1000,3)," ")</f>
        <v>1.1479999999999999</v>
      </c>
      <c r="K22" s="506"/>
      <c r="L22" s="507"/>
      <c r="M22" s="507"/>
      <c r="N22" s="508"/>
    </row>
    <row r="23" spans="2:14" x14ac:dyDescent="0.25">
      <c r="B23" s="85" t="str">
        <f>IF(inputPrYr!$B21&gt;"  ",inputPrYr!$B21,"  ")</f>
        <v xml:space="preserve">  </v>
      </c>
      <c r="C23" s="32" t="str">
        <f>IF(levypage9!$C$73&lt;&gt;0,levypage9!$C$73,"  ")</f>
        <v xml:space="preserve">  </v>
      </c>
      <c r="D23" s="530" t="str">
        <f>IF(inputPrYr!D47&gt;0,inputPrYr!D47,"  ")</f>
        <v xml:space="preserve">  </v>
      </c>
      <c r="E23" s="32" t="str">
        <f>IF(levypage9!$D$73&lt;&gt;0,levypage9!$D$73,"  ")</f>
        <v xml:space="preserve">  </v>
      </c>
      <c r="F23" s="235" t="str">
        <f>IF(inputOth!D22&gt;0,inputOth!D22,"  ")</f>
        <v xml:space="preserve">  </v>
      </c>
      <c r="G23" s="32" t="str">
        <f>IF(levypage9!$E$73&lt;&gt;0,levypage9!$E$73,"  ")</f>
        <v xml:space="preserve">  </v>
      </c>
      <c r="H23" s="32" t="str">
        <f>IF(levypage9!$E$80&lt;&gt;0,levypage9!$E$80,"  ")</f>
        <v xml:space="preserve">  </v>
      </c>
      <c r="I23" s="532" t="str">
        <f>IF(levypage9!E80&gt;0,ROUND(H23/$G$37*1000,3)," ")</f>
        <v xml:space="preserve"> </v>
      </c>
      <c r="K23" s="509" t="s">
        <v>717</v>
      </c>
      <c r="L23" s="510"/>
      <c r="M23" s="510"/>
      <c r="N23" s="511">
        <f>ROUND(G37/1000,0)</f>
        <v>1011</v>
      </c>
    </row>
    <row r="24" spans="2:14" x14ac:dyDescent="0.25">
      <c r="B24" s="85" t="str">
        <f>IF(inputPrYr!$B22&gt;"  ",inputPrYr!$B22,"  ")</f>
        <v xml:space="preserve">  </v>
      </c>
      <c r="C24" s="32" t="str">
        <f>IF(levypage10!$C$33&lt;&gt;0,levypage10!$C$33,"  ")</f>
        <v xml:space="preserve">  </v>
      </c>
      <c r="D24" s="530" t="str">
        <f>IF(inputPrYr!D48&gt;0,inputPrYr!D48,"  ")</f>
        <v xml:space="preserve">  </v>
      </c>
      <c r="E24" s="32" t="str">
        <f>IF(levypage10!$D$33&lt;&gt;0,levypage10!$D$33,"  ")</f>
        <v xml:space="preserve">  </v>
      </c>
      <c r="F24" s="235" t="str">
        <f>IF(inputOth!D23&gt;0,inputOth!D23,"  ")</f>
        <v xml:space="preserve">  </v>
      </c>
      <c r="G24" s="32" t="str">
        <f>IF(levypage10!$E$33&lt;&gt;0,levypage10!$E$33,"  ")</f>
        <v xml:space="preserve">  </v>
      </c>
      <c r="H24" s="32" t="str">
        <f>IF(levypage10!$E$40&lt;&gt;0,levypage10!$E$40,"  ")</f>
        <v xml:space="preserve">  </v>
      </c>
      <c r="I24" s="532" t="str">
        <f>IF(levypage10!E40&gt;0,ROUND(H24/$G$37*1000,3)," ")</f>
        <v xml:space="preserve"> </v>
      </c>
    </row>
    <row r="25" spans="2:14" x14ac:dyDescent="0.25">
      <c r="B25" s="85" t="str">
        <f>IF(inputPrYr!$B23&gt;"  ",inputPrYr!$B23,"  ")</f>
        <v xml:space="preserve">  </v>
      </c>
      <c r="C25" s="32" t="str">
        <f>IF(levypage10!$C$73&lt;&gt;0,levypage10!$C$73,"  ")</f>
        <v xml:space="preserve">  </v>
      </c>
      <c r="D25" s="530" t="str">
        <f>IF(inputPrYr!D49&gt;0,inputPrYr!D49,"  ")</f>
        <v xml:space="preserve">  </v>
      </c>
      <c r="E25" s="32" t="str">
        <f>IF(levypage10!$D$73&lt;&gt;0,levypage10!$D$73,"  ")</f>
        <v xml:space="preserve">  </v>
      </c>
      <c r="F25" s="235" t="str">
        <f>IF(inputOth!D24&gt;0,inputOth!D24,"  ")</f>
        <v xml:space="preserve">  </v>
      </c>
      <c r="G25" s="32" t="str">
        <f>IF(levypage10!$E$73&lt;&gt;0,levypage10!$E$73,"  ")</f>
        <v xml:space="preserve">  </v>
      </c>
      <c r="H25" s="32" t="str">
        <f>IF(levypage10!$E$80&lt;&gt;0,levypage10!$E$80,"  ")</f>
        <v xml:space="preserve">  </v>
      </c>
      <c r="I25" s="532" t="str">
        <f>IF(levypage10!E80&gt;0,ROUND(H25/$G$37*1000,3)," ")</f>
        <v xml:space="preserve"> </v>
      </c>
      <c r="K25" s="835" t="str">
        <f>CONCATENATE("Want The Mill Rate The Same As For ",I1-1,"?")</f>
        <v>Want The Mill Rate The Same As For 2012?</v>
      </c>
      <c r="L25" s="838"/>
      <c r="M25" s="838"/>
      <c r="N25" s="839"/>
    </row>
    <row r="26" spans="2:14" x14ac:dyDescent="0.25">
      <c r="B26" s="85" t="str">
        <f>IF(inputPrYr!$B24&gt;"  ",inputPrYr!$B24,"  ")</f>
        <v xml:space="preserve">  </v>
      </c>
      <c r="C26" s="32" t="str">
        <f>IF(levypage11!$C$33&lt;&gt;0,levypage11!$C$33,"  ")</f>
        <v xml:space="preserve">  </v>
      </c>
      <c r="D26" s="530" t="str">
        <f>IF(inputPrYr!D50&gt;0,inputPrYr!D50,"  ")</f>
        <v xml:space="preserve">  </v>
      </c>
      <c r="E26" s="32" t="str">
        <f>IF(levypage11!$D$33&lt;&gt;0,levypage11!$D$33,"  ")</f>
        <v xml:space="preserve">  </v>
      </c>
      <c r="F26" s="235" t="str">
        <f>IF(inputOth!D25&gt;0,inputOth!D25,"  ")</f>
        <v xml:space="preserve">  </v>
      </c>
      <c r="G26" s="32" t="str">
        <f>IF(levypage11!$E$33&lt;&gt;0,levypage11!$E$33,"  ")</f>
        <v xml:space="preserve">  </v>
      </c>
      <c r="H26" s="32" t="str">
        <f>IF(levypage11!$E$40&lt;&gt;0,levypage11!$E$40,"  ")</f>
        <v xml:space="preserve">  </v>
      </c>
      <c r="I26" s="532" t="str">
        <f>IF(levypage11!E40&gt;0,ROUND(H26/$G$37*1000,3)," ")</f>
        <v xml:space="preserve"> </v>
      </c>
      <c r="K26" s="513"/>
      <c r="L26" s="507"/>
      <c r="M26" s="507"/>
      <c r="N26" s="514"/>
    </row>
    <row r="27" spans="2:14" x14ac:dyDescent="0.25">
      <c r="B27" s="85" t="str">
        <f>IF(inputPrYr!$B25&gt;"  ",inputPrYr!$B25,"  ")</f>
        <v xml:space="preserve">  </v>
      </c>
      <c r="C27" s="32" t="str">
        <f>IF(levypage11!$C$73&lt;&gt;0,levypage11!$C$73,"  ")</f>
        <v xml:space="preserve">  </v>
      </c>
      <c r="D27" s="530" t="str">
        <f>IF(inputPrYr!D51&gt;0,inputPrYr!D51,"  ")</f>
        <v xml:space="preserve">  </v>
      </c>
      <c r="E27" s="32" t="str">
        <f>IF(levypage11!$D$73&lt;&gt;0,levypage11!$D$73,"  ")</f>
        <v xml:space="preserve">  </v>
      </c>
      <c r="F27" s="235" t="str">
        <f>IF(inputOth!D26&gt;0,inputOth!D26,"  ")</f>
        <v xml:space="preserve">  </v>
      </c>
      <c r="G27" s="32" t="str">
        <f>IF(levypage11!$E$73&lt;&gt;0,levypage11!$E$73,"  ")</f>
        <v xml:space="preserve">  </v>
      </c>
      <c r="H27" s="32" t="str">
        <f>IF(levypage11!$E$80&lt;&gt;0,levypage11!$E$80,"  ")</f>
        <v xml:space="preserve">  </v>
      </c>
      <c r="I27" s="532" t="str">
        <f>IF(levypage11!E80&gt;0,ROUND(H27/$G$37*1000,3)," ")</f>
        <v xml:space="preserve"> </v>
      </c>
      <c r="K27" s="513" t="str">
        <f>CONCATENATE("",I1-1," Mill Rate Was:")</f>
        <v>2012 Mill Rate Was:</v>
      </c>
      <c r="L27" s="507"/>
      <c r="M27" s="507"/>
      <c r="N27" s="515">
        <f>F32</f>
        <v>15.565000000000001</v>
      </c>
    </row>
    <row r="28" spans="2:14" x14ac:dyDescent="0.25">
      <c r="B28" s="85" t="str">
        <f>IF(inputPrYr!$B29&gt;"  ",inputPrYr!$B29,"  ")</f>
        <v xml:space="preserve">  </v>
      </c>
      <c r="C28" s="32" t="str">
        <f>IF(nolevypage12!$C$28&lt;&gt;0,nolevypage12!$C$28,"  ")</f>
        <v xml:space="preserve">  </v>
      </c>
      <c r="D28" s="157"/>
      <c r="E28" s="32" t="str">
        <f>IF(nolevypage12!$D$28&lt;&gt;0,nolevypage12!$D$28,"  ")</f>
        <v xml:space="preserve">  </v>
      </c>
      <c r="F28" s="235"/>
      <c r="G28" s="32" t="str">
        <f>IF(nolevypage12!$E$28&lt;&gt;0,nolevypage12!$E$28,"  ")</f>
        <v xml:space="preserve">  </v>
      </c>
      <c r="H28" s="32"/>
      <c r="I28" s="235"/>
      <c r="K28" s="516" t="str">
        <f>CONCATENATE("",I1," Tax Levy Fund Expenditures Must Be")</f>
        <v>2013 Tax Levy Fund Expenditures Must Be</v>
      </c>
      <c r="L28" s="517"/>
      <c r="M28" s="517"/>
      <c r="N28" s="514"/>
    </row>
    <row r="29" spans="2:14" x14ac:dyDescent="0.25">
      <c r="B29" s="85" t="str">
        <f>IF(inputPrYr!$B30&gt;"  ",inputPrYr!$B30,"  ")</f>
        <v xml:space="preserve">  </v>
      </c>
      <c r="C29" s="32" t="str">
        <f>IF(nolevypage12!$C$59&lt;&gt;0,nolevypage12!$C$59,"  ")</f>
        <v xml:space="preserve">  </v>
      </c>
      <c r="D29" s="157"/>
      <c r="E29" s="32" t="str">
        <f>IF(nolevypage12!$D$59&lt;&gt;0,nolevypage12!$D$59,"  ")</f>
        <v xml:space="preserve">  </v>
      </c>
      <c r="F29" s="235"/>
      <c r="G29" s="32" t="str">
        <f>IF(nolevypage12!$E$59&lt;&gt;0,nolevypage12!$E$59,"  ")</f>
        <v xml:space="preserve">  </v>
      </c>
      <c r="H29" s="32"/>
      <c r="I29" s="235"/>
      <c r="K29" s="516" t="str">
        <f>IF(N29&gt;0,"Increased By:","")</f>
        <v>Increased By:</v>
      </c>
      <c r="L29" s="517"/>
      <c r="M29" s="517"/>
      <c r="N29" s="523">
        <f>IF(N36&lt;0,N36*-1,0)</f>
        <v>588</v>
      </c>
    </row>
    <row r="30" spans="2:14" x14ac:dyDescent="0.25">
      <c r="B30" s="85" t="str">
        <f>IF((inputPrYr!$B34&gt;"  "),(nonbud!$A3),"  ")</f>
        <v xml:space="preserve">  </v>
      </c>
      <c r="C30" s="63" t="str">
        <f>IF((nonbud!$K$28)&lt;&gt;0,(nonbud!$K$28),"  ")</f>
        <v xml:space="preserve">  </v>
      </c>
      <c r="D30" s="157"/>
      <c r="E30" s="32"/>
      <c r="F30" s="157"/>
      <c r="G30" s="32"/>
      <c r="H30" s="32"/>
      <c r="I30" s="157"/>
      <c r="K30" s="524" t="str">
        <f>IF($N$30&lt;0,"Reduced By:","")</f>
        <v/>
      </c>
      <c r="L30" s="505"/>
      <c r="M30" s="505"/>
      <c r="N30" s="525">
        <f>IF(N36&gt;0,N36*-1,0)</f>
        <v>0</v>
      </c>
    </row>
    <row r="31" spans="2:14" ht="16.5" thickBot="1" x14ac:dyDescent="0.3">
      <c r="B31" s="72" t="s">
        <v>288</v>
      </c>
      <c r="C31" s="483">
        <f>IF(road!C64&lt;&gt;0,road!C64,"  ")</f>
        <v>4264</v>
      </c>
      <c r="D31" s="484"/>
      <c r="E31" s="531"/>
      <c r="F31" s="484"/>
      <c r="G31" s="531"/>
      <c r="H31" s="531"/>
      <c r="I31" s="484"/>
      <c r="K31" s="520"/>
      <c r="L31" s="520"/>
      <c r="M31" s="520"/>
      <c r="N31" s="520"/>
    </row>
    <row r="32" spans="2:14" x14ac:dyDescent="0.25">
      <c r="B32" s="72" t="s">
        <v>289</v>
      </c>
      <c r="C32" s="533">
        <f t="shared" ref="C32:I32" si="0">SUM(C18:C31)</f>
        <v>22738</v>
      </c>
      <c r="D32" s="482">
        <f t="shared" si="0"/>
        <v>15.518000000000001</v>
      </c>
      <c r="E32" s="533">
        <f t="shared" si="0"/>
        <v>17678</v>
      </c>
      <c r="F32" s="482">
        <f t="shared" si="0"/>
        <v>15.565000000000001</v>
      </c>
      <c r="G32" s="533">
        <f t="shared" si="0"/>
        <v>17530</v>
      </c>
      <c r="H32" s="533">
        <f t="shared" si="0"/>
        <v>15144</v>
      </c>
      <c r="I32" s="536">
        <f t="shared" si="0"/>
        <v>14.982999999999999</v>
      </c>
      <c r="K32" s="835" t="str">
        <f>CONCATENATE("Impact On Keeping The Same Mill Rate As For ",I1-1,"")</f>
        <v>Impact On Keeping The Same Mill Rate As For 2012</v>
      </c>
      <c r="L32" s="836"/>
      <c r="M32" s="836"/>
      <c r="N32" s="837"/>
    </row>
    <row r="33" spans="2:14" x14ac:dyDescent="0.25">
      <c r="B33" s="274" t="s">
        <v>44</v>
      </c>
      <c r="C33" s="32">
        <f>transfer!C29</f>
        <v>450</v>
      </c>
      <c r="D33" s="14"/>
      <c r="E33" s="32">
        <f>transfer!D29</f>
        <v>0</v>
      </c>
      <c r="F33" s="61"/>
      <c r="G33" s="32">
        <f>transfer!E29</f>
        <v>0</v>
      </c>
      <c r="H33" s="14"/>
      <c r="I33" s="14"/>
      <c r="K33" s="513"/>
      <c r="L33" s="507"/>
      <c r="M33" s="507"/>
      <c r="N33" s="514"/>
    </row>
    <row r="34" spans="2:14" ht="16.5" thickBot="1" x14ac:dyDescent="0.3">
      <c r="B34" s="274" t="s">
        <v>45</v>
      </c>
      <c r="C34" s="534">
        <f>C32-C33</f>
        <v>22288</v>
      </c>
      <c r="D34" s="14"/>
      <c r="E34" s="534">
        <f>E32-E33</f>
        <v>17678</v>
      </c>
      <c r="F34" s="14"/>
      <c r="G34" s="534">
        <f>G32-G33</f>
        <v>17530</v>
      </c>
      <c r="H34" s="14"/>
      <c r="I34" s="14"/>
      <c r="K34" s="513" t="str">
        <f>CONCATENATE("",I1," Ad Valorem Tax Revenue:")</f>
        <v>2013 Ad Valorem Tax Revenue:</v>
      </c>
      <c r="L34" s="507"/>
      <c r="M34" s="507"/>
      <c r="N34" s="508">
        <f>H32</f>
        <v>15144</v>
      </c>
    </row>
    <row r="35" spans="2:14" ht="16.5" thickTop="1" x14ac:dyDescent="0.25">
      <c r="B35" s="274" t="s">
        <v>46</v>
      </c>
      <c r="C35" s="535">
        <f>inputPrYr!E54</f>
        <v>15118</v>
      </c>
      <c r="D35" s="61"/>
      <c r="E35" s="535">
        <f>inputPrYr!E26</f>
        <v>15118</v>
      </c>
      <c r="F35" s="14"/>
      <c r="G35" s="526" t="s">
        <v>290</v>
      </c>
      <c r="H35" s="14"/>
      <c r="I35" s="14"/>
      <c r="K35" s="513" t="str">
        <f>CONCATENATE("",I1-1," Ad Valorem Tax Revenue:")</f>
        <v>2012 Ad Valorem Tax Revenue:</v>
      </c>
      <c r="L35" s="507"/>
      <c r="M35" s="507"/>
      <c r="N35" s="521">
        <f>ROUND(G37*N27/1000,0)</f>
        <v>15732</v>
      </c>
    </row>
    <row r="36" spans="2:14" x14ac:dyDescent="0.25">
      <c r="B36" s="274" t="s">
        <v>47</v>
      </c>
      <c r="C36" s="55"/>
      <c r="D36" s="61"/>
      <c r="E36" s="55"/>
      <c r="F36" s="61"/>
      <c r="G36" s="14"/>
      <c r="H36" s="14"/>
      <c r="I36" s="14"/>
      <c r="K36" s="518" t="s">
        <v>718</v>
      </c>
      <c r="L36" s="519"/>
      <c r="M36" s="519"/>
      <c r="N36" s="511">
        <f>N34-N35</f>
        <v>-588</v>
      </c>
    </row>
    <row r="37" spans="2:14" x14ac:dyDescent="0.25">
      <c r="B37" s="274" t="s">
        <v>48</v>
      </c>
      <c r="C37" s="32">
        <f>inputPrYr!E55</f>
        <v>974245</v>
      </c>
      <c r="D37" s="14"/>
      <c r="E37" s="32">
        <f>inputOth!E29</f>
        <v>971359</v>
      </c>
      <c r="F37" s="14"/>
      <c r="G37" s="32">
        <f>inputOth!E7</f>
        <v>1010758</v>
      </c>
      <c r="H37" s="14"/>
      <c r="I37" s="14"/>
      <c r="K37" s="512"/>
      <c r="L37" s="512"/>
      <c r="M37" s="512"/>
      <c r="N37" s="520"/>
    </row>
    <row r="38" spans="2:14" x14ac:dyDescent="0.25">
      <c r="B38" s="22" t="s">
        <v>49</v>
      </c>
      <c r="C38" s="14"/>
      <c r="D38" s="14"/>
      <c r="E38" s="14"/>
      <c r="F38" s="14"/>
      <c r="G38" s="14"/>
      <c r="H38" s="14"/>
      <c r="I38" s="14"/>
      <c r="K38" s="835" t="s">
        <v>719</v>
      </c>
      <c r="L38" s="838"/>
      <c r="M38" s="838"/>
      <c r="N38" s="839"/>
    </row>
    <row r="39" spans="2:14" x14ac:dyDescent="0.25">
      <c r="B39" s="22" t="s">
        <v>50</v>
      </c>
      <c r="C39" s="160">
        <f>I1-3</f>
        <v>2010</v>
      </c>
      <c r="D39" s="14"/>
      <c r="E39" s="160">
        <f>I1-2</f>
        <v>2011</v>
      </c>
      <c r="F39" s="14"/>
      <c r="G39" s="160">
        <f>I1-1</f>
        <v>2012</v>
      </c>
      <c r="H39" s="14"/>
      <c r="I39" s="14"/>
      <c r="K39" s="513"/>
      <c r="L39" s="507"/>
      <c r="M39" s="507"/>
      <c r="N39" s="514"/>
    </row>
    <row r="40" spans="2:14" x14ac:dyDescent="0.25">
      <c r="B40" s="22" t="s">
        <v>51</v>
      </c>
      <c r="C40" s="161">
        <f>inputPrYr!D59</f>
        <v>0</v>
      </c>
      <c r="D40" s="59"/>
      <c r="E40" s="161">
        <f>inputPrYr!E59</f>
        <v>0</v>
      </c>
      <c r="F40" s="59"/>
      <c r="G40" s="161">
        <f>'debt-lease'!F11</f>
        <v>0</v>
      </c>
      <c r="H40" s="14"/>
      <c r="I40" s="14"/>
      <c r="K40" s="513" t="str">
        <f>CONCATENATE("Current ",I1," Estimated Mill Rate:")</f>
        <v>Current 2013 Estimated Mill Rate:</v>
      </c>
      <c r="L40" s="507"/>
      <c r="M40" s="507"/>
      <c r="N40" s="515">
        <f>I32</f>
        <v>14.982999999999999</v>
      </c>
    </row>
    <row r="41" spans="2:14" x14ac:dyDescent="0.25">
      <c r="B41" s="22" t="s">
        <v>21</v>
      </c>
      <c r="C41" s="161">
        <f>inputPrYr!D60</f>
        <v>0</v>
      </c>
      <c r="D41" s="59"/>
      <c r="E41" s="161">
        <f>inputPrYr!E60</f>
        <v>0</v>
      </c>
      <c r="F41" s="59"/>
      <c r="G41" s="161">
        <f>'debt-lease'!F15</f>
        <v>0</v>
      </c>
      <c r="H41" s="14"/>
      <c r="I41" s="14"/>
      <c r="K41" s="513" t="str">
        <f>CONCATENATE("Desired ",I1," Mill Rate:")</f>
        <v>Desired 2013 Mill Rate:</v>
      </c>
      <c r="L41" s="507"/>
      <c r="M41" s="507"/>
      <c r="N41" s="522">
        <v>0</v>
      </c>
    </row>
    <row r="42" spans="2:14" x14ac:dyDescent="0.25">
      <c r="B42" s="22" t="s">
        <v>745</v>
      </c>
      <c r="C42" s="161">
        <f>inputPrYr!D61</f>
        <v>0</v>
      </c>
      <c r="D42" s="59"/>
      <c r="E42" s="161">
        <f>inputPrYr!E61</f>
        <v>0</v>
      </c>
      <c r="F42" s="59"/>
      <c r="G42" s="161">
        <f>'debt-lease'!G36</f>
        <v>0</v>
      </c>
      <c r="H42" s="14"/>
      <c r="I42" s="14"/>
      <c r="K42" s="513" t="str">
        <f>CONCATENATE("",I1," Ad Valorem Tax:")</f>
        <v>2013 Ad Valorem Tax:</v>
      </c>
      <c r="L42" s="507"/>
      <c r="M42" s="507"/>
      <c r="N42" s="521">
        <f>ROUND(G37*N41/1000,0)</f>
        <v>0</v>
      </c>
    </row>
    <row r="43" spans="2:14" ht="16.5" thickBot="1" x14ac:dyDescent="0.3">
      <c r="B43" s="22" t="s">
        <v>52</v>
      </c>
      <c r="C43" s="162">
        <f>SUM(C40:C42)</f>
        <v>0</v>
      </c>
      <c r="D43" s="59"/>
      <c r="E43" s="162">
        <f>SUM(E40:E42)</f>
        <v>0</v>
      </c>
      <c r="F43" s="59"/>
      <c r="G43" s="162">
        <f>SUM(G40:G42)</f>
        <v>0</v>
      </c>
      <c r="H43" s="14"/>
      <c r="I43" s="14"/>
      <c r="K43" s="518" t="str">
        <f>CONCATENATE("",I1," Tax Levy Fund Exp. Changed By:")</f>
        <v>2013 Tax Levy Fund Exp. Changed By:</v>
      </c>
      <c r="L43" s="519"/>
      <c r="M43" s="519"/>
      <c r="N43" s="511">
        <f>IF(N41=0,0,(N42-H32))</f>
        <v>0</v>
      </c>
    </row>
    <row r="44" spans="2:14" ht="16.5" thickTop="1" x14ac:dyDescent="0.25">
      <c r="B44" s="22" t="s">
        <v>53</v>
      </c>
      <c r="C44" s="14"/>
      <c r="D44" s="14"/>
      <c r="E44" s="14"/>
      <c r="F44" s="14"/>
      <c r="G44" s="14"/>
      <c r="H44" s="14"/>
      <c r="I44" s="14"/>
    </row>
    <row r="45" spans="2:14" x14ac:dyDescent="0.25">
      <c r="B45" s="14"/>
      <c r="C45" s="14"/>
      <c r="D45" s="14"/>
      <c r="E45" s="14"/>
      <c r="F45" s="14"/>
      <c r="G45" s="14"/>
      <c r="H45" s="14"/>
      <c r="I45" s="14"/>
    </row>
    <row r="46" spans="2:14" x14ac:dyDescent="0.25">
      <c r="B46" s="834" t="str">
        <f>inputBudSum!B4</f>
        <v>Delhi Township</v>
      </c>
      <c r="C46" s="834"/>
      <c r="D46" s="14"/>
      <c r="E46" s="14"/>
      <c r="F46" s="14"/>
      <c r="G46" s="14"/>
      <c r="H46" s="14"/>
      <c r="I46" s="14"/>
    </row>
    <row r="47" spans="2:14" x14ac:dyDescent="0.25">
      <c r="B47" s="832">
        <f>inputBudSum!B6</f>
        <v>0</v>
      </c>
      <c r="C47" s="833"/>
      <c r="D47" s="14"/>
      <c r="E47" s="14"/>
      <c r="F47" s="14"/>
      <c r="G47" s="14"/>
      <c r="H47" s="14"/>
      <c r="I47" s="14"/>
    </row>
    <row r="48" spans="2:14" x14ac:dyDescent="0.25">
      <c r="B48" s="14"/>
      <c r="C48" s="14"/>
      <c r="D48" s="14"/>
      <c r="E48" s="14"/>
      <c r="F48" s="14"/>
      <c r="G48" s="14"/>
      <c r="H48" s="14"/>
      <c r="I48" s="14"/>
    </row>
    <row r="49" spans="2:9" x14ac:dyDescent="0.25">
      <c r="B49" s="14"/>
      <c r="C49" s="52" t="s">
        <v>9</v>
      </c>
      <c r="D49" s="81"/>
      <c r="E49" s="14"/>
      <c r="F49" s="14"/>
      <c r="G49" s="14"/>
      <c r="H49" s="14"/>
      <c r="I49" s="14"/>
    </row>
    <row r="50" spans="2:9" x14ac:dyDescent="0.25">
      <c r="B50" s="80"/>
      <c r="C50" s="80"/>
      <c r="D50" s="80"/>
    </row>
    <row r="52" spans="2:9" x14ac:dyDescent="0.25">
      <c r="B52" s="80"/>
      <c r="C52" s="80"/>
      <c r="D52" s="80"/>
      <c r="E52" s="80"/>
      <c r="F52" s="80"/>
      <c r="G52" s="80"/>
      <c r="H52" s="80"/>
    </row>
    <row r="53" spans="2:9" x14ac:dyDescent="0.25">
      <c r="I53" s="80"/>
    </row>
    <row r="74" spans="2:7" x14ac:dyDescent="0.25">
      <c r="B74" s="80"/>
      <c r="C74" s="80"/>
      <c r="D74" s="80"/>
      <c r="E74" s="80"/>
      <c r="F74" s="80"/>
      <c r="G74" s="80"/>
    </row>
    <row r="81" spans="2:9" x14ac:dyDescent="0.25">
      <c r="B81" s="80"/>
      <c r="C81" s="80"/>
      <c r="D81" s="80"/>
      <c r="E81" s="80"/>
      <c r="F81" s="80"/>
      <c r="G81" s="80"/>
      <c r="H81" s="80"/>
    </row>
    <row r="82" spans="2:9" x14ac:dyDescent="0.25">
      <c r="I82" s="80"/>
    </row>
    <row r="87" spans="2:9" x14ac:dyDescent="0.25">
      <c r="B87" s="80"/>
      <c r="C87" s="80"/>
      <c r="D87" s="80"/>
      <c r="E87" s="80"/>
      <c r="F87" s="80"/>
      <c r="G87" s="80"/>
      <c r="H87" s="80"/>
    </row>
    <row r="88" spans="2:9" x14ac:dyDescent="0.25">
      <c r="I88" s="80"/>
    </row>
    <row r="108" spans="2:8" x14ac:dyDescent="0.25">
      <c r="B108" s="80"/>
      <c r="C108" s="80"/>
      <c r="D108" s="80"/>
      <c r="E108" s="80"/>
      <c r="F108" s="80"/>
      <c r="G108" s="80"/>
      <c r="H108" s="80"/>
    </row>
  </sheetData>
  <sheetProtection sheet="1"/>
  <mergeCells count="12">
    <mergeCell ref="B2:I2"/>
    <mergeCell ref="B47:C47"/>
    <mergeCell ref="B46:C46"/>
    <mergeCell ref="K32:N32"/>
    <mergeCell ref="K38:N38"/>
    <mergeCell ref="K21:N21"/>
    <mergeCell ref="K25:N25"/>
    <mergeCell ref="B4:I4"/>
    <mergeCell ref="H15:H17"/>
    <mergeCell ref="B7:I7"/>
    <mergeCell ref="B6:I6"/>
    <mergeCell ref="B5:I5"/>
  </mergeCells>
  <phoneticPr fontId="0" type="noConversion"/>
  <pageMargins left="0.9" right="0.9" top="0.96" bottom="0.5" header="0.41" footer="0.3"/>
  <pageSetup scale="67" orientation="portrait" blackAndWhite="1" horizontalDpi="1200" verticalDpi="1200" r:id="rId1"/>
  <headerFooter alignWithMargins="0">
    <oddHeader xml:space="preserve">&amp;RState of Kansas
Township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workbookViewId="0">
      <selection activeCell="A30" sqref="A30"/>
    </sheetView>
  </sheetViews>
  <sheetFormatPr defaultRowHeight="15.75" x14ac:dyDescent="0.25"/>
  <cols>
    <col min="1" max="1" width="10.59765625" style="12" customWidth="1"/>
    <col min="2" max="2" width="13.69921875" style="12" customWidth="1"/>
    <col min="3" max="5" width="12.69921875" style="12" customWidth="1"/>
    <col min="6" max="16384" width="8.796875" style="12"/>
  </cols>
  <sheetData>
    <row r="1" spans="1:6" x14ac:dyDescent="0.25">
      <c r="A1" s="13" t="str">
        <f>inputPrYr!D2</f>
        <v>Delhi Township</v>
      </c>
      <c r="B1" s="14"/>
      <c r="C1" s="14"/>
      <c r="D1" s="14"/>
      <c r="E1" s="14"/>
      <c r="F1" s="14">
        <f>inputPrYr!D5</f>
        <v>2013</v>
      </c>
    </row>
    <row r="2" spans="1:6" x14ac:dyDescent="0.25">
      <c r="A2" s="14"/>
      <c r="B2" s="14"/>
      <c r="C2" s="14"/>
      <c r="D2" s="14"/>
      <c r="E2" s="14"/>
      <c r="F2" s="14"/>
    </row>
    <row r="3" spans="1:6" x14ac:dyDescent="0.25">
      <c r="A3" s="14"/>
      <c r="B3" s="770" t="str">
        <f>CONCATENATE("",F1," Neighborhood Revitalization Rebate")</f>
        <v>2013 Neighborhood Revitalization Rebate</v>
      </c>
      <c r="C3" s="778"/>
      <c r="D3" s="778"/>
      <c r="E3" s="778"/>
      <c r="F3" s="14"/>
    </row>
    <row r="4" spans="1:6" x14ac:dyDescent="0.25">
      <c r="A4" s="14"/>
      <c r="B4" s="14"/>
      <c r="C4" s="14"/>
      <c r="D4" s="14"/>
      <c r="E4" s="14"/>
      <c r="F4" s="14"/>
    </row>
    <row r="5" spans="1:6" ht="51" customHeight="1" x14ac:dyDescent="0.25">
      <c r="A5" s="14"/>
      <c r="B5" s="126" t="str">
        <f>CONCATENATE("Budgeted Funds                            for ",F1,"")</f>
        <v>Budgeted Funds                            for 2013</v>
      </c>
      <c r="C5" s="126" t="str">
        <f>CONCATENATE("",F1-1," Ad Valorem before Rebate**")</f>
        <v>2012 Ad Valorem before Rebate**</v>
      </c>
      <c r="D5" s="127" t="str">
        <f>CONCATENATE("",F1-1," Mil Rate before Rebate")</f>
        <v>2012 Mil Rate before Rebate</v>
      </c>
      <c r="E5" s="128" t="str">
        <f>CONCATENATE("Estimate ",F1," NR Rebate")</f>
        <v>Estimate 2013 NR Rebate</v>
      </c>
      <c r="F5" s="129"/>
    </row>
    <row r="6" spans="1:6" x14ac:dyDescent="0.25">
      <c r="A6" s="14"/>
      <c r="B6" s="72" t="str">
        <f>inputPrYr!B16</f>
        <v>General</v>
      </c>
      <c r="C6" s="130"/>
      <c r="D6" s="131" t="str">
        <f t="shared" ref="D6:D15" si="0">IF(C6&gt;0,C6/$D$21,"")</f>
        <v/>
      </c>
      <c r="E6" s="132" t="str">
        <f t="shared" ref="E6:E15" si="1">IF(C6&gt;0,ROUND(D6*$D$25,0),"")</f>
        <v/>
      </c>
      <c r="F6" s="129"/>
    </row>
    <row r="7" spans="1:6" x14ac:dyDescent="0.25">
      <c r="A7" s="14"/>
      <c r="B7" s="72" t="str">
        <f>inputPrYr!B17</f>
        <v>Debt Service</v>
      </c>
      <c r="C7" s="130"/>
      <c r="D7" s="131" t="str">
        <f t="shared" si="0"/>
        <v/>
      </c>
      <c r="E7" s="132" t="str">
        <f t="shared" si="1"/>
        <v/>
      </c>
      <c r="F7" s="129"/>
    </row>
    <row r="8" spans="1:6" x14ac:dyDescent="0.25">
      <c r="A8" s="14"/>
      <c r="B8" s="72" t="str">
        <f>inputPrYr!B18</f>
        <v>Library</v>
      </c>
      <c r="C8" s="130"/>
      <c r="D8" s="131" t="str">
        <f>IF(C8&gt;0,C8/$D$21,"")</f>
        <v/>
      </c>
      <c r="E8" s="132" t="str">
        <f>IF(C8&gt;0,ROUND(D8*$D$25,0),"")</f>
        <v/>
      </c>
      <c r="F8" s="129"/>
    </row>
    <row r="9" spans="1:6" x14ac:dyDescent="0.25">
      <c r="A9" s="14"/>
      <c r="B9" s="72" t="str">
        <f>inputPrYr!B19</f>
        <v>Road</v>
      </c>
      <c r="C9" s="130"/>
      <c r="D9" s="131" t="str">
        <f t="shared" si="0"/>
        <v/>
      </c>
      <c r="E9" s="132" t="str">
        <f t="shared" si="1"/>
        <v/>
      </c>
      <c r="F9" s="129"/>
    </row>
    <row r="10" spans="1:6" x14ac:dyDescent="0.25">
      <c r="A10" s="14"/>
      <c r="B10" s="72" t="str">
        <f>inputPrYr!B20</f>
        <v>Cemetery</v>
      </c>
      <c r="C10" s="130"/>
      <c r="D10" s="131" t="str">
        <f t="shared" si="0"/>
        <v/>
      </c>
      <c r="E10" s="132" t="str">
        <f t="shared" si="1"/>
        <v/>
      </c>
      <c r="F10" s="129"/>
    </row>
    <row r="11" spans="1:6" x14ac:dyDescent="0.25">
      <c r="A11" s="14"/>
      <c r="B11" s="72">
        <f>inputPrYr!B21</f>
        <v>0</v>
      </c>
      <c r="C11" s="130"/>
      <c r="D11" s="131" t="str">
        <f t="shared" si="0"/>
        <v/>
      </c>
      <c r="E11" s="132" t="str">
        <f t="shared" si="1"/>
        <v/>
      </c>
      <c r="F11" s="129"/>
    </row>
    <row r="12" spans="1:6" x14ac:dyDescent="0.25">
      <c r="A12" s="14"/>
      <c r="B12" s="72">
        <f>inputPrYr!B22</f>
        <v>0</v>
      </c>
      <c r="C12" s="130"/>
      <c r="D12" s="131" t="str">
        <f t="shared" si="0"/>
        <v/>
      </c>
      <c r="E12" s="132" t="str">
        <f t="shared" si="1"/>
        <v/>
      </c>
      <c r="F12" s="129"/>
    </row>
    <row r="13" spans="1:6" x14ac:dyDescent="0.25">
      <c r="A13" s="14"/>
      <c r="B13" s="72">
        <f>inputPrYr!B23</f>
        <v>0</v>
      </c>
      <c r="C13" s="133"/>
      <c r="D13" s="131" t="str">
        <f t="shared" si="0"/>
        <v/>
      </c>
      <c r="E13" s="132" t="str">
        <f t="shared" si="1"/>
        <v/>
      </c>
      <c r="F13" s="129"/>
    </row>
    <row r="14" spans="1:6" x14ac:dyDescent="0.25">
      <c r="A14" s="14"/>
      <c r="B14" s="72">
        <f>inputPrYr!B24</f>
        <v>0</v>
      </c>
      <c r="C14" s="133"/>
      <c r="D14" s="131" t="str">
        <f t="shared" si="0"/>
        <v/>
      </c>
      <c r="E14" s="132" t="str">
        <f t="shared" si="1"/>
        <v/>
      </c>
      <c r="F14" s="129"/>
    </row>
    <row r="15" spans="1:6" x14ac:dyDescent="0.25">
      <c r="A15" s="14"/>
      <c r="B15" s="72">
        <f>inputPrYr!B25</f>
        <v>0</v>
      </c>
      <c r="C15" s="133"/>
      <c r="D15" s="131" t="str">
        <f t="shared" si="0"/>
        <v/>
      </c>
      <c r="E15" s="132" t="str">
        <f t="shared" si="1"/>
        <v/>
      </c>
      <c r="F15" s="129"/>
    </row>
    <row r="16" spans="1:6" ht="16.5" thickBot="1" x14ac:dyDescent="0.3">
      <c r="A16" s="14"/>
      <c r="B16" s="73" t="s">
        <v>212</v>
      </c>
      <c r="C16" s="134">
        <f>SUM(C6:C15)</f>
        <v>0</v>
      </c>
      <c r="D16" s="135">
        <f>SUM(D6:D15)</f>
        <v>0</v>
      </c>
      <c r="E16" s="134">
        <f>SUM(E6:E15)</f>
        <v>0</v>
      </c>
      <c r="F16" s="129"/>
    </row>
    <row r="17" spans="1:6" ht="16.5" thickTop="1" x14ac:dyDescent="0.25">
      <c r="A17" s="14"/>
      <c r="B17" s="14"/>
      <c r="C17" s="14"/>
      <c r="D17" s="14"/>
      <c r="E17" s="14"/>
      <c r="F17" s="129"/>
    </row>
    <row r="18" spans="1:6" x14ac:dyDescent="0.25">
      <c r="A18" s="14"/>
      <c r="B18" s="14"/>
      <c r="C18" s="14"/>
      <c r="D18" s="14"/>
      <c r="E18" s="14"/>
      <c r="F18" s="129"/>
    </row>
    <row r="19" spans="1:6" x14ac:dyDescent="0.25">
      <c r="A19" s="847" t="str">
        <f>CONCATENATE("",F1-1," July 1 Valuation:")</f>
        <v>2012 July 1 Valuation:</v>
      </c>
      <c r="B19" s="846"/>
      <c r="C19" s="847"/>
      <c r="D19" s="136">
        <f>inputOth!E7</f>
        <v>1010758</v>
      </c>
      <c r="E19" s="14"/>
      <c r="F19" s="129"/>
    </row>
    <row r="20" spans="1:6" x14ac:dyDescent="0.25">
      <c r="A20" s="14"/>
      <c r="B20" s="14"/>
      <c r="C20" s="14"/>
      <c r="D20" s="14"/>
      <c r="E20" s="14"/>
      <c r="F20" s="129"/>
    </row>
    <row r="21" spans="1:6" x14ac:dyDescent="0.25">
      <c r="A21" s="14"/>
      <c r="B21" s="847" t="s">
        <v>366</v>
      </c>
      <c r="C21" s="847"/>
      <c r="D21" s="137">
        <f>IF(D19&gt;0,(D19*0.001),"")</f>
        <v>1010.758</v>
      </c>
      <c r="E21" s="14"/>
      <c r="F21" s="129"/>
    </row>
    <row r="22" spans="1:6" x14ac:dyDescent="0.25">
      <c r="A22" s="14"/>
      <c r="B22" s="48"/>
      <c r="C22" s="48"/>
      <c r="D22" s="138"/>
      <c r="E22" s="14"/>
      <c r="F22" s="129"/>
    </row>
    <row r="23" spans="1:6" x14ac:dyDescent="0.25">
      <c r="A23" s="845" t="s">
        <v>368</v>
      </c>
      <c r="B23" s="769"/>
      <c r="C23" s="769"/>
      <c r="D23" s="139">
        <f>inputOth!E13</f>
        <v>0</v>
      </c>
      <c r="E23" s="140"/>
      <c r="F23" s="140"/>
    </row>
    <row r="24" spans="1:6" x14ac:dyDescent="0.25">
      <c r="A24" s="140"/>
      <c r="B24" s="140"/>
      <c r="C24" s="140"/>
      <c r="D24" s="141"/>
      <c r="E24" s="140"/>
      <c r="F24" s="140"/>
    </row>
    <row r="25" spans="1:6" x14ac:dyDescent="0.25">
      <c r="A25" s="140"/>
      <c r="B25" s="845" t="s">
        <v>369</v>
      </c>
      <c r="C25" s="846"/>
      <c r="D25" s="142" t="str">
        <f>IF(D23&gt;0,(D23*0.001),"")</f>
        <v/>
      </c>
      <c r="E25" s="140"/>
      <c r="F25" s="140"/>
    </row>
    <row r="26" spans="1:6" x14ac:dyDescent="0.25">
      <c r="A26" s="140"/>
      <c r="B26" s="140"/>
      <c r="C26" s="140"/>
      <c r="D26" s="140"/>
      <c r="E26" s="140"/>
      <c r="F26" s="140"/>
    </row>
    <row r="27" spans="1:6" x14ac:dyDescent="0.25">
      <c r="A27" s="140"/>
      <c r="B27" s="140"/>
      <c r="C27" s="140"/>
      <c r="D27" s="140"/>
      <c r="E27" s="140"/>
      <c r="F27" s="140"/>
    </row>
    <row r="28" spans="1:6" x14ac:dyDescent="0.25">
      <c r="A28" s="140"/>
      <c r="B28" s="140"/>
      <c r="C28" s="140"/>
      <c r="D28" s="140"/>
      <c r="E28" s="140"/>
      <c r="F28" s="140"/>
    </row>
    <row r="29" spans="1:6" x14ac:dyDescent="0.25">
      <c r="A29" s="375" t="str">
        <f>CONCATENATE("**This information comes from the ",F1," Budget Summary page.  See instructions tab #12 for completing")</f>
        <v>**This information comes from the 2013 Budget Summary page.  See instructions tab #12 for completing</v>
      </c>
      <c r="B29" s="140"/>
      <c r="C29" s="140"/>
      <c r="D29" s="140"/>
      <c r="E29" s="140"/>
      <c r="F29" s="140"/>
    </row>
    <row r="30" spans="1:6" x14ac:dyDescent="0.25">
      <c r="A30" s="375" t="s">
        <v>604</v>
      </c>
      <c r="B30" s="140"/>
      <c r="C30" s="140"/>
      <c r="D30" s="140"/>
      <c r="E30" s="140"/>
      <c r="F30" s="140"/>
    </row>
    <row r="31" spans="1:6" x14ac:dyDescent="0.25">
      <c r="A31" s="375"/>
      <c r="B31" s="140"/>
      <c r="C31" s="140"/>
      <c r="D31" s="140"/>
      <c r="E31" s="140"/>
      <c r="F31" s="140"/>
    </row>
    <row r="32" spans="1:6" x14ac:dyDescent="0.25">
      <c r="A32" s="375"/>
      <c r="B32" s="140"/>
      <c r="C32" s="140"/>
      <c r="D32" s="140"/>
      <c r="E32" s="140"/>
      <c r="F32" s="140"/>
    </row>
    <row r="33" spans="1:6" x14ac:dyDescent="0.25">
      <c r="A33" s="375"/>
      <c r="B33" s="140"/>
      <c r="C33" s="140"/>
      <c r="D33" s="140"/>
      <c r="E33" s="140"/>
      <c r="F33" s="140"/>
    </row>
    <row r="34" spans="1:6" x14ac:dyDescent="0.25">
      <c r="A34" s="375"/>
      <c r="B34" s="140"/>
      <c r="C34" s="140"/>
      <c r="D34" s="140"/>
      <c r="E34" s="140"/>
      <c r="F34" s="140"/>
    </row>
    <row r="35" spans="1:6" x14ac:dyDescent="0.25">
      <c r="A35" s="375"/>
      <c r="B35" s="140"/>
      <c r="C35" s="140"/>
      <c r="D35" s="140"/>
      <c r="E35" s="140"/>
      <c r="F35" s="140"/>
    </row>
    <row r="36" spans="1:6" x14ac:dyDescent="0.25">
      <c r="A36" s="375"/>
      <c r="B36" s="140"/>
      <c r="C36" s="140"/>
      <c r="D36" s="140"/>
      <c r="E36" s="140"/>
      <c r="F36" s="140"/>
    </row>
    <row r="37" spans="1:6" x14ac:dyDescent="0.25">
      <c r="A37" s="140"/>
      <c r="B37" s="140"/>
      <c r="C37" s="140"/>
      <c r="D37" s="140"/>
      <c r="E37" s="140"/>
      <c r="F37" s="140"/>
    </row>
    <row r="38" spans="1:6" x14ac:dyDescent="0.25">
      <c r="A38" s="140"/>
      <c r="B38" s="122" t="s">
        <v>9</v>
      </c>
      <c r="C38" s="65"/>
      <c r="D38" s="140"/>
      <c r="E38" s="140"/>
      <c r="F38" s="140"/>
    </row>
    <row r="39" spans="1:6" x14ac:dyDescent="0.25">
      <c r="A39" s="129"/>
      <c r="B39" s="14"/>
      <c r="C39" s="14"/>
      <c r="D39" s="143"/>
      <c r="E39" s="129"/>
      <c r="F39" s="129"/>
    </row>
  </sheetData>
  <sheetProtection sheet="1"/>
  <mergeCells count="5">
    <mergeCell ref="B25:C25"/>
    <mergeCell ref="B3:E3"/>
    <mergeCell ref="A19:C19"/>
    <mergeCell ref="B21:C21"/>
    <mergeCell ref="A23:C23"/>
  </mergeCells>
  <phoneticPr fontId="11" type="noConversion"/>
  <pageMargins left="0.75" right="0.75" top="1" bottom="1" header="0.5" footer="0.5"/>
  <pageSetup scale="98" orientation="portrait" blackAndWhite="1" r:id="rId1"/>
  <headerFooter alignWithMargins="0">
    <oddHeader>&amp;RState of Kansas
Township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selection activeCell="D50" sqref="D50"/>
    </sheetView>
  </sheetViews>
  <sheetFormatPr defaultRowHeight="15.75" x14ac:dyDescent="0.25"/>
  <sheetData>
    <row r="1" spans="1:9" x14ac:dyDescent="0.25">
      <c r="A1" s="852" t="s">
        <v>129</v>
      </c>
      <c r="B1" s="852"/>
      <c r="C1" s="852"/>
      <c r="D1" s="852"/>
      <c r="E1" s="852"/>
      <c r="F1" s="852"/>
      <c r="G1" s="852"/>
    </row>
    <row r="2" spans="1:9" x14ac:dyDescent="0.25">
      <c r="A2" s="1"/>
    </row>
    <row r="3" spans="1:9" x14ac:dyDescent="0.25">
      <c r="A3" s="853" t="s">
        <v>130</v>
      </c>
      <c r="B3" s="853"/>
      <c r="C3" s="853"/>
      <c r="D3" s="853"/>
      <c r="E3" s="853"/>
      <c r="F3" s="853"/>
      <c r="G3" s="853"/>
    </row>
    <row r="4" spans="1:9" x14ac:dyDescent="0.25">
      <c r="A4" s="2"/>
    </row>
    <row r="5" spans="1:9" x14ac:dyDescent="0.25">
      <c r="A5" s="2"/>
    </row>
    <row r="6" spans="1:9" x14ac:dyDescent="0.25">
      <c r="A6" s="8" t="str">
        <f>CONCATENATE("A resolution expressing the property taxation policy of the Board of ",(inputPrYr!D2)," ")</f>
        <v xml:space="preserve">A resolution expressing the property taxation policy of the Board of Delhi Township </v>
      </c>
      <c r="I6" t="str">
        <f>CONCATENATE(I7)</f>
        <v/>
      </c>
    </row>
    <row r="7" spans="1:9" x14ac:dyDescent="0.25">
      <c r="A7" s="854" t="str">
        <f>CONCATENATE("   with respect to financing the ",inputPrYr!D5," annual budget for ",(inputPrYr!D2)," , ",(inputPrYr!D3)," , Kansas.")</f>
        <v xml:space="preserve">   with respect to financing the 2013 annual budget for Delhi Township , Osborne County , Kansas.</v>
      </c>
      <c r="B7" s="849"/>
      <c r="C7" s="849"/>
      <c r="D7" s="849"/>
      <c r="E7" s="849"/>
      <c r="F7" s="849"/>
      <c r="G7" s="849"/>
    </row>
    <row r="8" spans="1:9" x14ac:dyDescent="0.25">
      <c r="A8" s="849"/>
      <c r="B8" s="849"/>
      <c r="C8" s="849"/>
      <c r="D8" s="849"/>
      <c r="E8" s="849"/>
      <c r="F8" s="849"/>
      <c r="G8" s="849"/>
    </row>
    <row r="9" spans="1:9" x14ac:dyDescent="0.25">
      <c r="A9" s="1"/>
    </row>
    <row r="10" spans="1:9" x14ac:dyDescent="0.25">
      <c r="A10" s="9" t="s">
        <v>131</v>
      </c>
    </row>
    <row r="11" spans="1:9" x14ac:dyDescent="0.25">
      <c r="A11" s="7" t="str">
        <f>CONCATENATE("to finance the ",inputPrYr!D5," ",(inputPrYr!D2)," budget exceed the amount levied to finance the ",inputPrYr!D5-1,"")</f>
        <v>to finance the 2013 Delhi Township budget exceed the amount levied to finance the 2012</v>
      </c>
    </row>
    <row r="12" spans="1:9" x14ac:dyDescent="0.25">
      <c r="A12" s="850" t="str">
        <f>CONCATENATE((inputPrYr!D2)," Township budget, except with regard to revenue produced and attributable to the taxation of 1) new improvements to real property; 2) increased personal property valuation, other than increased")</f>
        <v>Delhi Township Township budget, except with regard to revenue produced and attributable to the taxation of 1) new improvements to real property; 2) increased personal property valuation, other than increased</v>
      </c>
      <c r="B12" s="849"/>
      <c r="C12" s="849"/>
      <c r="D12" s="849"/>
      <c r="E12" s="849"/>
      <c r="F12" s="849"/>
      <c r="G12" s="849"/>
    </row>
    <row r="13" spans="1:9" x14ac:dyDescent="0.25">
      <c r="A13" s="849"/>
      <c r="B13" s="849"/>
      <c r="C13" s="849"/>
      <c r="D13" s="849"/>
      <c r="E13" s="849"/>
      <c r="F13" s="849"/>
      <c r="G13" s="849"/>
    </row>
    <row r="14" spans="1:9" x14ac:dyDescent="0.25">
      <c r="A14" s="850" t="s">
        <v>136</v>
      </c>
      <c r="B14" s="849"/>
      <c r="C14" s="849"/>
      <c r="D14" s="849"/>
      <c r="E14" s="849"/>
      <c r="F14" s="849"/>
      <c r="G14" s="849"/>
    </row>
    <row r="15" spans="1:9" x14ac:dyDescent="0.25">
      <c r="A15" s="849"/>
      <c r="B15" s="849"/>
      <c r="C15" s="849"/>
      <c r="D15" s="849"/>
      <c r="E15" s="849"/>
      <c r="F15" s="849"/>
      <c r="G15" s="849"/>
    </row>
    <row r="16" spans="1:9" x14ac:dyDescent="0.25">
      <c r="A16" s="851"/>
      <c r="B16" s="851"/>
      <c r="C16" s="851"/>
      <c r="D16" s="851"/>
      <c r="E16" s="851"/>
      <c r="F16" s="851"/>
      <c r="G16" s="851"/>
    </row>
    <row r="17" spans="1:7" x14ac:dyDescent="0.25">
      <c r="A17" s="2"/>
    </row>
    <row r="18" spans="1:7" x14ac:dyDescent="0.25">
      <c r="A18" s="848" t="s">
        <v>132</v>
      </c>
      <c r="B18" s="849"/>
      <c r="C18" s="849"/>
      <c r="D18" s="849"/>
      <c r="E18" s="849"/>
      <c r="F18" s="849"/>
      <c r="G18" s="849"/>
    </row>
    <row r="19" spans="1:7" x14ac:dyDescent="0.25">
      <c r="A19" s="849"/>
      <c r="B19" s="849"/>
      <c r="C19" s="849"/>
      <c r="D19" s="849"/>
      <c r="E19" s="849"/>
      <c r="F19" s="849"/>
      <c r="G19" s="849"/>
    </row>
    <row r="20" spans="1:7" x14ac:dyDescent="0.25">
      <c r="A20" s="2"/>
    </row>
    <row r="21" spans="1:7" x14ac:dyDescent="0.25">
      <c r="A21" s="848" t="str">
        <f>CONCATENATE("Whereas, ",(inputPrYr!D2)," provides essential services to protect the safety and well being of the citizens of the township; and")</f>
        <v>Whereas, Delhi Township provides essential services to protect the safety and well being of the citizens of the township; and</v>
      </c>
      <c r="B21" s="849"/>
      <c r="C21" s="849"/>
      <c r="D21" s="849"/>
      <c r="E21" s="849"/>
      <c r="F21" s="849"/>
      <c r="G21" s="849"/>
    </row>
    <row r="22" spans="1:7" x14ac:dyDescent="0.25">
      <c r="A22" s="849"/>
      <c r="B22" s="849"/>
      <c r="C22" s="849"/>
      <c r="D22" s="849"/>
      <c r="E22" s="849"/>
      <c r="F22" s="849"/>
      <c r="G22" s="849"/>
    </row>
    <row r="23" spans="1:7" x14ac:dyDescent="0.25">
      <c r="A23" s="4"/>
    </row>
    <row r="24" spans="1:7" x14ac:dyDescent="0.25">
      <c r="A24" s="3" t="s">
        <v>133</v>
      </c>
    </row>
    <row r="25" spans="1:7" x14ac:dyDescent="0.25">
      <c r="A25" s="4"/>
    </row>
    <row r="26" spans="1:7" x14ac:dyDescent="0.25">
      <c r="A26" s="848" t="str">
        <f>CONCATENATE("NOW, THEREFORE, BE IT RESOLVED by the Board of ",(inputPrYr!D2)," of ",(inputPrYr!D3),", Kansas that is our desire to notify the public of increased property taxes to finance the ",inputPrYr!D5," ",(inputPrYr!D2),"  budget as defined above.")</f>
        <v>NOW, THEREFORE, BE IT RESOLVED by the Board of Delhi Township of Osborne County, Kansas that is our desire to notify the public of increased property taxes to finance the 2013 Delhi Township  budget as defined above.</v>
      </c>
      <c r="B26" s="849"/>
      <c r="C26" s="849"/>
      <c r="D26" s="849"/>
      <c r="E26" s="849"/>
      <c r="F26" s="849"/>
      <c r="G26" s="849"/>
    </row>
    <row r="27" spans="1:7" x14ac:dyDescent="0.25">
      <c r="A27" s="849"/>
      <c r="B27" s="849"/>
      <c r="C27" s="849"/>
      <c r="D27" s="849"/>
      <c r="E27" s="849"/>
      <c r="F27" s="849"/>
      <c r="G27" s="849"/>
    </row>
    <row r="28" spans="1:7" x14ac:dyDescent="0.25">
      <c r="A28" s="849"/>
      <c r="B28" s="849"/>
      <c r="C28" s="849"/>
      <c r="D28" s="849"/>
      <c r="E28" s="849"/>
      <c r="F28" s="849"/>
      <c r="G28" s="849"/>
    </row>
    <row r="29" spans="1:7" x14ac:dyDescent="0.25">
      <c r="A29" s="4"/>
    </row>
    <row r="30" spans="1:7" x14ac:dyDescent="0.25">
      <c r="A30" s="857" t="str">
        <f>CONCATENATE("Adopted this _________ day of ___________, ",inputPrYr!D5-1," by the ",(inputPrYr!D2)," Board, ",(inputPrYr!D3),", Kansas.")</f>
        <v>Adopted this _________ day of ___________, 2012 by the Delhi Township Board, Osborne County, Kansas.</v>
      </c>
      <c r="B30" s="849"/>
      <c r="C30" s="849"/>
      <c r="D30" s="849"/>
      <c r="E30" s="849"/>
      <c r="F30" s="849"/>
      <c r="G30" s="849"/>
    </row>
    <row r="31" spans="1:7" x14ac:dyDescent="0.25">
      <c r="A31" s="849"/>
      <c r="B31" s="849"/>
      <c r="C31" s="849"/>
      <c r="D31" s="849"/>
      <c r="E31" s="849"/>
      <c r="F31" s="849"/>
      <c r="G31" s="849"/>
    </row>
    <row r="32" spans="1:7" x14ac:dyDescent="0.25">
      <c r="A32" s="4"/>
    </row>
    <row r="33" spans="1:7" x14ac:dyDescent="0.25">
      <c r="D33" s="856" t="str">
        <f>CONCATENATE((inputPrYr!D2)," Board")</f>
        <v>Delhi Township Board</v>
      </c>
      <c r="E33" s="856"/>
      <c r="F33" s="856"/>
      <c r="G33" s="856"/>
    </row>
    <row r="35" spans="1:7" x14ac:dyDescent="0.25">
      <c r="D35" s="855" t="s">
        <v>134</v>
      </c>
      <c r="E35" s="855"/>
      <c r="F35" s="855"/>
      <c r="G35" s="855"/>
    </row>
    <row r="36" spans="1:7" x14ac:dyDescent="0.25">
      <c r="A36" s="5"/>
      <c r="D36" s="855" t="s">
        <v>138</v>
      </c>
      <c r="E36" s="855"/>
      <c r="F36" s="855"/>
      <c r="G36" s="855"/>
    </row>
    <row r="37" spans="1:7" x14ac:dyDescent="0.25">
      <c r="D37" s="855"/>
      <c r="E37" s="855"/>
      <c r="F37" s="855"/>
      <c r="G37" s="855"/>
    </row>
    <row r="38" spans="1:7" x14ac:dyDescent="0.25">
      <c r="D38" s="855" t="s">
        <v>134</v>
      </c>
      <c r="E38" s="855"/>
      <c r="F38" s="855"/>
      <c r="G38" s="855"/>
    </row>
    <row r="39" spans="1:7" x14ac:dyDescent="0.25">
      <c r="A39" s="4"/>
      <c r="D39" s="855" t="s">
        <v>139</v>
      </c>
      <c r="E39" s="855"/>
      <c r="F39" s="855"/>
      <c r="G39" s="855"/>
    </row>
    <row r="40" spans="1:7" x14ac:dyDescent="0.25">
      <c r="D40" s="855"/>
      <c r="E40" s="855"/>
      <c r="F40" s="855"/>
      <c r="G40" s="855"/>
    </row>
    <row r="41" spans="1:7" x14ac:dyDescent="0.25">
      <c r="D41" s="855" t="s">
        <v>137</v>
      </c>
      <c r="E41" s="855"/>
      <c r="F41" s="855"/>
      <c r="G41" s="855"/>
    </row>
    <row r="42" spans="1:7" x14ac:dyDescent="0.25">
      <c r="A42" s="4"/>
      <c r="D42" s="855" t="s">
        <v>140</v>
      </c>
      <c r="E42" s="855"/>
      <c r="F42" s="855"/>
      <c r="G42" s="855"/>
    </row>
    <row r="43" spans="1:7" x14ac:dyDescent="0.25">
      <c r="A43" s="6"/>
    </row>
    <row r="44" spans="1:7" x14ac:dyDescent="0.25">
      <c r="A44" s="6"/>
    </row>
    <row r="45" spans="1:7" x14ac:dyDescent="0.25">
      <c r="A45" s="6" t="s">
        <v>135</v>
      </c>
    </row>
    <row r="50" spans="3:4" x14ac:dyDescent="0.25">
      <c r="C50" s="10" t="s">
        <v>9</v>
      </c>
      <c r="D50" s="11"/>
    </row>
  </sheetData>
  <mergeCells count="18">
    <mergeCell ref="D42:G42"/>
    <mergeCell ref="D37:G37"/>
    <mergeCell ref="D38:G38"/>
    <mergeCell ref="D40:G40"/>
    <mergeCell ref="D41:G41"/>
    <mergeCell ref="D39:G39"/>
    <mergeCell ref="D35:G35"/>
    <mergeCell ref="A21:G22"/>
    <mergeCell ref="A26:G28"/>
    <mergeCell ref="D33:G33"/>
    <mergeCell ref="D36:G36"/>
    <mergeCell ref="A30:G31"/>
    <mergeCell ref="A18:G19"/>
    <mergeCell ref="A12:G13"/>
    <mergeCell ref="A14:G16"/>
    <mergeCell ref="A1:G1"/>
    <mergeCell ref="A3:G3"/>
    <mergeCell ref="A7:G8"/>
  </mergeCells>
  <phoneticPr fontId="11" type="noConversion"/>
  <pageMargins left="0.75" right="0.75" top="1" bottom="1" header="0.5" footer="0.5"/>
  <pageSetup scale="88"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85"/>
  <sheetViews>
    <sheetView workbookViewId="0">
      <selection activeCell="B3" sqref="B3"/>
    </sheetView>
  </sheetViews>
  <sheetFormatPr defaultRowHeight="15.75" x14ac:dyDescent="0.25"/>
  <cols>
    <col min="1" max="1" width="64.19921875" customWidth="1"/>
  </cols>
  <sheetData>
    <row r="3" spans="1:12" x14ac:dyDescent="0.25">
      <c r="A3" s="353" t="s">
        <v>382</v>
      </c>
      <c r="B3" s="353"/>
      <c r="C3" s="353"/>
      <c r="D3" s="353"/>
      <c r="E3" s="353"/>
      <c r="F3" s="353"/>
      <c r="G3" s="353"/>
      <c r="H3" s="353"/>
      <c r="I3" s="353"/>
      <c r="J3" s="353"/>
      <c r="K3" s="353"/>
      <c r="L3" s="353"/>
    </row>
    <row r="5" spans="1:12" x14ac:dyDescent="0.25">
      <c r="A5" s="352" t="s">
        <v>383</v>
      </c>
    </row>
    <row r="6" spans="1:12" x14ac:dyDescent="0.25">
      <c r="A6" s="352" t="str">
        <f>CONCATENATE(inputPrYr!D5-2," 'total expenditures' exceed your ",inputPrYr!D5-2," 'budget authority.'")</f>
        <v>2011 'total expenditures' exceed your 2011 'budget authority.'</v>
      </c>
    </row>
    <row r="7" spans="1:12" x14ac:dyDescent="0.25">
      <c r="A7" s="352"/>
    </row>
    <row r="8" spans="1:12" x14ac:dyDescent="0.25">
      <c r="A8" s="352" t="s">
        <v>384</v>
      </c>
    </row>
    <row r="9" spans="1:12" x14ac:dyDescent="0.25">
      <c r="A9" s="352" t="s">
        <v>385</v>
      </c>
    </row>
    <row r="10" spans="1:12" x14ac:dyDescent="0.25">
      <c r="A10" s="352" t="s">
        <v>386</v>
      </c>
    </row>
    <row r="11" spans="1:12" x14ac:dyDescent="0.25">
      <c r="A11" s="352"/>
    </row>
    <row r="12" spans="1:12" x14ac:dyDescent="0.25">
      <c r="A12" s="352"/>
    </row>
    <row r="13" spans="1:12" x14ac:dyDescent="0.25">
      <c r="A13" s="351" t="s">
        <v>387</v>
      </c>
    </row>
    <row r="15" spans="1:12" x14ac:dyDescent="0.25">
      <c r="A15" s="352" t="s">
        <v>388</v>
      </c>
    </row>
    <row r="16" spans="1:12" x14ac:dyDescent="0.25">
      <c r="A16" s="352" t="str">
        <f>CONCATENATE("(i.e. an audit has not been completed, or the ",inputPrYr!D5," adopted")</f>
        <v>(i.e. an audit has not been completed, or the 2013 adopted</v>
      </c>
    </row>
    <row r="17" spans="1:1" x14ac:dyDescent="0.25">
      <c r="A17" s="352" t="s">
        <v>389</v>
      </c>
    </row>
    <row r="18" spans="1:1" x14ac:dyDescent="0.25">
      <c r="A18" s="352" t="s">
        <v>390</v>
      </c>
    </row>
    <row r="19" spans="1:1" x14ac:dyDescent="0.25">
      <c r="A19" s="352" t="s">
        <v>391</v>
      </c>
    </row>
    <row r="21" spans="1:1" x14ac:dyDescent="0.25">
      <c r="A21" s="351" t="s">
        <v>392</v>
      </c>
    </row>
    <row r="22" spans="1:1" x14ac:dyDescent="0.25">
      <c r="A22" s="351"/>
    </row>
    <row r="23" spans="1:1" x14ac:dyDescent="0.25">
      <c r="A23" s="352" t="s">
        <v>393</v>
      </c>
    </row>
    <row r="24" spans="1:1" x14ac:dyDescent="0.25">
      <c r="A24" s="352" t="s">
        <v>394</v>
      </c>
    </row>
    <row r="25" spans="1:1" x14ac:dyDescent="0.25">
      <c r="A25" s="352" t="str">
        <f>CONCATENATE("particular fund.  If your ",inputPrYr!D5-2," budget was amended, did you")</f>
        <v>particular fund.  If your 2011 budget was amended, did you</v>
      </c>
    </row>
    <row r="26" spans="1:1" x14ac:dyDescent="0.25">
      <c r="A26" s="352" t="s">
        <v>395</v>
      </c>
    </row>
    <row r="27" spans="1:1" x14ac:dyDescent="0.25">
      <c r="A27" s="352"/>
    </row>
    <row r="28" spans="1:1" x14ac:dyDescent="0.25">
      <c r="A28" s="352" t="str">
        <f>CONCATENATE("Next, look to see if any of your ",inputPrYr!D5-2," expenditures can be")</f>
        <v>Next, look to see if any of your 2011 expenditures can be</v>
      </c>
    </row>
    <row r="29" spans="1:1" x14ac:dyDescent="0.25">
      <c r="A29" s="352" t="s">
        <v>396</v>
      </c>
    </row>
    <row r="30" spans="1:1" x14ac:dyDescent="0.25">
      <c r="A30" s="352" t="s">
        <v>397</v>
      </c>
    </row>
    <row r="31" spans="1:1" x14ac:dyDescent="0.25">
      <c r="A31" s="352" t="s">
        <v>398</v>
      </c>
    </row>
    <row r="32" spans="1:1" x14ac:dyDescent="0.25">
      <c r="A32" s="352"/>
    </row>
    <row r="33" spans="1:1" x14ac:dyDescent="0.25">
      <c r="A33" s="352" t="str">
        <f>CONCATENATE("Additionally, do your ",inputPrYr!D5-2," receipts contain a reimbursement")</f>
        <v>Additionally, do your 2011 receipts contain a reimbursement</v>
      </c>
    </row>
    <row r="34" spans="1:1" x14ac:dyDescent="0.25">
      <c r="A34" s="352" t="s">
        <v>399</v>
      </c>
    </row>
    <row r="35" spans="1:1" x14ac:dyDescent="0.25">
      <c r="A35" s="352" t="s">
        <v>400</v>
      </c>
    </row>
    <row r="36" spans="1:1" x14ac:dyDescent="0.25">
      <c r="A36" s="352"/>
    </row>
    <row r="37" spans="1:1" x14ac:dyDescent="0.25">
      <c r="A37" s="352" t="s">
        <v>401</v>
      </c>
    </row>
    <row r="38" spans="1:1" x14ac:dyDescent="0.25">
      <c r="A38" s="352" t="s">
        <v>587</v>
      </c>
    </row>
    <row r="39" spans="1:1" x14ac:dyDescent="0.25">
      <c r="A39" s="352" t="s">
        <v>588</v>
      </c>
    </row>
    <row r="40" spans="1:1" x14ac:dyDescent="0.25">
      <c r="A40" s="352" t="s">
        <v>402</v>
      </c>
    </row>
    <row r="41" spans="1:1" x14ac:dyDescent="0.25">
      <c r="A41" s="352" t="s">
        <v>403</v>
      </c>
    </row>
    <row r="42" spans="1:1" x14ac:dyDescent="0.25">
      <c r="A42" s="352" t="s">
        <v>404</v>
      </c>
    </row>
    <row r="43" spans="1:1" x14ac:dyDescent="0.25">
      <c r="A43" s="352" t="s">
        <v>405</v>
      </c>
    </row>
    <row r="44" spans="1:1" x14ac:dyDescent="0.25">
      <c r="A44" s="352" t="s">
        <v>406</v>
      </c>
    </row>
    <row r="45" spans="1:1" x14ac:dyDescent="0.25">
      <c r="A45" s="352"/>
    </row>
    <row r="46" spans="1:1" x14ac:dyDescent="0.25">
      <c r="A46" s="352" t="s">
        <v>407</v>
      </c>
    </row>
    <row r="47" spans="1:1" x14ac:dyDescent="0.25">
      <c r="A47" s="352" t="s">
        <v>408</v>
      </c>
    </row>
    <row r="48" spans="1:1" x14ac:dyDescent="0.25">
      <c r="A48" s="352" t="s">
        <v>409</v>
      </c>
    </row>
    <row r="49" spans="1:1" x14ac:dyDescent="0.25">
      <c r="A49" s="352"/>
    </row>
    <row r="50" spans="1:1" x14ac:dyDescent="0.25">
      <c r="A50" s="352" t="s">
        <v>410</v>
      </c>
    </row>
    <row r="51" spans="1:1" x14ac:dyDescent="0.25">
      <c r="A51" s="352" t="s">
        <v>411</v>
      </c>
    </row>
    <row r="52" spans="1:1" x14ac:dyDescent="0.25">
      <c r="A52" s="352" t="s">
        <v>412</v>
      </c>
    </row>
    <row r="53" spans="1:1" x14ac:dyDescent="0.25">
      <c r="A53" s="352"/>
    </row>
    <row r="54" spans="1:1" x14ac:dyDescent="0.25">
      <c r="A54" s="351" t="s">
        <v>413</v>
      </c>
    </row>
    <row r="55" spans="1:1" x14ac:dyDescent="0.25">
      <c r="A55" s="352"/>
    </row>
    <row r="56" spans="1:1" x14ac:dyDescent="0.25">
      <c r="A56" s="352" t="s">
        <v>414</v>
      </c>
    </row>
    <row r="57" spans="1:1" x14ac:dyDescent="0.25">
      <c r="A57" s="352" t="s">
        <v>415</v>
      </c>
    </row>
    <row r="58" spans="1:1" x14ac:dyDescent="0.25">
      <c r="A58" s="352" t="s">
        <v>416</v>
      </c>
    </row>
    <row r="59" spans="1:1" x14ac:dyDescent="0.25">
      <c r="A59" s="352" t="s">
        <v>417</v>
      </c>
    </row>
    <row r="60" spans="1:1" x14ac:dyDescent="0.25">
      <c r="A60" s="352" t="s">
        <v>418</v>
      </c>
    </row>
    <row r="61" spans="1:1" x14ac:dyDescent="0.25">
      <c r="A61" s="352" t="s">
        <v>419</v>
      </c>
    </row>
    <row r="62" spans="1:1" x14ac:dyDescent="0.25">
      <c r="A62" s="352" t="s">
        <v>420</v>
      </c>
    </row>
    <row r="63" spans="1:1" x14ac:dyDescent="0.25">
      <c r="A63" s="352" t="s">
        <v>421</v>
      </c>
    </row>
    <row r="64" spans="1:1" x14ac:dyDescent="0.25">
      <c r="A64" s="352" t="s">
        <v>422</v>
      </c>
    </row>
    <row r="65" spans="1:1" x14ac:dyDescent="0.25">
      <c r="A65" s="352" t="s">
        <v>423</v>
      </c>
    </row>
    <row r="66" spans="1:1" x14ac:dyDescent="0.25">
      <c r="A66" s="352" t="s">
        <v>424</v>
      </c>
    </row>
    <row r="67" spans="1:1" x14ac:dyDescent="0.25">
      <c r="A67" s="352" t="s">
        <v>425</v>
      </c>
    </row>
    <row r="68" spans="1:1" x14ac:dyDescent="0.25">
      <c r="A68" s="352" t="s">
        <v>426</v>
      </c>
    </row>
    <row r="69" spans="1:1" x14ac:dyDescent="0.25">
      <c r="A69" s="352"/>
    </row>
    <row r="70" spans="1:1" x14ac:dyDescent="0.25">
      <c r="A70" s="352" t="s">
        <v>427</v>
      </c>
    </row>
    <row r="71" spans="1:1" x14ac:dyDescent="0.25">
      <c r="A71" s="352" t="s">
        <v>428</v>
      </c>
    </row>
    <row r="72" spans="1:1" x14ac:dyDescent="0.25">
      <c r="A72" s="352" t="s">
        <v>429</v>
      </c>
    </row>
    <row r="73" spans="1:1" x14ac:dyDescent="0.25">
      <c r="A73" s="352"/>
    </row>
    <row r="74" spans="1:1" x14ac:dyDescent="0.25">
      <c r="A74" s="351" t="str">
        <f>CONCATENATE("What if the ",inputPrYr!D5-2," financial records have been closed?")</f>
        <v>What if the 2011 financial records have been closed?</v>
      </c>
    </row>
    <row r="76" spans="1:1" x14ac:dyDescent="0.25">
      <c r="A76" s="352" t="s">
        <v>430</v>
      </c>
    </row>
    <row r="77" spans="1:1" x14ac:dyDescent="0.25">
      <c r="A77" s="352" t="str">
        <f>CONCATENATE("(i.e. an audit for ",inputPrYr!D5-2," has been completed, or the ",inputPrYr!D5)</f>
        <v>(i.e. an audit for 2011 has been completed, or the 2013</v>
      </c>
    </row>
    <row r="78" spans="1:1" x14ac:dyDescent="0.25">
      <c r="A78" s="352" t="s">
        <v>431</v>
      </c>
    </row>
    <row r="79" spans="1:1" x14ac:dyDescent="0.25">
      <c r="A79" s="352" t="s">
        <v>432</v>
      </c>
    </row>
    <row r="80" spans="1:1" x14ac:dyDescent="0.25">
      <c r="A80" s="352"/>
    </row>
    <row r="81" spans="1:1" x14ac:dyDescent="0.25">
      <c r="A81" s="352" t="s">
        <v>433</v>
      </c>
    </row>
    <row r="82" spans="1:1" x14ac:dyDescent="0.25">
      <c r="A82" s="352" t="s">
        <v>434</v>
      </c>
    </row>
    <row r="83" spans="1:1" x14ac:dyDescent="0.25">
      <c r="A83" s="352" t="s">
        <v>435</v>
      </c>
    </row>
    <row r="84" spans="1:1" x14ac:dyDescent="0.25">
      <c r="A84" s="352"/>
    </row>
    <row r="85" spans="1:1" x14ac:dyDescent="0.25">
      <c r="A85" s="352" t="s">
        <v>436</v>
      </c>
    </row>
  </sheetData>
  <sheetProtection sheet="1"/>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J109"/>
  <sheetViews>
    <sheetView workbookViewId="0">
      <selection activeCell="C6" sqref="C6"/>
    </sheetView>
  </sheetViews>
  <sheetFormatPr defaultRowHeight="15.75" x14ac:dyDescent="0.25"/>
  <cols>
    <col min="1" max="1" width="64.19921875" customWidth="1"/>
  </cols>
  <sheetData>
    <row r="3" spans="1:10" x14ac:dyDescent="0.25">
      <c r="A3" s="353" t="s">
        <v>437</v>
      </c>
      <c r="B3" s="353"/>
      <c r="C3" s="353"/>
      <c r="D3" s="353"/>
      <c r="E3" s="353"/>
      <c r="F3" s="353"/>
      <c r="G3" s="353"/>
      <c r="H3" s="350"/>
      <c r="I3" s="350"/>
      <c r="J3" s="350"/>
    </row>
    <row r="5" spans="1:10" x14ac:dyDescent="0.25">
      <c r="A5" s="352" t="s">
        <v>438</v>
      </c>
    </row>
    <row r="6" spans="1:10" x14ac:dyDescent="0.25">
      <c r="A6" t="str">
        <f>CONCATENATE(inputPrYr!D5-2," expenditures show that you finished the year with a ")</f>
        <v xml:space="preserve">2011 expenditures show that you finished the year with a </v>
      </c>
    </row>
    <row r="7" spans="1:10" x14ac:dyDescent="0.25">
      <c r="A7" t="s">
        <v>439</v>
      </c>
    </row>
    <row r="9" spans="1:10" x14ac:dyDescent="0.25">
      <c r="A9" t="s">
        <v>440</v>
      </c>
    </row>
    <row r="10" spans="1:10" x14ac:dyDescent="0.25">
      <c r="A10" t="s">
        <v>441</v>
      </c>
    </row>
    <row r="11" spans="1:10" x14ac:dyDescent="0.25">
      <c r="A11" t="s">
        <v>442</v>
      </c>
    </row>
    <row r="13" spans="1:10" x14ac:dyDescent="0.25">
      <c r="A13" s="351" t="s">
        <v>443</v>
      </c>
    </row>
    <row r="14" spans="1:10" x14ac:dyDescent="0.25">
      <c r="A14" s="351"/>
    </row>
    <row r="15" spans="1:10" x14ac:dyDescent="0.25">
      <c r="A15" s="352" t="s">
        <v>444</v>
      </c>
    </row>
    <row r="16" spans="1:10" x14ac:dyDescent="0.25">
      <c r="A16" s="352" t="s">
        <v>445</v>
      </c>
    </row>
    <row r="17" spans="1:1" x14ac:dyDescent="0.25">
      <c r="A17" s="352" t="s">
        <v>446</v>
      </c>
    </row>
    <row r="18" spans="1:1" x14ac:dyDescent="0.25">
      <c r="A18" s="352"/>
    </row>
    <row r="19" spans="1:1" x14ac:dyDescent="0.25">
      <c r="A19" s="351" t="s">
        <v>447</v>
      </c>
    </row>
    <row r="20" spans="1:1" x14ac:dyDescent="0.25">
      <c r="A20" s="351"/>
    </row>
    <row r="21" spans="1:1" x14ac:dyDescent="0.25">
      <c r="A21" s="352" t="s">
        <v>448</v>
      </c>
    </row>
    <row r="22" spans="1:1" x14ac:dyDescent="0.25">
      <c r="A22" s="352" t="s">
        <v>449</v>
      </c>
    </row>
    <row r="23" spans="1:1" x14ac:dyDescent="0.25">
      <c r="A23" s="352" t="s">
        <v>450</v>
      </c>
    </row>
    <row r="24" spans="1:1" x14ac:dyDescent="0.25">
      <c r="A24" s="352"/>
    </row>
    <row r="25" spans="1:1" x14ac:dyDescent="0.25">
      <c r="A25" s="351" t="s">
        <v>451</v>
      </c>
    </row>
    <row r="26" spans="1:1" x14ac:dyDescent="0.25">
      <c r="A26" s="351"/>
    </row>
    <row r="27" spans="1:1" x14ac:dyDescent="0.25">
      <c r="A27" s="352" t="s">
        <v>452</v>
      </c>
    </row>
    <row r="28" spans="1:1" x14ac:dyDescent="0.25">
      <c r="A28" s="352" t="s">
        <v>453</v>
      </c>
    </row>
    <row r="29" spans="1:1" x14ac:dyDescent="0.25">
      <c r="A29" s="352" t="s">
        <v>454</v>
      </c>
    </row>
    <row r="30" spans="1:1" x14ac:dyDescent="0.25">
      <c r="A30" s="352"/>
    </row>
    <row r="31" spans="1:1" x14ac:dyDescent="0.25">
      <c r="A31" s="351" t="s">
        <v>455</v>
      </c>
    </row>
    <row r="32" spans="1:1" x14ac:dyDescent="0.25">
      <c r="A32" s="351"/>
    </row>
    <row r="33" spans="1:8" x14ac:dyDescent="0.25">
      <c r="A33" s="352" t="str">
        <f>CONCATENATE("If your financial records for ",inputPrYr!D5-2," are not closed")</f>
        <v>If your financial records for 2011 are not closed</v>
      </c>
      <c r="B33" s="352"/>
      <c r="C33" s="352"/>
      <c r="D33" s="352"/>
      <c r="E33" s="352"/>
      <c r="F33" s="352"/>
      <c r="G33" s="352"/>
      <c r="H33" s="352"/>
    </row>
    <row r="34" spans="1:8" x14ac:dyDescent="0.25">
      <c r="A34" s="352" t="str">
        <f>CONCATENATE("(i.e. an audit has not been completed, or the ",inputPrYr!D5," adopted ")</f>
        <v xml:space="preserve">(i.e. an audit has not been completed, or the 2013 adopted </v>
      </c>
      <c r="B34" s="352"/>
      <c r="C34" s="352"/>
      <c r="D34" s="352"/>
      <c r="E34" s="352"/>
      <c r="F34" s="352"/>
      <c r="G34" s="352"/>
      <c r="H34" s="352"/>
    </row>
    <row r="35" spans="1:8" x14ac:dyDescent="0.25">
      <c r="A35" s="352" t="s">
        <v>456</v>
      </c>
      <c r="B35" s="352"/>
      <c r="C35" s="352"/>
      <c r="D35" s="352"/>
      <c r="E35" s="352"/>
      <c r="F35" s="352"/>
      <c r="G35" s="352"/>
      <c r="H35" s="352"/>
    </row>
    <row r="36" spans="1:8" x14ac:dyDescent="0.25">
      <c r="A36" s="352" t="s">
        <v>457</v>
      </c>
      <c r="B36" s="352"/>
      <c r="C36" s="352"/>
      <c r="D36" s="352"/>
      <c r="E36" s="352"/>
      <c r="F36" s="352"/>
      <c r="G36" s="352"/>
      <c r="H36" s="352"/>
    </row>
    <row r="37" spans="1:8" x14ac:dyDescent="0.25">
      <c r="A37" s="352" t="s">
        <v>458</v>
      </c>
      <c r="B37" s="352"/>
      <c r="C37" s="352"/>
      <c r="D37" s="352"/>
      <c r="E37" s="352"/>
      <c r="F37" s="352"/>
      <c r="G37" s="352"/>
      <c r="H37" s="352"/>
    </row>
    <row r="38" spans="1:8" x14ac:dyDescent="0.25">
      <c r="A38" s="352" t="s">
        <v>459</v>
      </c>
      <c r="B38" s="352"/>
      <c r="C38" s="352"/>
      <c r="D38" s="352"/>
      <c r="E38" s="352"/>
      <c r="F38" s="352"/>
      <c r="G38" s="352"/>
      <c r="H38" s="352"/>
    </row>
    <row r="39" spans="1:8" x14ac:dyDescent="0.25">
      <c r="A39" s="352" t="s">
        <v>460</v>
      </c>
      <c r="B39" s="352"/>
      <c r="C39" s="352"/>
      <c r="D39" s="352"/>
      <c r="E39" s="352"/>
      <c r="F39" s="352"/>
      <c r="G39" s="352"/>
      <c r="H39" s="352"/>
    </row>
    <row r="40" spans="1:8" x14ac:dyDescent="0.25">
      <c r="A40" s="352"/>
      <c r="B40" s="352"/>
      <c r="C40" s="352"/>
      <c r="D40" s="352"/>
      <c r="E40" s="352"/>
      <c r="F40" s="352"/>
      <c r="G40" s="352"/>
      <c r="H40" s="352"/>
    </row>
    <row r="41" spans="1:8" x14ac:dyDescent="0.25">
      <c r="A41" s="352" t="s">
        <v>461</v>
      </c>
      <c r="B41" s="352"/>
      <c r="C41" s="352"/>
      <c r="D41" s="352"/>
      <c r="E41" s="352"/>
      <c r="F41" s="352"/>
      <c r="G41" s="352"/>
      <c r="H41" s="352"/>
    </row>
    <row r="42" spans="1:8" x14ac:dyDescent="0.25">
      <c r="A42" s="352" t="s">
        <v>462</v>
      </c>
      <c r="B42" s="352"/>
      <c r="C42" s="352"/>
      <c r="D42" s="352"/>
      <c r="E42" s="352"/>
      <c r="F42" s="352"/>
      <c r="G42" s="352"/>
      <c r="H42" s="352"/>
    </row>
    <row r="43" spans="1:8" x14ac:dyDescent="0.25">
      <c r="A43" s="352" t="s">
        <v>463</v>
      </c>
      <c r="B43" s="352"/>
      <c r="C43" s="352"/>
      <c r="D43" s="352"/>
      <c r="E43" s="352"/>
      <c r="F43" s="352"/>
      <c r="G43" s="352"/>
      <c r="H43" s="352"/>
    </row>
    <row r="44" spans="1:8" x14ac:dyDescent="0.25">
      <c r="A44" s="352" t="s">
        <v>464</v>
      </c>
      <c r="B44" s="352"/>
      <c r="C44" s="352"/>
      <c r="D44" s="352"/>
      <c r="E44" s="352"/>
      <c r="F44" s="352"/>
      <c r="G44" s="352"/>
      <c r="H44" s="352"/>
    </row>
    <row r="45" spans="1:8" x14ac:dyDescent="0.25">
      <c r="A45" s="352"/>
      <c r="B45" s="352"/>
      <c r="C45" s="352"/>
      <c r="D45" s="352"/>
      <c r="E45" s="352"/>
      <c r="F45" s="352"/>
      <c r="G45" s="352"/>
      <c r="H45" s="352"/>
    </row>
    <row r="46" spans="1:8" x14ac:dyDescent="0.25">
      <c r="A46" s="352" t="s">
        <v>465</v>
      </c>
      <c r="B46" s="352"/>
      <c r="C46" s="352"/>
      <c r="D46" s="352"/>
      <c r="E46" s="352"/>
      <c r="F46" s="352"/>
      <c r="G46" s="352"/>
      <c r="H46" s="352"/>
    </row>
    <row r="47" spans="1:8" x14ac:dyDescent="0.25">
      <c r="A47" s="352" t="s">
        <v>466</v>
      </c>
      <c r="B47" s="352"/>
      <c r="C47" s="352"/>
      <c r="D47" s="352"/>
      <c r="E47" s="352"/>
      <c r="F47" s="352"/>
      <c r="G47" s="352"/>
      <c r="H47" s="352"/>
    </row>
    <row r="48" spans="1:8" x14ac:dyDescent="0.25">
      <c r="A48" s="352" t="s">
        <v>467</v>
      </c>
      <c r="B48" s="352"/>
      <c r="C48" s="352"/>
      <c r="D48" s="352"/>
      <c r="E48" s="352"/>
      <c r="F48" s="352"/>
      <c r="G48" s="352"/>
      <c r="H48" s="352"/>
    </row>
    <row r="49" spans="1:8" x14ac:dyDescent="0.25">
      <c r="A49" s="352" t="s">
        <v>468</v>
      </c>
      <c r="B49" s="352"/>
      <c r="C49" s="352"/>
      <c r="D49" s="352"/>
      <c r="E49" s="352"/>
      <c r="F49" s="352"/>
      <c r="G49" s="352"/>
      <c r="H49" s="352"/>
    </row>
    <row r="50" spans="1:8" x14ac:dyDescent="0.25">
      <c r="A50" s="352" t="s">
        <v>469</v>
      </c>
      <c r="B50" s="352"/>
      <c r="C50" s="352"/>
      <c r="D50" s="352"/>
      <c r="E50" s="352"/>
      <c r="F50" s="352"/>
      <c r="G50" s="352"/>
      <c r="H50" s="352"/>
    </row>
    <row r="51" spans="1:8" x14ac:dyDescent="0.25">
      <c r="A51" s="352"/>
      <c r="B51" s="352"/>
      <c r="C51" s="352"/>
      <c r="D51" s="352"/>
      <c r="E51" s="352"/>
      <c r="F51" s="352"/>
      <c r="G51" s="352"/>
      <c r="H51" s="352"/>
    </row>
    <row r="52" spans="1:8" x14ac:dyDescent="0.25">
      <c r="A52" s="351" t="s">
        <v>470</v>
      </c>
      <c r="B52" s="351"/>
      <c r="C52" s="351"/>
      <c r="D52" s="351"/>
      <c r="E52" s="351"/>
      <c r="F52" s="351"/>
      <c r="G52" s="351"/>
      <c r="H52" s="352"/>
    </row>
    <row r="53" spans="1:8" x14ac:dyDescent="0.25">
      <c r="A53" s="351" t="s">
        <v>471</v>
      </c>
      <c r="B53" s="351"/>
      <c r="C53" s="351"/>
      <c r="D53" s="351"/>
      <c r="E53" s="351"/>
      <c r="F53" s="351"/>
      <c r="G53" s="351"/>
      <c r="H53" s="352"/>
    </row>
    <row r="54" spans="1:8" x14ac:dyDescent="0.25">
      <c r="A54" s="352"/>
      <c r="B54" s="352"/>
      <c r="C54" s="352"/>
      <c r="D54" s="352"/>
      <c r="E54" s="352"/>
      <c r="F54" s="352"/>
      <c r="G54" s="352"/>
      <c r="H54" s="352"/>
    </row>
    <row r="55" spans="1:8" x14ac:dyDescent="0.25">
      <c r="A55" s="352" t="s">
        <v>472</v>
      </c>
      <c r="B55" s="352"/>
      <c r="C55" s="352"/>
      <c r="D55" s="352"/>
      <c r="E55" s="352"/>
      <c r="F55" s="352"/>
      <c r="G55" s="352"/>
      <c r="H55" s="352"/>
    </row>
    <row r="56" spans="1:8" x14ac:dyDescent="0.25">
      <c r="A56" s="352" t="s">
        <v>473</v>
      </c>
      <c r="B56" s="352"/>
      <c r="C56" s="352"/>
      <c r="D56" s="352"/>
      <c r="E56" s="352"/>
      <c r="F56" s="352"/>
      <c r="G56" s="352"/>
      <c r="H56" s="352"/>
    </row>
    <row r="57" spans="1:8" x14ac:dyDescent="0.25">
      <c r="A57" s="352" t="s">
        <v>474</v>
      </c>
      <c r="B57" s="352"/>
      <c r="C57" s="352"/>
      <c r="D57" s="352"/>
      <c r="E57" s="352"/>
      <c r="F57" s="352"/>
      <c r="G57" s="352"/>
      <c r="H57" s="352"/>
    </row>
    <row r="58" spans="1:8" x14ac:dyDescent="0.25">
      <c r="A58" s="352" t="s">
        <v>475</v>
      </c>
      <c r="B58" s="352"/>
      <c r="C58" s="352"/>
      <c r="D58" s="352"/>
      <c r="E58" s="352"/>
      <c r="F58" s="352"/>
      <c r="G58" s="352"/>
      <c r="H58" s="352"/>
    </row>
    <row r="59" spans="1:8" x14ac:dyDescent="0.25">
      <c r="A59" s="352"/>
      <c r="B59" s="352"/>
      <c r="C59" s="352"/>
      <c r="D59" s="352"/>
      <c r="E59" s="352"/>
      <c r="F59" s="352"/>
      <c r="G59" s="352"/>
      <c r="H59" s="352"/>
    </row>
    <row r="60" spans="1:8" x14ac:dyDescent="0.25">
      <c r="A60" s="352" t="s">
        <v>476</v>
      </c>
      <c r="B60" s="352"/>
      <c r="C60" s="352"/>
      <c r="D60" s="352"/>
      <c r="E60" s="352"/>
      <c r="F60" s="352"/>
      <c r="G60" s="352"/>
      <c r="H60" s="352"/>
    </row>
    <row r="61" spans="1:8" x14ac:dyDescent="0.25">
      <c r="A61" s="352" t="s">
        <v>477</v>
      </c>
      <c r="B61" s="352"/>
      <c r="C61" s="352"/>
      <c r="D61" s="352"/>
      <c r="E61" s="352"/>
      <c r="F61" s="352"/>
      <c r="G61" s="352"/>
      <c r="H61" s="352"/>
    </row>
    <row r="62" spans="1:8" x14ac:dyDescent="0.25">
      <c r="A62" s="352" t="s">
        <v>478</v>
      </c>
      <c r="B62" s="352"/>
      <c r="C62" s="352"/>
      <c r="D62" s="352"/>
      <c r="E62" s="352"/>
      <c r="F62" s="352"/>
      <c r="G62" s="352"/>
      <c r="H62" s="352"/>
    </row>
    <row r="63" spans="1:8" x14ac:dyDescent="0.25">
      <c r="A63" s="352" t="s">
        <v>479</v>
      </c>
      <c r="B63" s="352"/>
      <c r="C63" s="352"/>
      <c r="D63" s="352"/>
      <c r="E63" s="352"/>
      <c r="F63" s="352"/>
      <c r="G63" s="352"/>
      <c r="H63" s="352"/>
    </row>
    <row r="64" spans="1:8" x14ac:dyDescent="0.25">
      <c r="A64" s="352" t="s">
        <v>480</v>
      </c>
      <c r="B64" s="352"/>
      <c r="C64" s="352"/>
      <c r="D64" s="352"/>
      <c r="E64" s="352"/>
      <c r="F64" s="352"/>
      <c r="G64" s="352"/>
      <c r="H64" s="352"/>
    </row>
    <row r="65" spans="1:8" x14ac:dyDescent="0.25">
      <c r="A65" s="352" t="s">
        <v>481</v>
      </c>
      <c r="B65" s="352"/>
      <c r="C65" s="352"/>
      <c r="D65" s="352"/>
      <c r="E65" s="352"/>
      <c r="F65" s="352"/>
      <c r="G65" s="352"/>
      <c r="H65" s="352"/>
    </row>
    <row r="66" spans="1:8" x14ac:dyDescent="0.25">
      <c r="A66" s="352"/>
      <c r="B66" s="352"/>
      <c r="C66" s="352"/>
      <c r="D66" s="352"/>
      <c r="E66" s="352"/>
      <c r="F66" s="352"/>
      <c r="G66" s="352"/>
      <c r="H66" s="352"/>
    </row>
    <row r="67" spans="1:8" x14ac:dyDescent="0.25">
      <c r="A67" s="352" t="s">
        <v>482</v>
      </c>
      <c r="B67" s="352"/>
      <c r="C67" s="352"/>
      <c r="D67" s="352"/>
      <c r="E67" s="352"/>
      <c r="F67" s="352"/>
      <c r="G67" s="352"/>
      <c r="H67" s="352"/>
    </row>
    <row r="68" spans="1:8" x14ac:dyDescent="0.25">
      <c r="A68" s="352" t="s">
        <v>483</v>
      </c>
      <c r="B68" s="352"/>
      <c r="C68" s="352"/>
      <c r="D68" s="352"/>
      <c r="E68" s="352"/>
      <c r="F68" s="352"/>
      <c r="G68" s="352"/>
      <c r="H68" s="352"/>
    </row>
    <row r="69" spans="1:8" x14ac:dyDescent="0.25">
      <c r="A69" s="352" t="s">
        <v>484</v>
      </c>
      <c r="B69" s="352"/>
      <c r="C69" s="352"/>
      <c r="D69" s="352"/>
      <c r="E69" s="352"/>
      <c r="F69" s="352"/>
      <c r="G69" s="352"/>
      <c r="H69" s="352"/>
    </row>
    <row r="70" spans="1:8" x14ac:dyDescent="0.25">
      <c r="A70" s="352" t="s">
        <v>485</v>
      </c>
      <c r="B70" s="352"/>
      <c r="C70" s="352"/>
      <c r="D70" s="352"/>
      <c r="E70" s="352"/>
      <c r="F70" s="352"/>
      <c r="G70" s="352"/>
      <c r="H70" s="352"/>
    </row>
    <row r="71" spans="1:8" x14ac:dyDescent="0.25">
      <c r="A71" s="352" t="s">
        <v>486</v>
      </c>
      <c r="B71" s="352"/>
      <c r="C71" s="352"/>
      <c r="D71" s="352"/>
      <c r="E71" s="352"/>
      <c r="F71" s="352"/>
      <c r="G71" s="352"/>
      <c r="H71" s="352"/>
    </row>
    <row r="72" spans="1:8" x14ac:dyDescent="0.25">
      <c r="A72" s="352" t="s">
        <v>487</v>
      </c>
      <c r="B72" s="352"/>
      <c r="C72" s="352"/>
      <c r="D72" s="352"/>
      <c r="E72" s="352"/>
      <c r="F72" s="352"/>
      <c r="G72" s="352"/>
      <c r="H72" s="352"/>
    </row>
    <row r="73" spans="1:8" x14ac:dyDescent="0.25">
      <c r="A73" s="352" t="s">
        <v>488</v>
      </c>
      <c r="B73" s="352"/>
      <c r="C73" s="352"/>
      <c r="D73" s="352"/>
      <c r="E73" s="352"/>
      <c r="F73" s="352"/>
      <c r="G73" s="352"/>
      <c r="H73" s="352"/>
    </row>
    <row r="74" spans="1:8" x14ac:dyDescent="0.25">
      <c r="A74" s="352"/>
      <c r="B74" s="352"/>
      <c r="C74" s="352"/>
      <c r="D74" s="352"/>
      <c r="E74" s="352"/>
      <c r="F74" s="352"/>
      <c r="G74" s="352"/>
      <c r="H74" s="352"/>
    </row>
    <row r="75" spans="1:8" x14ac:dyDescent="0.25">
      <c r="A75" s="352" t="s">
        <v>489</v>
      </c>
      <c r="B75" s="352"/>
      <c r="C75" s="352"/>
      <c r="D75" s="352"/>
      <c r="E75" s="352"/>
      <c r="F75" s="352"/>
      <c r="G75" s="352"/>
      <c r="H75" s="352"/>
    </row>
    <row r="76" spans="1:8" x14ac:dyDescent="0.25">
      <c r="A76" s="352" t="s">
        <v>490</v>
      </c>
      <c r="B76" s="352"/>
      <c r="C76" s="352"/>
      <c r="D76" s="352"/>
      <c r="E76" s="352"/>
      <c r="F76" s="352"/>
      <c r="G76" s="352"/>
      <c r="H76" s="352"/>
    </row>
    <row r="77" spans="1:8" x14ac:dyDescent="0.25">
      <c r="A77" s="352" t="s">
        <v>491</v>
      </c>
      <c r="B77" s="352"/>
      <c r="C77" s="352"/>
      <c r="D77" s="352"/>
      <c r="E77" s="352"/>
      <c r="F77" s="352"/>
      <c r="G77" s="352"/>
      <c r="H77" s="352"/>
    </row>
    <row r="78" spans="1:8" x14ac:dyDescent="0.25">
      <c r="A78" s="352"/>
      <c r="B78" s="352"/>
      <c r="C78" s="352"/>
      <c r="D78" s="352"/>
      <c r="E78" s="352"/>
      <c r="F78" s="352"/>
      <c r="G78" s="352"/>
      <c r="H78" s="352"/>
    </row>
    <row r="79" spans="1:8" x14ac:dyDescent="0.25">
      <c r="A79" s="352" t="s">
        <v>436</v>
      </c>
    </row>
    <row r="80" spans="1:8" x14ac:dyDescent="0.25">
      <c r="A80" s="351"/>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1" spans="1:1" x14ac:dyDescent="0.25">
      <c r="A91"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3" spans="1:1" x14ac:dyDescent="0.25">
      <c r="A103" s="352"/>
    </row>
    <row r="104" spans="1:1" x14ac:dyDescent="0.25">
      <c r="A104" s="352"/>
    </row>
    <row r="105" spans="1:1" x14ac:dyDescent="0.25">
      <c r="A105" s="352"/>
    </row>
    <row r="107" spans="1:1" x14ac:dyDescent="0.25">
      <c r="A107" s="351"/>
    </row>
    <row r="108" spans="1:1" x14ac:dyDescent="0.25">
      <c r="A108" s="351"/>
    </row>
    <row r="109" spans="1:1" x14ac:dyDescent="0.25">
      <c r="A109" s="351"/>
    </row>
  </sheetData>
  <sheetProtection sheet="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75"/>
  <sheetViews>
    <sheetView workbookViewId="0">
      <selection activeCell="B2" sqref="B2"/>
    </sheetView>
  </sheetViews>
  <sheetFormatPr defaultRowHeight="15.75" x14ac:dyDescent="0.25"/>
  <cols>
    <col min="1" max="1" width="64.19921875" customWidth="1"/>
  </cols>
  <sheetData>
    <row r="3" spans="1:12" x14ac:dyDescent="0.25">
      <c r="A3" s="353" t="s">
        <v>492</v>
      </c>
      <c r="B3" s="353"/>
      <c r="C3" s="353"/>
      <c r="D3" s="353"/>
      <c r="E3" s="353"/>
      <c r="F3" s="353"/>
      <c r="G3" s="353"/>
      <c r="H3" s="353"/>
      <c r="I3" s="353"/>
      <c r="J3" s="353"/>
      <c r="K3" s="353"/>
      <c r="L3" s="353"/>
    </row>
    <row r="4" spans="1:12" x14ac:dyDescent="0.25">
      <c r="A4" s="353"/>
      <c r="B4" s="353"/>
      <c r="C4" s="353"/>
      <c r="D4" s="353"/>
      <c r="E4" s="353"/>
      <c r="F4" s="353"/>
      <c r="G4" s="353"/>
      <c r="H4" s="353"/>
      <c r="I4" s="353"/>
      <c r="J4" s="353"/>
      <c r="K4" s="353"/>
      <c r="L4" s="353"/>
    </row>
    <row r="5" spans="1:12" x14ac:dyDescent="0.25">
      <c r="A5" s="352" t="s">
        <v>383</v>
      </c>
      <c r="I5" s="353"/>
      <c r="J5" s="353"/>
      <c r="K5" s="353"/>
      <c r="L5" s="353"/>
    </row>
    <row r="6" spans="1:12" x14ac:dyDescent="0.25">
      <c r="A6" s="352" t="str">
        <f>CONCATENATE("estimated ",inputPrYr!D5-1," 'total expenditures' exceed your ",inputPrYr!D5-1,"")</f>
        <v>estimated 2012 'total expenditures' exceed your 2012</v>
      </c>
      <c r="I6" s="353"/>
      <c r="J6" s="353"/>
      <c r="K6" s="353"/>
      <c r="L6" s="353"/>
    </row>
    <row r="7" spans="1:12" x14ac:dyDescent="0.25">
      <c r="A7" s="369" t="s">
        <v>493</v>
      </c>
      <c r="I7" s="353"/>
      <c r="J7" s="353"/>
      <c r="K7" s="353"/>
      <c r="L7" s="353"/>
    </row>
    <row r="8" spans="1:12" x14ac:dyDescent="0.25">
      <c r="A8" s="352"/>
      <c r="I8" s="353"/>
      <c r="J8" s="353"/>
      <c r="K8" s="353"/>
      <c r="L8" s="353"/>
    </row>
    <row r="9" spans="1:12" x14ac:dyDescent="0.25">
      <c r="A9" s="352" t="s">
        <v>494</v>
      </c>
      <c r="I9" s="353"/>
      <c r="J9" s="353"/>
      <c r="K9" s="353"/>
      <c r="L9" s="353"/>
    </row>
    <row r="10" spans="1:12" x14ac:dyDescent="0.25">
      <c r="A10" s="352" t="s">
        <v>495</v>
      </c>
      <c r="I10" s="353"/>
      <c r="J10" s="353"/>
      <c r="K10" s="353"/>
      <c r="L10" s="353"/>
    </row>
    <row r="11" spans="1:12" x14ac:dyDescent="0.25">
      <c r="A11" s="352" t="s">
        <v>496</v>
      </c>
      <c r="I11" s="353"/>
      <c r="J11" s="353"/>
      <c r="K11" s="353"/>
      <c r="L11" s="353"/>
    </row>
    <row r="12" spans="1:12" x14ac:dyDescent="0.25">
      <c r="A12" s="352" t="s">
        <v>497</v>
      </c>
      <c r="I12" s="353"/>
      <c r="J12" s="353"/>
      <c r="K12" s="353"/>
      <c r="L12" s="353"/>
    </row>
    <row r="13" spans="1:12" x14ac:dyDescent="0.25">
      <c r="A13" s="352" t="s">
        <v>498</v>
      </c>
      <c r="I13" s="353"/>
      <c r="J13" s="353"/>
      <c r="K13" s="353"/>
      <c r="L13" s="353"/>
    </row>
    <row r="14" spans="1:12" x14ac:dyDescent="0.25">
      <c r="A14" s="353"/>
      <c r="B14" s="353"/>
      <c r="C14" s="353"/>
      <c r="D14" s="353"/>
      <c r="E14" s="353"/>
      <c r="F14" s="353"/>
      <c r="G14" s="353"/>
      <c r="H14" s="353"/>
      <c r="I14" s="353"/>
      <c r="J14" s="353"/>
      <c r="K14" s="353"/>
      <c r="L14" s="353"/>
    </row>
    <row r="15" spans="1:12" x14ac:dyDescent="0.25">
      <c r="A15" s="351" t="s">
        <v>499</v>
      </c>
    </row>
    <row r="16" spans="1:12" x14ac:dyDescent="0.25">
      <c r="A16" s="351" t="s">
        <v>500</v>
      </c>
    </row>
    <row r="17" spans="1:7" x14ac:dyDescent="0.25">
      <c r="A17" s="351"/>
    </row>
    <row r="18" spans="1:7" x14ac:dyDescent="0.25">
      <c r="A18" s="352" t="s">
        <v>501</v>
      </c>
      <c r="B18" s="352"/>
      <c r="C18" s="352"/>
      <c r="D18" s="352"/>
      <c r="E18" s="352"/>
      <c r="F18" s="352"/>
      <c r="G18" s="352"/>
    </row>
    <row r="19" spans="1:7" x14ac:dyDescent="0.25">
      <c r="A19" s="352" t="str">
        <f>CONCATENATE("your ",inputPrYr!D5-1," numbers to see what steps might be necessary to")</f>
        <v>your 2012 numbers to see what steps might be necessary to</v>
      </c>
      <c r="B19" s="352"/>
      <c r="C19" s="352"/>
      <c r="D19" s="352"/>
      <c r="E19" s="352"/>
      <c r="F19" s="352"/>
      <c r="G19" s="352"/>
    </row>
    <row r="20" spans="1:7" x14ac:dyDescent="0.25">
      <c r="A20" s="352" t="s">
        <v>502</v>
      </c>
      <c r="B20" s="352"/>
      <c r="C20" s="352"/>
      <c r="D20" s="352"/>
      <c r="E20" s="352"/>
      <c r="F20" s="352"/>
      <c r="G20" s="352"/>
    </row>
    <row r="21" spans="1:7" x14ac:dyDescent="0.25">
      <c r="A21" s="352" t="s">
        <v>503</v>
      </c>
      <c r="B21" s="352"/>
      <c r="C21" s="352"/>
      <c r="D21" s="352"/>
      <c r="E21" s="352"/>
      <c r="F21" s="352"/>
      <c r="G21" s="352"/>
    </row>
    <row r="22" spans="1:7" x14ac:dyDescent="0.25">
      <c r="A22" s="352"/>
    </row>
    <row r="23" spans="1:7" x14ac:dyDescent="0.25">
      <c r="A23" s="351" t="s">
        <v>504</v>
      </c>
    </row>
    <row r="24" spans="1:7" x14ac:dyDescent="0.25">
      <c r="A24" s="351"/>
    </row>
    <row r="25" spans="1:7" x14ac:dyDescent="0.25">
      <c r="A25" s="352" t="s">
        <v>505</v>
      </c>
    </row>
    <row r="26" spans="1:7" x14ac:dyDescent="0.25">
      <c r="A26" s="352" t="s">
        <v>506</v>
      </c>
      <c r="B26" s="352"/>
      <c r="C26" s="352"/>
      <c r="D26" s="352"/>
      <c r="E26" s="352"/>
      <c r="F26" s="352"/>
    </row>
    <row r="27" spans="1:7" x14ac:dyDescent="0.25">
      <c r="A27" s="352" t="s">
        <v>507</v>
      </c>
      <c r="B27" s="352"/>
      <c r="C27" s="352"/>
      <c r="D27" s="352"/>
      <c r="E27" s="352"/>
      <c r="F27" s="352"/>
    </row>
    <row r="28" spans="1:7" x14ac:dyDescent="0.25">
      <c r="A28" s="352" t="s">
        <v>508</v>
      </c>
      <c r="B28" s="352"/>
      <c r="C28" s="352"/>
      <c r="D28" s="352"/>
      <c r="E28" s="352"/>
      <c r="F28" s="352"/>
    </row>
    <row r="29" spans="1:7" x14ac:dyDescent="0.25">
      <c r="A29" s="352"/>
      <c r="B29" s="352"/>
      <c r="C29" s="352"/>
      <c r="D29" s="352"/>
      <c r="E29" s="352"/>
      <c r="F29" s="352"/>
    </row>
    <row r="30" spans="1:7" x14ac:dyDescent="0.25">
      <c r="A30" s="351" t="s">
        <v>509</v>
      </c>
      <c r="B30" s="351"/>
      <c r="C30" s="351"/>
      <c r="D30" s="351"/>
      <c r="E30" s="351"/>
      <c r="F30" s="351"/>
      <c r="G30" s="351"/>
    </row>
    <row r="31" spans="1:7" x14ac:dyDescent="0.25">
      <c r="A31" s="351" t="s">
        <v>510</v>
      </c>
      <c r="B31" s="351"/>
      <c r="C31" s="351"/>
      <c r="D31" s="351"/>
      <c r="E31" s="351"/>
      <c r="F31" s="351"/>
      <c r="G31" s="351"/>
    </row>
    <row r="32" spans="1:7" x14ac:dyDescent="0.25">
      <c r="A32" s="352"/>
      <c r="B32" s="352"/>
      <c r="C32" s="352"/>
      <c r="D32" s="352"/>
      <c r="E32" s="352"/>
      <c r="F32" s="352"/>
    </row>
    <row r="33" spans="1:6" x14ac:dyDescent="0.25">
      <c r="A33" s="366" t="str">
        <f>CONCATENATE("Well, let's look to see if any of your ",inputPrYr!D5-1," expenditures can")</f>
        <v>Well, let's look to see if any of your 2012 expenditures can</v>
      </c>
      <c r="B33" s="352"/>
      <c r="C33" s="352"/>
      <c r="D33" s="352"/>
      <c r="E33" s="352"/>
      <c r="F33" s="352"/>
    </row>
    <row r="34" spans="1:6" x14ac:dyDescent="0.25">
      <c r="A34" s="366" t="s">
        <v>511</v>
      </c>
      <c r="B34" s="352"/>
      <c r="C34" s="352"/>
      <c r="D34" s="352"/>
      <c r="E34" s="352"/>
      <c r="F34" s="352"/>
    </row>
    <row r="35" spans="1:6" x14ac:dyDescent="0.25">
      <c r="A35" s="366" t="s">
        <v>397</v>
      </c>
      <c r="B35" s="352"/>
      <c r="C35" s="352"/>
      <c r="D35" s="352"/>
      <c r="E35" s="352"/>
      <c r="F35" s="352"/>
    </row>
    <row r="36" spans="1:6" x14ac:dyDescent="0.25">
      <c r="A36" s="366" t="s">
        <v>398</v>
      </c>
      <c r="B36" s="352"/>
      <c r="C36" s="352"/>
      <c r="D36" s="352"/>
      <c r="E36" s="352"/>
      <c r="F36" s="352"/>
    </row>
    <row r="37" spans="1:6" x14ac:dyDescent="0.25">
      <c r="A37" s="366"/>
      <c r="B37" s="352"/>
      <c r="C37" s="352"/>
      <c r="D37" s="352"/>
      <c r="E37" s="352"/>
      <c r="F37" s="352"/>
    </row>
    <row r="38" spans="1:6" x14ac:dyDescent="0.25">
      <c r="A38" s="366" t="str">
        <f>CONCATENATE("Additionally, do your ",inputPrYr!D5-1," receipts contain a reimbursement")</f>
        <v>Additionally, do your 2012 receipts contain a reimbursement</v>
      </c>
      <c r="B38" s="352"/>
      <c r="C38" s="352"/>
      <c r="D38" s="352"/>
      <c r="E38" s="352"/>
      <c r="F38" s="352"/>
    </row>
    <row r="39" spans="1:6" x14ac:dyDescent="0.25">
      <c r="A39" s="366" t="s">
        <v>399</v>
      </c>
      <c r="B39" s="352"/>
      <c r="C39" s="352"/>
      <c r="D39" s="352"/>
      <c r="E39" s="352"/>
      <c r="F39" s="352"/>
    </row>
    <row r="40" spans="1:6" x14ac:dyDescent="0.25">
      <c r="A40" s="366" t="s">
        <v>400</v>
      </c>
      <c r="B40" s="352"/>
      <c r="C40" s="352"/>
      <c r="D40" s="352"/>
      <c r="E40" s="352"/>
      <c r="F40" s="352"/>
    </row>
    <row r="41" spans="1:6" x14ac:dyDescent="0.25">
      <c r="A41" s="366"/>
      <c r="B41" s="352"/>
      <c r="C41" s="352"/>
      <c r="D41" s="352"/>
      <c r="E41" s="352"/>
      <c r="F41" s="352"/>
    </row>
    <row r="42" spans="1:6" x14ac:dyDescent="0.25">
      <c r="A42" s="366" t="s">
        <v>401</v>
      </c>
      <c r="B42" s="352"/>
      <c r="C42" s="352"/>
      <c r="D42" s="352"/>
      <c r="E42" s="352"/>
      <c r="F42" s="352"/>
    </row>
    <row r="43" spans="1:6" x14ac:dyDescent="0.25">
      <c r="A43" s="366" t="s">
        <v>587</v>
      </c>
      <c r="B43" s="352"/>
      <c r="C43" s="352"/>
      <c r="D43" s="352"/>
      <c r="E43" s="352"/>
      <c r="F43" s="352"/>
    </row>
    <row r="44" spans="1:6" x14ac:dyDescent="0.25">
      <c r="A44" s="366" t="s">
        <v>588</v>
      </c>
      <c r="B44" s="352"/>
      <c r="C44" s="352"/>
      <c r="D44" s="352"/>
      <c r="E44" s="352"/>
      <c r="F44" s="352"/>
    </row>
    <row r="45" spans="1:6" x14ac:dyDescent="0.25">
      <c r="A45" s="366" t="s">
        <v>512</v>
      </c>
      <c r="B45" s="352"/>
      <c r="C45" s="352"/>
      <c r="D45" s="352"/>
      <c r="E45" s="352"/>
      <c r="F45" s="352"/>
    </row>
    <row r="46" spans="1:6" x14ac:dyDescent="0.25">
      <c r="A46" s="366" t="s">
        <v>403</v>
      </c>
      <c r="B46" s="352"/>
      <c r="C46" s="352"/>
      <c r="D46" s="352"/>
      <c r="E46" s="352"/>
      <c r="F46" s="352"/>
    </row>
    <row r="47" spans="1:6" x14ac:dyDescent="0.25">
      <c r="A47" s="366" t="s">
        <v>513</v>
      </c>
      <c r="B47" s="352"/>
      <c r="C47" s="352"/>
      <c r="D47" s="352"/>
      <c r="E47" s="352"/>
      <c r="F47" s="352"/>
    </row>
    <row r="48" spans="1:6" x14ac:dyDescent="0.25">
      <c r="A48" s="366" t="s">
        <v>514</v>
      </c>
      <c r="B48" s="352"/>
      <c r="C48" s="352"/>
      <c r="D48" s="352"/>
      <c r="E48" s="352"/>
      <c r="F48" s="352"/>
    </row>
    <row r="49" spans="1:6" x14ac:dyDescent="0.25">
      <c r="A49" s="366" t="s">
        <v>406</v>
      </c>
      <c r="B49" s="352"/>
      <c r="C49" s="352"/>
      <c r="D49" s="352"/>
      <c r="E49" s="352"/>
      <c r="F49" s="352"/>
    </row>
    <row r="50" spans="1:6" x14ac:dyDescent="0.25">
      <c r="A50" s="366"/>
      <c r="B50" s="352"/>
      <c r="C50" s="352"/>
      <c r="D50" s="352"/>
      <c r="E50" s="352"/>
      <c r="F50" s="352"/>
    </row>
    <row r="51" spans="1:6" x14ac:dyDescent="0.25">
      <c r="A51" s="366" t="s">
        <v>407</v>
      </c>
      <c r="B51" s="352"/>
      <c r="C51" s="352"/>
      <c r="D51" s="352"/>
      <c r="E51" s="352"/>
      <c r="F51" s="352"/>
    </row>
    <row r="52" spans="1:6" x14ac:dyDescent="0.25">
      <c r="A52" s="366" t="s">
        <v>408</v>
      </c>
      <c r="B52" s="352"/>
      <c r="C52" s="352"/>
      <c r="D52" s="352"/>
      <c r="E52" s="352"/>
      <c r="F52" s="352"/>
    </row>
    <row r="53" spans="1:6" x14ac:dyDescent="0.25">
      <c r="A53" s="366" t="s">
        <v>409</v>
      </c>
      <c r="B53" s="352"/>
      <c r="C53" s="352"/>
      <c r="D53" s="352"/>
      <c r="E53" s="352"/>
      <c r="F53" s="352"/>
    </row>
    <row r="54" spans="1:6" x14ac:dyDescent="0.25">
      <c r="A54" s="366"/>
      <c r="B54" s="352"/>
      <c r="C54" s="352"/>
      <c r="D54" s="352"/>
      <c r="E54" s="352"/>
      <c r="F54" s="352"/>
    </row>
    <row r="55" spans="1:6" x14ac:dyDescent="0.25">
      <c r="A55" s="366" t="s">
        <v>515</v>
      </c>
      <c r="B55" s="352"/>
      <c r="C55" s="352"/>
      <c r="D55" s="352"/>
      <c r="E55" s="352"/>
      <c r="F55" s="352"/>
    </row>
    <row r="56" spans="1:6" x14ac:dyDescent="0.25">
      <c r="A56" s="366" t="s">
        <v>516</v>
      </c>
      <c r="B56" s="352"/>
      <c r="C56" s="352"/>
      <c r="D56" s="352"/>
      <c r="E56" s="352"/>
      <c r="F56" s="352"/>
    </row>
    <row r="57" spans="1:6" x14ac:dyDescent="0.25">
      <c r="A57" s="366" t="s">
        <v>517</v>
      </c>
      <c r="B57" s="352"/>
      <c r="C57" s="352"/>
      <c r="D57" s="352"/>
      <c r="E57" s="352"/>
      <c r="F57" s="352"/>
    </row>
    <row r="58" spans="1:6" x14ac:dyDescent="0.25">
      <c r="A58" s="366" t="s">
        <v>518</v>
      </c>
      <c r="B58" s="352"/>
      <c r="C58" s="352"/>
      <c r="D58" s="352"/>
      <c r="E58" s="352"/>
      <c r="F58" s="352"/>
    </row>
    <row r="59" spans="1:6" x14ac:dyDescent="0.25">
      <c r="A59" s="366" t="s">
        <v>519</v>
      </c>
      <c r="B59" s="352"/>
      <c r="C59" s="352"/>
      <c r="D59" s="352"/>
      <c r="E59" s="352"/>
      <c r="F59" s="352"/>
    </row>
    <row r="60" spans="1:6" x14ac:dyDescent="0.25">
      <c r="A60" s="366"/>
      <c r="B60" s="352"/>
      <c r="C60" s="352"/>
      <c r="D60" s="352"/>
      <c r="E60" s="352"/>
      <c r="F60" s="352"/>
    </row>
    <row r="61" spans="1:6" x14ac:dyDescent="0.25">
      <c r="A61" s="367" t="s">
        <v>520</v>
      </c>
      <c r="B61" s="352"/>
      <c r="C61" s="352"/>
      <c r="D61" s="352"/>
      <c r="E61" s="352"/>
      <c r="F61" s="352"/>
    </row>
    <row r="62" spans="1:6" x14ac:dyDescent="0.25">
      <c r="A62" s="367" t="s">
        <v>521</v>
      </c>
      <c r="B62" s="352"/>
      <c r="C62" s="352"/>
      <c r="D62" s="352"/>
      <c r="E62" s="352"/>
      <c r="F62" s="352"/>
    </row>
    <row r="63" spans="1:6" x14ac:dyDescent="0.25">
      <c r="A63" s="367" t="s">
        <v>522</v>
      </c>
      <c r="B63" s="352"/>
      <c r="C63" s="352"/>
      <c r="D63" s="352"/>
      <c r="E63" s="352"/>
      <c r="F63" s="352"/>
    </row>
    <row r="64" spans="1:6" x14ac:dyDescent="0.25">
      <c r="A64" s="367" t="s">
        <v>523</v>
      </c>
    </row>
    <row r="65" spans="1:1" x14ac:dyDescent="0.25">
      <c r="A65" s="367" t="s">
        <v>524</v>
      </c>
    </row>
    <row r="66" spans="1:1" x14ac:dyDescent="0.25">
      <c r="A66" s="367" t="s">
        <v>525</v>
      </c>
    </row>
    <row r="68" spans="1:1" x14ac:dyDescent="0.25">
      <c r="A68" s="352" t="s">
        <v>526</v>
      </c>
    </row>
    <row r="69" spans="1:1" x14ac:dyDescent="0.25">
      <c r="A69" s="352" t="s">
        <v>527</v>
      </c>
    </row>
    <row r="70" spans="1:1" x14ac:dyDescent="0.25">
      <c r="A70" s="352" t="s">
        <v>528</v>
      </c>
    </row>
    <row r="71" spans="1:1" x14ac:dyDescent="0.25">
      <c r="A71" s="352" t="s">
        <v>529</v>
      </c>
    </row>
    <row r="72" spans="1:1" x14ac:dyDescent="0.25">
      <c r="A72" s="352" t="s">
        <v>530</v>
      </c>
    </row>
    <row r="73" spans="1:1" x14ac:dyDescent="0.25">
      <c r="A73" s="352" t="s">
        <v>531</v>
      </c>
    </row>
    <row r="75" spans="1:1" x14ac:dyDescent="0.25">
      <c r="A75" s="352" t="s">
        <v>436</v>
      </c>
    </row>
  </sheetData>
  <sheetProtection sheet="1"/>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G106"/>
  <sheetViews>
    <sheetView workbookViewId="0">
      <selection activeCell="C6" sqref="C6"/>
    </sheetView>
  </sheetViews>
  <sheetFormatPr defaultRowHeight="15.75" x14ac:dyDescent="0.25"/>
  <cols>
    <col min="1" max="1" width="64.19921875" customWidth="1"/>
  </cols>
  <sheetData>
    <row r="3" spans="1:7" x14ac:dyDescent="0.25">
      <c r="A3" s="353" t="s">
        <v>532</v>
      </c>
      <c r="B3" s="353"/>
      <c r="C3" s="353"/>
      <c r="D3" s="353"/>
      <c r="E3" s="353"/>
      <c r="F3" s="353"/>
      <c r="G3" s="353"/>
    </row>
    <row r="4" spans="1:7" x14ac:dyDescent="0.25">
      <c r="A4" s="353"/>
      <c r="B4" s="353"/>
      <c r="C4" s="353"/>
      <c r="D4" s="353"/>
      <c r="E4" s="353"/>
      <c r="F4" s="353"/>
      <c r="G4" s="353"/>
    </row>
    <row r="5" spans="1:7" x14ac:dyDescent="0.25">
      <c r="A5" s="352" t="s">
        <v>438</v>
      </c>
    </row>
    <row r="6" spans="1:7" x14ac:dyDescent="0.25">
      <c r="A6" s="352" t="str">
        <f>CONCATENATE(inputPrYr!D5," estimated expenditures show that at the end of this year")</f>
        <v>2013 estimated expenditures show that at the end of this year</v>
      </c>
    </row>
    <row r="7" spans="1:7" x14ac:dyDescent="0.25">
      <c r="A7" s="352" t="s">
        <v>533</v>
      </c>
    </row>
    <row r="8" spans="1:7" x14ac:dyDescent="0.25">
      <c r="A8" s="352" t="s">
        <v>534</v>
      </c>
    </row>
    <row r="10" spans="1:7" x14ac:dyDescent="0.25">
      <c r="A10" t="s">
        <v>440</v>
      </c>
    </row>
    <row r="11" spans="1:7" x14ac:dyDescent="0.25">
      <c r="A11" t="s">
        <v>441</v>
      </c>
    </row>
    <row r="12" spans="1:7" x14ac:dyDescent="0.25">
      <c r="A12" t="s">
        <v>442</v>
      </c>
    </row>
    <row r="13" spans="1:7" x14ac:dyDescent="0.25">
      <c r="A13" s="353"/>
      <c r="B13" s="353"/>
      <c r="C13" s="353"/>
      <c r="D13" s="353"/>
      <c r="E13" s="353"/>
      <c r="F13" s="353"/>
      <c r="G13" s="353"/>
    </row>
    <row r="14" spans="1:7" x14ac:dyDescent="0.25">
      <c r="A14" s="351" t="s">
        <v>535</v>
      </c>
    </row>
    <row r="15" spans="1:7" x14ac:dyDescent="0.25">
      <c r="A15" s="352"/>
    </row>
    <row r="16" spans="1:7" x14ac:dyDescent="0.25">
      <c r="A16" s="352" t="s">
        <v>536</v>
      </c>
    </row>
    <row r="17" spans="1:7" x14ac:dyDescent="0.25">
      <c r="A17" s="352" t="s">
        <v>537</v>
      </c>
    </row>
    <row r="18" spans="1:7" x14ac:dyDescent="0.25">
      <c r="A18" s="352" t="s">
        <v>538</v>
      </c>
    </row>
    <row r="19" spans="1:7" x14ac:dyDescent="0.25">
      <c r="A19" s="352"/>
    </row>
    <row r="20" spans="1:7" x14ac:dyDescent="0.25">
      <c r="A20" s="352" t="s">
        <v>539</v>
      </c>
    </row>
    <row r="21" spans="1:7" x14ac:dyDescent="0.25">
      <c r="A21" s="352" t="s">
        <v>540</v>
      </c>
    </row>
    <row r="22" spans="1:7" x14ac:dyDescent="0.25">
      <c r="A22" s="352" t="s">
        <v>541</v>
      </c>
    </row>
    <row r="23" spans="1:7" x14ac:dyDescent="0.25">
      <c r="A23" s="352" t="s">
        <v>542</v>
      </c>
    </row>
    <row r="24" spans="1:7" x14ac:dyDescent="0.25">
      <c r="A24" s="352"/>
    </row>
    <row r="25" spans="1:7" x14ac:dyDescent="0.25">
      <c r="A25" s="351" t="s">
        <v>504</v>
      </c>
    </row>
    <row r="26" spans="1:7" x14ac:dyDescent="0.25">
      <c r="A26" s="351"/>
    </row>
    <row r="27" spans="1:7" x14ac:dyDescent="0.25">
      <c r="A27" s="352" t="s">
        <v>505</v>
      </c>
    </row>
    <row r="28" spans="1:7" x14ac:dyDescent="0.25">
      <c r="A28" s="352" t="s">
        <v>506</v>
      </c>
      <c r="B28" s="352"/>
      <c r="C28" s="352"/>
      <c r="D28" s="352"/>
      <c r="E28" s="352"/>
      <c r="F28" s="352"/>
    </row>
    <row r="29" spans="1:7" x14ac:dyDescent="0.25">
      <c r="A29" s="352" t="s">
        <v>507</v>
      </c>
      <c r="B29" s="352"/>
      <c r="C29" s="352"/>
      <c r="D29" s="352"/>
      <c r="E29" s="352"/>
      <c r="F29" s="352"/>
    </row>
    <row r="30" spans="1:7" x14ac:dyDescent="0.25">
      <c r="A30" s="352" t="s">
        <v>508</v>
      </c>
      <c r="B30" s="352"/>
      <c r="C30" s="352"/>
      <c r="D30" s="352"/>
      <c r="E30" s="352"/>
      <c r="F30" s="352"/>
    </row>
    <row r="31" spans="1:7" x14ac:dyDescent="0.25">
      <c r="A31" s="352"/>
    </row>
    <row r="32" spans="1:7" x14ac:dyDescent="0.25">
      <c r="A32" s="351" t="s">
        <v>509</v>
      </c>
      <c r="B32" s="351"/>
      <c r="C32" s="351"/>
      <c r="D32" s="351"/>
      <c r="E32" s="351"/>
      <c r="F32" s="351"/>
      <c r="G32" s="351"/>
    </row>
    <row r="33" spans="1:7" x14ac:dyDescent="0.25">
      <c r="A33" s="351" t="s">
        <v>510</v>
      </c>
      <c r="B33" s="351"/>
      <c r="C33" s="351"/>
      <c r="D33" s="351"/>
      <c r="E33" s="351"/>
      <c r="F33" s="351"/>
      <c r="G33" s="351"/>
    </row>
    <row r="34" spans="1:7" x14ac:dyDescent="0.25">
      <c r="A34" s="351"/>
      <c r="B34" s="351"/>
      <c r="C34" s="351"/>
      <c r="D34" s="351"/>
      <c r="E34" s="351"/>
      <c r="F34" s="351"/>
      <c r="G34" s="351"/>
    </row>
    <row r="35" spans="1:7" x14ac:dyDescent="0.25">
      <c r="A35" s="352" t="s">
        <v>543</v>
      </c>
      <c r="B35" s="352"/>
      <c r="C35" s="352"/>
      <c r="D35" s="352"/>
      <c r="E35" s="352"/>
      <c r="F35" s="352"/>
      <c r="G35" s="352"/>
    </row>
    <row r="36" spans="1:7" x14ac:dyDescent="0.25">
      <c r="A36" s="352" t="s">
        <v>544</v>
      </c>
      <c r="B36" s="352"/>
      <c r="C36" s="352"/>
      <c r="D36" s="352"/>
      <c r="E36" s="352"/>
      <c r="F36" s="352"/>
      <c r="G36" s="352"/>
    </row>
    <row r="37" spans="1:7" x14ac:dyDescent="0.25">
      <c r="A37" s="352" t="s">
        <v>545</v>
      </c>
      <c r="B37" s="352"/>
      <c r="C37" s="352"/>
      <c r="D37" s="352"/>
      <c r="E37" s="352"/>
      <c r="F37" s="352"/>
      <c r="G37" s="352"/>
    </row>
    <row r="38" spans="1:7" x14ac:dyDescent="0.25">
      <c r="A38" s="352" t="s">
        <v>546</v>
      </c>
      <c r="B38" s="352"/>
      <c r="C38" s="352"/>
      <c r="D38" s="352"/>
      <c r="E38" s="352"/>
      <c r="F38" s="352"/>
      <c r="G38" s="352"/>
    </row>
    <row r="39" spans="1:7" x14ac:dyDescent="0.25">
      <c r="A39" s="352" t="s">
        <v>547</v>
      </c>
      <c r="B39" s="352"/>
      <c r="C39" s="352"/>
      <c r="D39" s="352"/>
      <c r="E39" s="352"/>
      <c r="F39" s="352"/>
      <c r="G39" s="352"/>
    </row>
    <row r="40" spans="1:7" x14ac:dyDescent="0.25">
      <c r="A40" s="351"/>
      <c r="B40" s="351"/>
      <c r="C40" s="351"/>
      <c r="D40" s="351"/>
      <c r="E40" s="351"/>
      <c r="F40" s="351"/>
      <c r="G40" s="351"/>
    </row>
    <row r="41" spans="1:7" x14ac:dyDescent="0.25">
      <c r="A41" s="366" t="str">
        <f>CONCATENATE("So, let's look to see if any of your ",inputPrYr!D5-1," expenditures can")</f>
        <v>So, let's look to see if any of your 2012 expenditures can</v>
      </c>
      <c r="B41" s="352"/>
      <c r="C41" s="352"/>
      <c r="D41" s="352"/>
      <c r="E41" s="352"/>
      <c r="F41" s="352"/>
    </row>
    <row r="42" spans="1:7" x14ac:dyDescent="0.25">
      <c r="A42" s="366" t="s">
        <v>511</v>
      </c>
      <c r="B42" s="352"/>
      <c r="C42" s="352"/>
      <c r="D42" s="352"/>
      <c r="E42" s="352"/>
      <c r="F42" s="352"/>
    </row>
    <row r="43" spans="1:7" x14ac:dyDescent="0.25">
      <c r="A43" s="366" t="s">
        <v>397</v>
      </c>
      <c r="B43" s="352"/>
      <c r="C43" s="352"/>
      <c r="D43" s="352"/>
      <c r="E43" s="352"/>
      <c r="F43" s="352"/>
    </row>
    <row r="44" spans="1:7" x14ac:dyDescent="0.25">
      <c r="A44" s="366" t="s">
        <v>398</v>
      </c>
      <c r="B44" s="352"/>
      <c r="C44" s="352"/>
      <c r="D44" s="352"/>
      <c r="E44" s="352"/>
      <c r="F44" s="352"/>
    </row>
    <row r="45" spans="1:7" x14ac:dyDescent="0.25">
      <c r="A45" s="352"/>
    </row>
    <row r="46" spans="1:7" x14ac:dyDescent="0.25">
      <c r="A46" s="366" t="str">
        <f>CONCATENATE("Additionally, do your ",inputPrYr!D5-1," receipts contain a reimbursement")</f>
        <v>Additionally, do your 2012 receipts contain a reimbursement</v>
      </c>
      <c r="B46" s="352"/>
      <c r="C46" s="352"/>
      <c r="D46" s="352"/>
      <c r="E46" s="352"/>
      <c r="F46" s="352"/>
    </row>
    <row r="47" spans="1:7" x14ac:dyDescent="0.25">
      <c r="A47" s="366" t="s">
        <v>399</v>
      </c>
      <c r="B47" s="352"/>
      <c r="C47" s="352"/>
      <c r="D47" s="352"/>
      <c r="E47" s="352"/>
      <c r="F47" s="352"/>
    </row>
    <row r="48" spans="1:7" x14ac:dyDescent="0.25">
      <c r="A48" s="366" t="s">
        <v>400</v>
      </c>
      <c r="B48" s="352"/>
      <c r="C48" s="352"/>
      <c r="D48" s="352"/>
      <c r="E48" s="352"/>
      <c r="F48" s="352"/>
    </row>
    <row r="49" spans="1:7" x14ac:dyDescent="0.25">
      <c r="A49" s="352"/>
      <c r="B49" s="352"/>
      <c r="C49" s="352"/>
      <c r="D49" s="352"/>
      <c r="E49" s="352"/>
      <c r="F49" s="352"/>
      <c r="G49" s="352"/>
    </row>
    <row r="50" spans="1:7" x14ac:dyDescent="0.25">
      <c r="A50" s="352" t="s">
        <v>465</v>
      </c>
      <c r="B50" s="352"/>
      <c r="C50" s="352"/>
      <c r="D50" s="352"/>
      <c r="E50" s="352"/>
      <c r="F50" s="352"/>
      <c r="G50" s="352"/>
    </row>
    <row r="51" spans="1:7" x14ac:dyDescent="0.25">
      <c r="A51" s="352" t="s">
        <v>466</v>
      </c>
      <c r="B51" s="352"/>
      <c r="C51" s="352"/>
      <c r="D51" s="352"/>
      <c r="E51" s="352"/>
      <c r="F51" s="352"/>
      <c r="G51" s="352"/>
    </row>
    <row r="52" spans="1:7" x14ac:dyDescent="0.25">
      <c r="A52" s="352" t="s">
        <v>467</v>
      </c>
      <c r="B52" s="352"/>
      <c r="C52" s="352"/>
      <c r="D52" s="352"/>
      <c r="E52" s="352"/>
      <c r="F52" s="352"/>
      <c r="G52" s="352"/>
    </row>
    <row r="53" spans="1:7" x14ac:dyDescent="0.25">
      <c r="A53" s="352" t="s">
        <v>468</v>
      </c>
      <c r="B53" s="352"/>
      <c r="C53" s="352"/>
      <c r="D53" s="352"/>
      <c r="E53" s="352"/>
      <c r="F53" s="352"/>
      <c r="G53" s="352"/>
    </row>
    <row r="54" spans="1:7" x14ac:dyDescent="0.25">
      <c r="A54" s="352" t="s">
        <v>469</v>
      </c>
      <c r="B54" s="352"/>
      <c r="C54" s="352"/>
      <c r="D54" s="352"/>
      <c r="E54" s="352"/>
      <c r="F54" s="352"/>
      <c r="G54" s="352"/>
    </row>
    <row r="55" spans="1:7" x14ac:dyDescent="0.25">
      <c r="A55" s="352"/>
      <c r="B55" s="352"/>
      <c r="C55" s="352"/>
      <c r="D55" s="352"/>
      <c r="E55" s="352"/>
      <c r="F55" s="352"/>
      <c r="G55" s="352"/>
    </row>
    <row r="56" spans="1:7" x14ac:dyDescent="0.25">
      <c r="A56" s="366" t="s">
        <v>407</v>
      </c>
      <c r="B56" s="352"/>
      <c r="C56" s="352"/>
      <c r="D56" s="352"/>
      <c r="E56" s="352"/>
      <c r="F56" s="352"/>
    </row>
    <row r="57" spans="1:7" x14ac:dyDescent="0.25">
      <c r="A57" s="366" t="s">
        <v>408</v>
      </c>
      <c r="B57" s="352"/>
      <c r="C57" s="352"/>
      <c r="D57" s="352"/>
      <c r="E57" s="352"/>
      <c r="F57" s="352"/>
    </row>
    <row r="58" spans="1:7" x14ac:dyDescent="0.25">
      <c r="A58" s="366" t="s">
        <v>409</v>
      </c>
      <c r="B58" s="352"/>
      <c r="C58" s="352"/>
      <c r="D58" s="352"/>
      <c r="E58" s="352"/>
      <c r="F58" s="352"/>
    </row>
    <row r="59" spans="1:7" x14ac:dyDescent="0.25">
      <c r="A59" s="366"/>
      <c r="B59" s="352"/>
      <c r="C59" s="352"/>
      <c r="D59" s="352"/>
      <c r="E59" s="352"/>
      <c r="F59" s="352"/>
    </row>
    <row r="60" spans="1:7" x14ac:dyDescent="0.25">
      <c r="A60" s="352" t="s">
        <v>548</v>
      </c>
      <c r="B60" s="352"/>
      <c r="C60" s="352"/>
      <c r="D60" s="352"/>
      <c r="E60" s="352"/>
      <c r="F60" s="352"/>
      <c r="G60" s="352"/>
    </row>
    <row r="61" spans="1:7" x14ac:dyDescent="0.25">
      <c r="A61" s="352" t="s">
        <v>549</v>
      </c>
      <c r="B61" s="352"/>
      <c r="C61" s="352"/>
      <c r="D61" s="352"/>
      <c r="E61" s="352"/>
      <c r="F61" s="352"/>
      <c r="G61" s="352"/>
    </row>
    <row r="62" spans="1:7" x14ac:dyDescent="0.25">
      <c r="A62" s="352" t="s">
        <v>550</v>
      </c>
      <c r="B62" s="352"/>
      <c r="C62" s="352"/>
      <c r="D62" s="352"/>
      <c r="E62" s="352"/>
      <c r="F62" s="352"/>
      <c r="G62" s="352"/>
    </row>
    <row r="63" spans="1:7" x14ac:dyDescent="0.25">
      <c r="A63" s="352" t="s">
        <v>551</v>
      </c>
      <c r="B63" s="352"/>
      <c r="C63" s="352"/>
      <c r="D63" s="352"/>
      <c r="E63" s="352"/>
      <c r="F63" s="352"/>
      <c r="G63" s="352"/>
    </row>
    <row r="64" spans="1:7" x14ac:dyDescent="0.25">
      <c r="A64" s="352" t="s">
        <v>552</v>
      </c>
      <c r="B64" s="352"/>
      <c r="C64" s="352"/>
      <c r="D64" s="352"/>
      <c r="E64" s="352"/>
      <c r="F64" s="352"/>
      <c r="G64" s="352"/>
    </row>
    <row r="66" spans="1:6" x14ac:dyDescent="0.25">
      <c r="A66" s="366" t="s">
        <v>515</v>
      </c>
      <c r="B66" s="352"/>
      <c r="C66" s="352"/>
      <c r="D66" s="352"/>
      <c r="E66" s="352"/>
      <c r="F66" s="352"/>
    </row>
    <row r="67" spans="1:6" x14ac:dyDescent="0.25">
      <c r="A67" s="366" t="s">
        <v>516</v>
      </c>
      <c r="B67" s="352"/>
      <c r="C67" s="352"/>
      <c r="D67" s="352"/>
      <c r="E67" s="352"/>
      <c r="F67" s="352"/>
    </row>
    <row r="68" spans="1:6" x14ac:dyDescent="0.25">
      <c r="A68" s="366" t="s">
        <v>517</v>
      </c>
      <c r="B68" s="352"/>
      <c r="C68" s="352"/>
      <c r="D68" s="352"/>
      <c r="E68" s="352"/>
      <c r="F68" s="352"/>
    </row>
    <row r="69" spans="1:6" x14ac:dyDescent="0.25">
      <c r="A69" s="366" t="s">
        <v>518</v>
      </c>
      <c r="B69" s="352"/>
      <c r="C69" s="352"/>
      <c r="D69" s="352"/>
      <c r="E69" s="352"/>
      <c r="F69" s="352"/>
    </row>
    <row r="70" spans="1:6" x14ac:dyDescent="0.25">
      <c r="A70" s="366" t="s">
        <v>519</v>
      </c>
      <c r="B70" s="352"/>
      <c r="C70" s="352"/>
      <c r="D70" s="352"/>
      <c r="E70" s="352"/>
      <c r="F70" s="352"/>
    </row>
    <row r="71" spans="1:6" x14ac:dyDescent="0.25">
      <c r="A71" s="352"/>
    </row>
    <row r="72" spans="1:6" x14ac:dyDescent="0.25">
      <c r="A72" s="352" t="s">
        <v>436</v>
      </c>
    </row>
    <row r="73" spans="1:6" x14ac:dyDescent="0.25">
      <c r="A73" s="352"/>
    </row>
    <row r="74" spans="1:6" x14ac:dyDescent="0.25">
      <c r="A74" s="352"/>
    </row>
    <row r="75" spans="1:6" x14ac:dyDescent="0.25">
      <c r="A75" s="352"/>
    </row>
    <row r="78" spans="1:6" x14ac:dyDescent="0.25">
      <c r="A78" s="351"/>
    </row>
    <row r="80" spans="1:6" x14ac:dyDescent="0.25">
      <c r="A80" s="352"/>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2" spans="1:1" x14ac:dyDescent="0.25">
      <c r="A102" s="352"/>
    </row>
    <row r="103" spans="1:1" x14ac:dyDescent="0.25">
      <c r="A103" s="352"/>
    </row>
    <row r="104" spans="1:1" x14ac:dyDescent="0.25">
      <c r="A104" s="352"/>
    </row>
    <row r="105" spans="1:1" x14ac:dyDescent="0.25">
      <c r="A105" s="352"/>
    </row>
    <row r="106" spans="1:1" x14ac:dyDescent="0.25">
      <c r="A106" s="352"/>
    </row>
  </sheetData>
  <sheetProtection sheet="1"/>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H52"/>
  <sheetViews>
    <sheetView workbookViewId="0">
      <selection activeCell="C11" sqref="C11"/>
    </sheetView>
  </sheetViews>
  <sheetFormatPr defaultRowHeight="15.75" x14ac:dyDescent="0.25"/>
  <cols>
    <col min="1" max="1" width="64.19921875" customWidth="1"/>
  </cols>
  <sheetData>
    <row r="3" spans="1:7" x14ac:dyDescent="0.25">
      <c r="A3" s="353" t="s">
        <v>553</v>
      </c>
      <c r="B3" s="353"/>
      <c r="C3" s="353"/>
      <c r="D3" s="353"/>
      <c r="E3" s="353"/>
      <c r="F3" s="353"/>
      <c r="G3" s="353"/>
    </row>
    <row r="4" spans="1:7" x14ac:dyDescent="0.25">
      <c r="A4" s="353" t="s">
        <v>554</v>
      </c>
      <c r="B4" s="353"/>
      <c r="C4" s="353"/>
      <c r="D4" s="353"/>
      <c r="E4" s="353"/>
      <c r="F4" s="353"/>
      <c r="G4" s="353"/>
    </row>
    <row r="5" spans="1:7" x14ac:dyDescent="0.25">
      <c r="A5" s="353"/>
      <c r="B5" s="353"/>
      <c r="C5" s="353"/>
      <c r="D5" s="353"/>
      <c r="E5" s="353"/>
      <c r="F5" s="353"/>
      <c r="G5" s="353"/>
    </row>
    <row r="6" spans="1:7" x14ac:dyDescent="0.25">
      <c r="A6" s="353"/>
      <c r="B6" s="353"/>
      <c r="C6" s="353"/>
      <c r="D6" s="353"/>
      <c r="E6" s="353"/>
      <c r="F6" s="353"/>
      <c r="G6" s="353"/>
    </row>
    <row r="7" spans="1:7" x14ac:dyDescent="0.25">
      <c r="A7" s="352" t="s">
        <v>383</v>
      </c>
    </row>
    <row r="8" spans="1:7" x14ac:dyDescent="0.25">
      <c r="A8" s="352" t="str">
        <f>CONCATENATE("estimated ",inputPrYr!D5," 'total expenditures' exceed your ",inputPrYr!D5,"")</f>
        <v>estimated 2013 'total expenditures' exceed your 2013</v>
      </c>
    </row>
    <row r="9" spans="1:7" x14ac:dyDescent="0.25">
      <c r="A9" s="369" t="s">
        <v>555</v>
      </c>
    </row>
    <row r="10" spans="1:7" x14ac:dyDescent="0.25">
      <c r="A10" s="352"/>
    </row>
    <row r="11" spans="1:7" x14ac:dyDescent="0.25">
      <c r="A11" s="352" t="s">
        <v>556</v>
      </c>
    </row>
    <row r="12" spans="1:7" x14ac:dyDescent="0.25">
      <c r="A12" s="352" t="s">
        <v>557</v>
      </c>
    </row>
    <row r="13" spans="1:7" x14ac:dyDescent="0.25">
      <c r="A13" s="352" t="s">
        <v>558</v>
      </c>
    </row>
    <row r="14" spans="1:7" x14ac:dyDescent="0.25">
      <c r="A14" s="352"/>
    </row>
    <row r="15" spans="1:7" x14ac:dyDescent="0.25">
      <c r="A15" s="351" t="s">
        <v>559</v>
      </c>
    </row>
    <row r="16" spans="1:7" x14ac:dyDescent="0.25">
      <c r="A16" s="353"/>
      <c r="B16" s="353"/>
      <c r="C16" s="353"/>
      <c r="D16" s="353"/>
      <c r="E16" s="353"/>
      <c r="F16" s="353"/>
      <c r="G16" s="353"/>
    </row>
    <row r="17" spans="1:8" x14ac:dyDescent="0.25">
      <c r="A17" s="370" t="s">
        <v>560</v>
      </c>
      <c r="B17" s="347"/>
      <c r="C17" s="347"/>
      <c r="D17" s="347"/>
      <c r="E17" s="347"/>
      <c r="F17" s="347"/>
      <c r="G17" s="347"/>
      <c r="H17" s="347"/>
    </row>
    <row r="18" spans="1:8" x14ac:dyDescent="0.25">
      <c r="A18" s="352" t="s">
        <v>561</v>
      </c>
      <c r="B18" s="371"/>
      <c r="C18" s="371"/>
      <c r="D18" s="371"/>
      <c r="E18" s="371"/>
      <c r="F18" s="371"/>
      <c r="G18" s="371"/>
    </row>
    <row r="19" spans="1:8" x14ac:dyDescent="0.25">
      <c r="A19" s="352" t="s">
        <v>562</v>
      </c>
    </row>
    <row r="20" spans="1:8" x14ac:dyDescent="0.25">
      <c r="A20" s="352" t="s">
        <v>563</v>
      </c>
    </row>
    <row r="22" spans="1:8" x14ac:dyDescent="0.25">
      <c r="A22" s="351" t="s">
        <v>564</v>
      </c>
    </row>
    <row r="24" spans="1:8" x14ac:dyDescent="0.25">
      <c r="A24" s="352" t="s">
        <v>565</v>
      </c>
    </row>
    <row r="25" spans="1:8" x14ac:dyDescent="0.25">
      <c r="A25" s="352" t="s">
        <v>566</v>
      </c>
    </row>
    <row r="26" spans="1:8" x14ac:dyDescent="0.25">
      <c r="A26" s="352" t="s">
        <v>567</v>
      </c>
    </row>
    <row r="28" spans="1:8" x14ac:dyDescent="0.25">
      <c r="A28" s="351" t="s">
        <v>568</v>
      </c>
    </row>
    <row r="30" spans="1:8" x14ac:dyDescent="0.25">
      <c r="A30" t="s">
        <v>569</v>
      </c>
    </row>
    <row r="31" spans="1:8" x14ac:dyDescent="0.25">
      <c r="A31" t="s">
        <v>570</v>
      </c>
    </row>
    <row r="32" spans="1:8" x14ac:dyDescent="0.25">
      <c r="A32" t="s">
        <v>571</v>
      </c>
    </row>
    <row r="33" spans="1:1" x14ac:dyDescent="0.25">
      <c r="A33" s="352" t="s">
        <v>572</v>
      </c>
    </row>
    <row r="35" spans="1:1" x14ac:dyDescent="0.25">
      <c r="A35" t="s">
        <v>573</v>
      </c>
    </row>
    <row r="36" spans="1:1" x14ac:dyDescent="0.25">
      <c r="A36" t="s">
        <v>574</v>
      </c>
    </row>
    <row r="37" spans="1:1" x14ac:dyDescent="0.25">
      <c r="A37" t="s">
        <v>575</v>
      </c>
    </row>
    <row r="38" spans="1:1" x14ac:dyDescent="0.25">
      <c r="A38" t="s">
        <v>576</v>
      </c>
    </row>
    <row r="40" spans="1:1" x14ac:dyDescent="0.25">
      <c r="A40" t="s">
        <v>577</v>
      </c>
    </row>
    <row r="41" spans="1:1" x14ac:dyDescent="0.25">
      <c r="A41" t="s">
        <v>578</v>
      </c>
    </row>
    <row r="42" spans="1:1" x14ac:dyDescent="0.25">
      <c r="A42" t="s">
        <v>579</v>
      </c>
    </row>
    <row r="43" spans="1:1" x14ac:dyDescent="0.25">
      <c r="A43" t="s">
        <v>580</v>
      </c>
    </row>
    <row r="44" spans="1:1" x14ac:dyDescent="0.25">
      <c r="A44" t="s">
        <v>581</v>
      </c>
    </row>
    <row r="45" spans="1:1" x14ac:dyDescent="0.25">
      <c r="A45" t="s">
        <v>582</v>
      </c>
    </row>
    <row r="47" spans="1:1" x14ac:dyDescent="0.25">
      <c r="A47" t="s">
        <v>583</v>
      </c>
    </row>
    <row r="48" spans="1:1" x14ac:dyDescent="0.25">
      <c r="A48" t="s">
        <v>584</v>
      </c>
    </row>
    <row r="49" spans="1:1" x14ac:dyDescent="0.25">
      <c r="A49" s="352" t="s">
        <v>585</v>
      </c>
    </row>
    <row r="50" spans="1:1" x14ac:dyDescent="0.25">
      <c r="A50" s="352" t="s">
        <v>586</v>
      </c>
    </row>
    <row r="52" spans="1:1" x14ac:dyDescent="0.25">
      <c r="A52" t="s">
        <v>436</v>
      </c>
    </row>
  </sheetData>
  <sheetProtection sheet="1"/>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4"/>
  <sheetViews>
    <sheetView workbookViewId="0">
      <selection activeCell="L3" sqref="L3"/>
    </sheetView>
  </sheetViews>
  <sheetFormatPr defaultRowHeight="14.25" x14ac:dyDescent="0.2"/>
  <cols>
    <col min="1" max="1" width="6.796875" style="407" customWidth="1"/>
    <col min="2" max="2" width="10.09765625" style="408" customWidth="1"/>
    <col min="3" max="3" width="6.69921875" style="408" customWidth="1"/>
    <col min="4" max="4" width="8.796875" style="408"/>
    <col min="5" max="5" width="1.3984375" style="408" customWidth="1"/>
    <col min="6" max="6" width="12.8984375" style="408" customWidth="1"/>
    <col min="7" max="7" width="2.296875" style="408" customWidth="1"/>
    <col min="8" max="8" width="8.796875" style="408" customWidth="1"/>
    <col min="9" max="9" width="1.796875" style="408" customWidth="1"/>
    <col min="10" max="10" width="7.69921875" style="408" customWidth="1"/>
    <col min="11" max="11" width="10.5" style="408" customWidth="1"/>
    <col min="12" max="12" width="6.796875" style="407" customWidth="1"/>
    <col min="13" max="14" width="8.796875" style="407"/>
    <col min="15" max="15" width="8.8984375" style="407" bestFit="1" customWidth="1"/>
    <col min="16" max="16384" width="8.796875" style="407"/>
  </cols>
  <sheetData>
    <row r="1" spans="1:12" x14ac:dyDescent="0.2">
      <c r="A1" s="406"/>
      <c r="B1" s="406"/>
      <c r="C1" s="406"/>
      <c r="D1" s="406"/>
      <c r="E1" s="406"/>
      <c r="F1" s="406"/>
      <c r="G1" s="406"/>
      <c r="H1" s="406"/>
      <c r="I1" s="406"/>
      <c r="J1" s="406"/>
      <c r="K1" s="406"/>
      <c r="L1" s="406"/>
    </row>
    <row r="2" spans="1:12" x14ac:dyDescent="0.2">
      <c r="A2" s="406"/>
      <c r="B2" s="406"/>
      <c r="C2" s="406"/>
      <c r="D2" s="406"/>
      <c r="E2" s="406"/>
      <c r="F2" s="406"/>
      <c r="G2" s="406"/>
      <c r="H2" s="406"/>
      <c r="I2" s="406"/>
      <c r="J2" s="406"/>
      <c r="K2" s="406"/>
      <c r="L2" s="406"/>
    </row>
    <row r="3" spans="1:12" x14ac:dyDescent="0.2">
      <c r="A3" s="406"/>
      <c r="B3" s="406"/>
      <c r="C3" s="406"/>
      <c r="D3" s="406"/>
      <c r="E3" s="406"/>
      <c r="F3" s="406"/>
      <c r="G3" s="406"/>
      <c r="H3" s="406"/>
      <c r="I3" s="406"/>
      <c r="J3" s="406"/>
      <c r="K3" s="406"/>
      <c r="L3" s="406"/>
    </row>
    <row r="4" spans="1:12" x14ac:dyDescent="0.2">
      <c r="A4" s="406"/>
      <c r="L4" s="406"/>
    </row>
    <row r="5" spans="1:12" ht="15" customHeight="1" x14ac:dyDescent="0.2">
      <c r="A5" s="406"/>
      <c r="L5" s="406"/>
    </row>
    <row r="6" spans="1:12" ht="33" customHeight="1" x14ac:dyDescent="0.2">
      <c r="A6" s="406"/>
      <c r="B6" s="859" t="s">
        <v>627</v>
      </c>
      <c r="C6" s="860"/>
      <c r="D6" s="860"/>
      <c r="E6" s="860"/>
      <c r="F6" s="860"/>
      <c r="G6" s="860"/>
      <c r="H6" s="860"/>
      <c r="I6" s="860"/>
      <c r="J6" s="860"/>
      <c r="K6" s="860"/>
      <c r="L6" s="409"/>
    </row>
    <row r="7" spans="1:12" ht="40.5" customHeight="1" x14ac:dyDescent="0.2">
      <c r="A7" s="406"/>
      <c r="B7" s="861" t="s">
        <v>628</v>
      </c>
      <c r="C7" s="862"/>
      <c r="D7" s="862"/>
      <c r="E7" s="862"/>
      <c r="F7" s="862"/>
      <c r="G7" s="862"/>
      <c r="H7" s="862"/>
      <c r="I7" s="862"/>
      <c r="J7" s="862"/>
      <c r="K7" s="862"/>
      <c r="L7" s="406"/>
    </row>
    <row r="8" spans="1:12" x14ac:dyDescent="0.2">
      <c r="A8" s="406"/>
      <c r="B8" s="863" t="s">
        <v>629</v>
      </c>
      <c r="C8" s="863"/>
      <c r="D8" s="863"/>
      <c r="E8" s="863"/>
      <c r="F8" s="863"/>
      <c r="G8" s="863"/>
      <c r="H8" s="863"/>
      <c r="I8" s="863"/>
      <c r="J8" s="863"/>
      <c r="K8" s="863"/>
      <c r="L8" s="406"/>
    </row>
    <row r="9" spans="1:12" x14ac:dyDescent="0.2">
      <c r="A9" s="406"/>
      <c r="L9" s="406"/>
    </row>
    <row r="10" spans="1:12" x14ac:dyDescent="0.2">
      <c r="A10" s="406"/>
      <c r="B10" s="863" t="s">
        <v>630</v>
      </c>
      <c r="C10" s="863"/>
      <c r="D10" s="863"/>
      <c r="E10" s="863"/>
      <c r="F10" s="863"/>
      <c r="G10" s="863"/>
      <c r="H10" s="863"/>
      <c r="I10" s="863"/>
      <c r="J10" s="863"/>
      <c r="K10" s="863"/>
      <c r="L10" s="406"/>
    </row>
    <row r="11" spans="1:12" x14ac:dyDescent="0.2">
      <c r="A11" s="406"/>
      <c r="B11" s="550"/>
      <c r="C11" s="550"/>
      <c r="D11" s="550"/>
      <c r="E11" s="550"/>
      <c r="F11" s="550"/>
      <c r="G11" s="550"/>
      <c r="H11" s="550"/>
      <c r="I11" s="550"/>
      <c r="J11" s="550"/>
      <c r="K11" s="550"/>
      <c r="L11" s="406"/>
    </row>
    <row r="12" spans="1:12" ht="32.25" customHeight="1" x14ac:dyDescent="0.2">
      <c r="A12" s="406"/>
      <c r="B12" s="864" t="s">
        <v>631</v>
      </c>
      <c r="C12" s="864"/>
      <c r="D12" s="864"/>
      <c r="E12" s="864"/>
      <c r="F12" s="864"/>
      <c r="G12" s="864"/>
      <c r="H12" s="864"/>
      <c r="I12" s="864"/>
      <c r="J12" s="864"/>
      <c r="K12" s="864"/>
      <c r="L12" s="406"/>
    </row>
    <row r="13" spans="1:12" x14ac:dyDescent="0.2">
      <c r="A13" s="406"/>
      <c r="L13" s="406"/>
    </row>
    <row r="14" spans="1:12" x14ac:dyDescent="0.2">
      <c r="A14" s="406"/>
      <c r="B14" s="410" t="s">
        <v>632</v>
      </c>
      <c r="L14" s="406"/>
    </row>
    <row r="15" spans="1:12" x14ac:dyDescent="0.2">
      <c r="A15" s="406"/>
      <c r="L15" s="406"/>
    </row>
    <row r="16" spans="1:12" x14ac:dyDescent="0.2">
      <c r="A16" s="406"/>
      <c r="B16" s="408" t="s">
        <v>633</v>
      </c>
      <c r="L16" s="406"/>
    </row>
    <row r="17" spans="1:12" x14ac:dyDescent="0.2">
      <c r="A17" s="406"/>
      <c r="B17" s="408" t="s">
        <v>634</v>
      </c>
      <c r="L17" s="406"/>
    </row>
    <row r="18" spans="1:12" x14ac:dyDescent="0.2">
      <c r="A18" s="406"/>
      <c r="L18" s="406"/>
    </row>
    <row r="19" spans="1:12" x14ac:dyDescent="0.2">
      <c r="A19" s="406"/>
      <c r="B19" s="410" t="s">
        <v>760</v>
      </c>
      <c r="L19" s="406"/>
    </row>
    <row r="20" spans="1:12" x14ac:dyDescent="0.2">
      <c r="A20" s="406"/>
      <c r="B20" s="410"/>
      <c r="L20" s="406"/>
    </row>
    <row r="21" spans="1:12" x14ac:dyDescent="0.2">
      <c r="A21" s="406"/>
      <c r="B21" s="408" t="s">
        <v>761</v>
      </c>
      <c r="L21" s="406"/>
    </row>
    <row r="22" spans="1:12" x14ac:dyDescent="0.2">
      <c r="A22" s="406"/>
      <c r="L22" s="406"/>
    </row>
    <row r="23" spans="1:12" x14ac:dyDescent="0.2">
      <c r="A23" s="406"/>
      <c r="B23" s="408" t="s">
        <v>635</v>
      </c>
      <c r="E23" s="408" t="s">
        <v>636</v>
      </c>
      <c r="F23" s="858">
        <v>312000000</v>
      </c>
      <c r="G23" s="858"/>
      <c r="L23" s="406"/>
    </row>
    <row r="24" spans="1:12" x14ac:dyDescent="0.2">
      <c r="A24" s="406"/>
      <c r="L24" s="406"/>
    </row>
    <row r="25" spans="1:12" x14ac:dyDescent="0.2">
      <c r="A25" s="406"/>
      <c r="C25" s="865">
        <f>F23</f>
        <v>312000000</v>
      </c>
      <c r="D25" s="865"/>
      <c r="E25" s="408" t="s">
        <v>637</v>
      </c>
      <c r="F25" s="411">
        <v>1000</v>
      </c>
      <c r="G25" s="411" t="s">
        <v>636</v>
      </c>
      <c r="H25" s="552">
        <f>F23/F25</f>
        <v>312000</v>
      </c>
      <c r="L25" s="406"/>
    </row>
    <row r="26" spans="1:12" ht="15" thickBot="1" x14ac:dyDescent="0.25">
      <c r="A26" s="406"/>
      <c r="L26" s="406"/>
    </row>
    <row r="27" spans="1:12" x14ac:dyDescent="0.2">
      <c r="A27" s="406"/>
      <c r="B27" s="412" t="s">
        <v>632</v>
      </c>
      <c r="C27" s="413"/>
      <c r="D27" s="413"/>
      <c r="E27" s="413"/>
      <c r="F27" s="413"/>
      <c r="G27" s="413"/>
      <c r="H27" s="413"/>
      <c r="I27" s="413"/>
      <c r="J27" s="413"/>
      <c r="K27" s="414"/>
      <c r="L27" s="406"/>
    </row>
    <row r="28" spans="1:12" x14ac:dyDescent="0.2">
      <c r="A28" s="406"/>
      <c r="B28" s="415">
        <f>F23</f>
        <v>312000000</v>
      </c>
      <c r="C28" s="416" t="s">
        <v>638</v>
      </c>
      <c r="D28" s="416"/>
      <c r="E28" s="416" t="s">
        <v>637</v>
      </c>
      <c r="F28" s="555">
        <v>1000</v>
      </c>
      <c r="G28" s="555" t="s">
        <v>636</v>
      </c>
      <c r="H28" s="417">
        <f>B28/F28</f>
        <v>312000</v>
      </c>
      <c r="I28" s="416" t="s">
        <v>639</v>
      </c>
      <c r="J28" s="416"/>
      <c r="K28" s="418"/>
      <c r="L28" s="406"/>
    </row>
    <row r="29" spans="1:12" ht="15" thickBot="1" x14ac:dyDescent="0.25">
      <c r="A29" s="406"/>
      <c r="B29" s="419"/>
      <c r="C29" s="420"/>
      <c r="D29" s="420"/>
      <c r="E29" s="420"/>
      <c r="F29" s="420"/>
      <c r="G29" s="420"/>
      <c r="H29" s="420"/>
      <c r="I29" s="420"/>
      <c r="J29" s="420"/>
      <c r="K29" s="421"/>
      <c r="L29" s="406"/>
    </row>
    <row r="30" spans="1:12" ht="40.5" customHeight="1" x14ac:dyDescent="0.2">
      <c r="A30" s="406"/>
      <c r="B30" s="866" t="s">
        <v>628</v>
      </c>
      <c r="C30" s="866"/>
      <c r="D30" s="866"/>
      <c r="E30" s="866"/>
      <c r="F30" s="866"/>
      <c r="G30" s="866"/>
      <c r="H30" s="866"/>
      <c r="I30" s="866"/>
      <c r="J30" s="866"/>
      <c r="K30" s="866"/>
      <c r="L30" s="406"/>
    </row>
    <row r="31" spans="1:12" x14ac:dyDescent="0.2">
      <c r="A31" s="406"/>
      <c r="B31" s="863" t="s">
        <v>640</v>
      </c>
      <c r="C31" s="863"/>
      <c r="D31" s="863"/>
      <c r="E31" s="863"/>
      <c r="F31" s="863"/>
      <c r="G31" s="863"/>
      <c r="H31" s="863"/>
      <c r="I31" s="863"/>
      <c r="J31" s="863"/>
      <c r="K31" s="863"/>
      <c r="L31" s="406"/>
    </row>
    <row r="32" spans="1:12" x14ac:dyDescent="0.2">
      <c r="A32" s="406"/>
      <c r="L32" s="406"/>
    </row>
    <row r="33" spans="1:12" x14ac:dyDescent="0.2">
      <c r="A33" s="406"/>
      <c r="B33" s="863" t="s">
        <v>641</v>
      </c>
      <c r="C33" s="863"/>
      <c r="D33" s="863"/>
      <c r="E33" s="863"/>
      <c r="F33" s="863"/>
      <c r="G33" s="863"/>
      <c r="H33" s="863"/>
      <c r="I33" s="863"/>
      <c r="J33" s="863"/>
      <c r="K33" s="863"/>
      <c r="L33" s="406"/>
    </row>
    <row r="34" spans="1:12" x14ac:dyDescent="0.2">
      <c r="A34" s="406"/>
      <c r="L34" s="406"/>
    </row>
    <row r="35" spans="1:12" ht="89.25" customHeight="1" x14ac:dyDescent="0.2">
      <c r="A35" s="406"/>
      <c r="B35" s="864" t="s">
        <v>642</v>
      </c>
      <c r="C35" s="867"/>
      <c r="D35" s="867"/>
      <c r="E35" s="867"/>
      <c r="F35" s="867"/>
      <c r="G35" s="867"/>
      <c r="H35" s="867"/>
      <c r="I35" s="867"/>
      <c r="J35" s="867"/>
      <c r="K35" s="867"/>
      <c r="L35" s="406"/>
    </row>
    <row r="36" spans="1:12" x14ac:dyDescent="0.2">
      <c r="A36" s="406"/>
      <c r="L36" s="406"/>
    </row>
    <row r="37" spans="1:12" x14ac:dyDescent="0.2">
      <c r="A37" s="406"/>
      <c r="B37" s="410" t="s">
        <v>643</v>
      </c>
      <c r="L37" s="406"/>
    </row>
    <row r="38" spans="1:12" x14ac:dyDescent="0.2">
      <c r="A38" s="406"/>
      <c r="L38" s="406"/>
    </row>
    <row r="39" spans="1:12" x14ac:dyDescent="0.2">
      <c r="A39" s="406"/>
      <c r="B39" s="408" t="s">
        <v>644</v>
      </c>
      <c r="L39" s="406"/>
    </row>
    <row r="40" spans="1:12" x14ac:dyDescent="0.2">
      <c r="A40" s="406"/>
      <c r="L40" s="406"/>
    </row>
    <row r="41" spans="1:12" x14ac:dyDescent="0.2">
      <c r="A41" s="406"/>
      <c r="C41" s="868">
        <v>312000000</v>
      </c>
      <c r="D41" s="868"/>
      <c r="E41" s="408" t="s">
        <v>637</v>
      </c>
      <c r="F41" s="411">
        <v>1000</v>
      </c>
      <c r="G41" s="411" t="s">
        <v>636</v>
      </c>
      <c r="H41" s="422">
        <f>C41/F41</f>
        <v>312000</v>
      </c>
      <c r="L41" s="406"/>
    </row>
    <row r="42" spans="1:12" x14ac:dyDescent="0.2">
      <c r="A42" s="406"/>
      <c r="L42" s="406"/>
    </row>
    <row r="43" spans="1:12" x14ac:dyDescent="0.2">
      <c r="A43" s="406"/>
      <c r="B43" s="408" t="s">
        <v>645</v>
      </c>
      <c r="L43" s="406"/>
    </row>
    <row r="44" spans="1:12" x14ac:dyDescent="0.2">
      <c r="A44" s="406"/>
      <c r="L44" s="406"/>
    </row>
    <row r="45" spans="1:12" x14ac:dyDescent="0.2">
      <c r="A45" s="406"/>
      <c r="B45" s="408" t="s">
        <v>646</v>
      </c>
      <c r="L45" s="406"/>
    </row>
    <row r="46" spans="1:12" ht="15" thickBot="1" x14ac:dyDescent="0.25">
      <c r="A46" s="406"/>
      <c r="L46" s="406"/>
    </row>
    <row r="47" spans="1:12" x14ac:dyDescent="0.2">
      <c r="A47" s="406"/>
      <c r="B47" s="423" t="s">
        <v>632</v>
      </c>
      <c r="C47" s="413"/>
      <c r="D47" s="413"/>
      <c r="E47" s="413"/>
      <c r="F47" s="413"/>
      <c r="G47" s="413"/>
      <c r="H47" s="413"/>
      <c r="I47" s="413"/>
      <c r="J47" s="413"/>
      <c r="K47" s="414"/>
      <c r="L47" s="406"/>
    </row>
    <row r="48" spans="1:12" x14ac:dyDescent="0.2">
      <c r="A48" s="406"/>
      <c r="B48" s="869">
        <v>312000000</v>
      </c>
      <c r="C48" s="858"/>
      <c r="D48" s="416" t="s">
        <v>647</v>
      </c>
      <c r="E48" s="416" t="s">
        <v>637</v>
      </c>
      <c r="F48" s="555">
        <v>1000</v>
      </c>
      <c r="G48" s="555" t="s">
        <v>636</v>
      </c>
      <c r="H48" s="417">
        <f>B48/F48</f>
        <v>312000</v>
      </c>
      <c r="I48" s="416" t="s">
        <v>648</v>
      </c>
      <c r="J48" s="416"/>
      <c r="K48" s="418"/>
      <c r="L48" s="406"/>
    </row>
    <row r="49" spans="1:24" x14ac:dyDescent="0.2">
      <c r="A49" s="406"/>
      <c r="B49" s="424"/>
      <c r="C49" s="416"/>
      <c r="D49" s="416"/>
      <c r="E49" s="416"/>
      <c r="F49" s="416"/>
      <c r="G49" s="416"/>
      <c r="H49" s="416"/>
      <c r="I49" s="416"/>
      <c r="J49" s="416"/>
      <c r="K49" s="418"/>
      <c r="L49" s="406"/>
    </row>
    <row r="50" spans="1:24" x14ac:dyDescent="0.2">
      <c r="A50" s="406"/>
      <c r="B50" s="425">
        <v>50000</v>
      </c>
      <c r="C50" s="416" t="s">
        <v>649</v>
      </c>
      <c r="D50" s="416"/>
      <c r="E50" s="416" t="s">
        <v>637</v>
      </c>
      <c r="F50" s="417">
        <f>H48</f>
        <v>312000</v>
      </c>
      <c r="G50" s="870" t="s">
        <v>650</v>
      </c>
      <c r="H50" s="871"/>
      <c r="I50" s="555" t="s">
        <v>636</v>
      </c>
      <c r="J50" s="426">
        <f>B50/F50</f>
        <v>0.16025641025641027</v>
      </c>
      <c r="K50" s="418"/>
      <c r="L50" s="406"/>
    </row>
    <row r="51" spans="1:24" ht="15" thickBot="1" x14ac:dyDescent="0.25">
      <c r="A51" s="406"/>
      <c r="B51" s="419"/>
      <c r="C51" s="420"/>
      <c r="D51" s="420"/>
      <c r="E51" s="420"/>
      <c r="F51" s="420"/>
      <c r="G51" s="420"/>
      <c r="H51" s="420"/>
      <c r="I51" s="872" t="s">
        <v>651</v>
      </c>
      <c r="J51" s="872"/>
      <c r="K51" s="873"/>
      <c r="L51" s="406"/>
      <c r="O51" s="427"/>
    </row>
    <row r="52" spans="1:24" ht="40.5" customHeight="1" x14ac:dyDescent="0.2">
      <c r="A52" s="406"/>
      <c r="B52" s="866" t="s">
        <v>628</v>
      </c>
      <c r="C52" s="866"/>
      <c r="D52" s="866"/>
      <c r="E52" s="866"/>
      <c r="F52" s="866"/>
      <c r="G52" s="866"/>
      <c r="H52" s="866"/>
      <c r="I52" s="866"/>
      <c r="J52" s="866"/>
      <c r="K52" s="866"/>
      <c r="L52" s="406"/>
    </row>
    <row r="53" spans="1:24" x14ac:dyDescent="0.2">
      <c r="A53" s="406"/>
      <c r="B53" s="863" t="s">
        <v>652</v>
      </c>
      <c r="C53" s="863"/>
      <c r="D53" s="863"/>
      <c r="E53" s="863"/>
      <c r="F53" s="863"/>
      <c r="G53" s="863"/>
      <c r="H53" s="863"/>
      <c r="I53" s="863"/>
      <c r="J53" s="863"/>
      <c r="K53" s="863"/>
      <c r="L53" s="406"/>
    </row>
    <row r="54" spans="1:24" x14ac:dyDescent="0.2">
      <c r="A54" s="406"/>
      <c r="B54" s="550"/>
      <c r="C54" s="550"/>
      <c r="D54" s="550"/>
      <c r="E54" s="550"/>
      <c r="F54" s="550"/>
      <c r="G54" s="550"/>
      <c r="H54" s="550"/>
      <c r="I54" s="550"/>
      <c r="J54" s="550"/>
      <c r="K54" s="550"/>
      <c r="L54" s="406"/>
    </row>
    <row r="55" spans="1:24" x14ac:dyDescent="0.2">
      <c r="A55" s="406"/>
      <c r="B55" s="859" t="s">
        <v>653</v>
      </c>
      <c r="C55" s="859"/>
      <c r="D55" s="859"/>
      <c r="E55" s="859"/>
      <c r="F55" s="859"/>
      <c r="G55" s="859"/>
      <c r="H55" s="859"/>
      <c r="I55" s="859"/>
      <c r="J55" s="859"/>
      <c r="K55" s="859"/>
      <c r="L55" s="406"/>
    </row>
    <row r="56" spans="1:24" ht="15" customHeight="1" x14ac:dyDescent="0.2">
      <c r="A56" s="406"/>
      <c r="L56" s="406"/>
    </row>
    <row r="57" spans="1:24" ht="74.25" customHeight="1" x14ac:dyDescent="0.2">
      <c r="A57" s="406"/>
      <c r="B57" s="864" t="s">
        <v>654</v>
      </c>
      <c r="C57" s="867"/>
      <c r="D57" s="867"/>
      <c r="E57" s="867"/>
      <c r="F57" s="867"/>
      <c r="G57" s="867"/>
      <c r="H57" s="867"/>
      <c r="I57" s="867"/>
      <c r="J57" s="867"/>
      <c r="K57" s="867"/>
      <c r="L57" s="406"/>
      <c r="M57" s="428"/>
      <c r="N57" s="429"/>
      <c r="O57" s="429"/>
      <c r="P57" s="429"/>
      <c r="Q57" s="429"/>
      <c r="R57" s="429"/>
      <c r="S57" s="429"/>
      <c r="T57" s="429"/>
      <c r="U57" s="429"/>
      <c r="V57" s="429"/>
      <c r="W57" s="429"/>
      <c r="X57" s="429"/>
    </row>
    <row r="58" spans="1:24" ht="15" customHeight="1" x14ac:dyDescent="0.2">
      <c r="A58" s="406"/>
      <c r="B58" s="864"/>
      <c r="C58" s="867"/>
      <c r="D58" s="867"/>
      <c r="E58" s="867"/>
      <c r="F58" s="867"/>
      <c r="G58" s="867"/>
      <c r="H58" s="867"/>
      <c r="I58" s="867"/>
      <c r="J58" s="867"/>
      <c r="K58" s="867"/>
      <c r="L58" s="406"/>
      <c r="M58" s="428"/>
      <c r="N58" s="429"/>
      <c r="O58" s="429"/>
      <c r="P58" s="429"/>
      <c r="Q58" s="429"/>
      <c r="R58" s="429"/>
      <c r="S58" s="429"/>
      <c r="T58" s="429"/>
      <c r="U58" s="429"/>
      <c r="V58" s="429"/>
      <c r="W58" s="429"/>
      <c r="X58" s="429"/>
    </row>
    <row r="59" spans="1:24" x14ac:dyDescent="0.2">
      <c r="A59" s="406"/>
      <c r="B59" s="410" t="s">
        <v>643</v>
      </c>
      <c r="L59" s="406"/>
      <c r="M59" s="429"/>
      <c r="N59" s="429"/>
      <c r="O59" s="429"/>
      <c r="P59" s="429"/>
      <c r="Q59" s="429"/>
      <c r="R59" s="429"/>
      <c r="S59" s="429"/>
      <c r="T59" s="429"/>
      <c r="U59" s="429"/>
      <c r="V59" s="429"/>
      <c r="W59" s="429"/>
      <c r="X59" s="429"/>
    </row>
    <row r="60" spans="1:24" x14ac:dyDescent="0.2">
      <c r="A60" s="406"/>
      <c r="L60" s="406"/>
      <c r="M60" s="429"/>
      <c r="N60" s="429"/>
      <c r="O60" s="429"/>
      <c r="P60" s="429"/>
      <c r="Q60" s="429"/>
      <c r="R60" s="429"/>
      <c r="S60" s="429"/>
      <c r="T60" s="429"/>
      <c r="U60" s="429"/>
      <c r="V60" s="429"/>
      <c r="W60" s="429"/>
      <c r="X60" s="429"/>
    </row>
    <row r="61" spans="1:24" x14ac:dyDescent="0.2">
      <c r="A61" s="406"/>
      <c r="B61" s="408" t="s">
        <v>655</v>
      </c>
      <c r="L61" s="406"/>
      <c r="M61" s="429"/>
      <c r="N61" s="429"/>
      <c r="O61" s="429"/>
      <c r="P61" s="429"/>
      <c r="Q61" s="429"/>
      <c r="R61" s="429"/>
      <c r="S61" s="429"/>
      <c r="T61" s="429"/>
      <c r="U61" s="429"/>
      <c r="V61" s="429"/>
      <c r="W61" s="429"/>
      <c r="X61" s="429"/>
    </row>
    <row r="62" spans="1:24" x14ac:dyDescent="0.2">
      <c r="A62" s="406"/>
      <c r="B62" s="408" t="s">
        <v>762</v>
      </c>
      <c r="L62" s="406"/>
      <c r="M62" s="429"/>
      <c r="N62" s="429"/>
      <c r="O62" s="429"/>
      <c r="P62" s="429"/>
      <c r="Q62" s="429"/>
      <c r="R62" s="429"/>
      <c r="S62" s="429"/>
      <c r="T62" s="429"/>
      <c r="U62" s="429"/>
      <c r="V62" s="429"/>
      <c r="W62" s="429"/>
      <c r="X62" s="429"/>
    </row>
    <row r="63" spans="1:24" x14ac:dyDescent="0.2">
      <c r="A63" s="406"/>
      <c r="B63" s="408" t="s">
        <v>763</v>
      </c>
      <c r="L63" s="406"/>
      <c r="M63" s="429"/>
      <c r="N63" s="429"/>
      <c r="O63" s="429"/>
      <c r="P63" s="429"/>
      <c r="Q63" s="429"/>
      <c r="R63" s="429"/>
      <c r="S63" s="429"/>
      <c r="T63" s="429"/>
      <c r="U63" s="429"/>
      <c r="V63" s="429"/>
      <c r="W63" s="429"/>
      <c r="X63" s="429"/>
    </row>
    <row r="64" spans="1:24" x14ac:dyDescent="0.2">
      <c r="A64" s="406"/>
      <c r="L64" s="406"/>
      <c r="M64" s="429"/>
      <c r="N64" s="429"/>
      <c r="O64" s="429"/>
      <c r="P64" s="429"/>
      <c r="Q64" s="429"/>
      <c r="R64" s="429"/>
      <c r="S64" s="429"/>
      <c r="T64" s="429"/>
      <c r="U64" s="429"/>
      <c r="V64" s="429"/>
      <c r="W64" s="429"/>
      <c r="X64" s="429"/>
    </row>
    <row r="65" spans="1:24" x14ac:dyDescent="0.2">
      <c r="A65" s="406"/>
      <c r="B65" s="408" t="s">
        <v>656</v>
      </c>
      <c r="L65" s="406"/>
      <c r="M65" s="429"/>
      <c r="N65" s="429"/>
      <c r="O65" s="429"/>
      <c r="P65" s="429"/>
      <c r="Q65" s="429"/>
      <c r="R65" s="429"/>
      <c r="S65" s="429"/>
      <c r="T65" s="429"/>
      <c r="U65" s="429"/>
      <c r="V65" s="429"/>
      <c r="W65" s="429"/>
      <c r="X65" s="429"/>
    </row>
    <row r="66" spans="1:24" x14ac:dyDescent="0.2">
      <c r="A66" s="406"/>
      <c r="B66" s="408" t="s">
        <v>657</v>
      </c>
      <c r="L66" s="406"/>
      <c r="M66" s="429"/>
      <c r="N66" s="429"/>
      <c r="O66" s="429"/>
      <c r="P66" s="429"/>
      <c r="Q66" s="429"/>
      <c r="R66" s="429"/>
      <c r="S66" s="429"/>
      <c r="T66" s="429"/>
      <c r="U66" s="429"/>
      <c r="V66" s="429"/>
      <c r="W66" s="429"/>
      <c r="X66" s="429"/>
    </row>
    <row r="67" spans="1:24" x14ac:dyDescent="0.2">
      <c r="A67" s="406"/>
      <c r="L67" s="406"/>
      <c r="M67" s="429"/>
      <c r="N67" s="429"/>
      <c r="O67" s="429"/>
      <c r="P67" s="429"/>
      <c r="Q67" s="429"/>
      <c r="R67" s="429"/>
      <c r="S67" s="429"/>
      <c r="T67" s="429"/>
      <c r="U67" s="429"/>
      <c r="V67" s="429"/>
      <c r="W67" s="429"/>
      <c r="X67" s="429"/>
    </row>
    <row r="68" spans="1:24" x14ac:dyDescent="0.2">
      <c r="A68" s="406"/>
      <c r="B68" s="408" t="s">
        <v>658</v>
      </c>
      <c r="L68" s="406"/>
      <c r="M68" s="430"/>
      <c r="N68" s="431"/>
      <c r="O68" s="431"/>
      <c r="P68" s="431"/>
      <c r="Q68" s="431"/>
      <c r="R68" s="431"/>
      <c r="S68" s="431"/>
      <c r="T68" s="431"/>
      <c r="U68" s="431"/>
      <c r="V68" s="431"/>
      <c r="W68" s="431"/>
      <c r="X68" s="429"/>
    </row>
    <row r="69" spans="1:24" x14ac:dyDescent="0.2">
      <c r="A69" s="406"/>
      <c r="B69" s="408" t="s">
        <v>764</v>
      </c>
      <c r="L69" s="406"/>
      <c r="M69" s="429"/>
      <c r="N69" s="429"/>
      <c r="O69" s="429"/>
      <c r="P69" s="429"/>
      <c r="Q69" s="429"/>
      <c r="R69" s="429"/>
      <c r="S69" s="429"/>
      <c r="T69" s="429"/>
      <c r="U69" s="429"/>
      <c r="V69" s="429"/>
      <c r="W69" s="429"/>
      <c r="X69" s="429"/>
    </row>
    <row r="70" spans="1:24" x14ac:dyDescent="0.2">
      <c r="A70" s="406"/>
      <c r="B70" s="408" t="s">
        <v>765</v>
      </c>
      <c r="L70" s="406"/>
      <c r="M70" s="429"/>
      <c r="N70" s="429"/>
      <c r="O70" s="429"/>
      <c r="P70" s="429"/>
      <c r="Q70" s="429"/>
      <c r="R70" s="429"/>
      <c r="S70" s="429"/>
      <c r="T70" s="429"/>
      <c r="U70" s="429"/>
      <c r="V70" s="429"/>
      <c r="W70" s="429"/>
      <c r="X70" s="429"/>
    </row>
    <row r="71" spans="1:24" ht="15" thickBot="1" x14ac:dyDescent="0.25">
      <c r="A71" s="406"/>
      <c r="B71" s="416"/>
      <c r="C71" s="416"/>
      <c r="D71" s="416"/>
      <c r="E71" s="416"/>
      <c r="F71" s="416"/>
      <c r="G71" s="416"/>
      <c r="H71" s="416"/>
      <c r="I71" s="416"/>
      <c r="J71" s="416"/>
      <c r="K71" s="416"/>
      <c r="L71" s="406"/>
    </row>
    <row r="72" spans="1:24" x14ac:dyDescent="0.2">
      <c r="A72" s="406"/>
      <c r="B72" s="412" t="s">
        <v>632</v>
      </c>
      <c r="C72" s="413"/>
      <c r="D72" s="413"/>
      <c r="E72" s="413"/>
      <c r="F72" s="413"/>
      <c r="G72" s="413"/>
      <c r="H72" s="413"/>
      <c r="I72" s="413"/>
      <c r="J72" s="413"/>
      <c r="K72" s="414"/>
      <c r="L72" s="432"/>
    </row>
    <row r="73" spans="1:24" x14ac:dyDescent="0.2">
      <c r="A73" s="406"/>
      <c r="B73" s="424"/>
      <c r="C73" s="416" t="s">
        <v>638</v>
      </c>
      <c r="D73" s="416"/>
      <c r="E73" s="416"/>
      <c r="F73" s="416"/>
      <c r="G73" s="416"/>
      <c r="H73" s="416"/>
      <c r="I73" s="416"/>
      <c r="J73" s="416"/>
      <c r="K73" s="418"/>
      <c r="L73" s="432"/>
    </row>
    <row r="74" spans="1:24" x14ac:dyDescent="0.2">
      <c r="A74" s="406"/>
      <c r="B74" s="424" t="s">
        <v>659</v>
      </c>
      <c r="C74" s="858">
        <v>312000000</v>
      </c>
      <c r="D74" s="858"/>
      <c r="E74" s="555" t="s">
        <v>637</v>
      </c>
      <c r="F74" s="555">
        <v>1000</v>
      </c>
      <c r="G74" s="555" t="s">
        <v>636</v>
      </c>
      <c r="H74" s="556">
        <f>C74/F74</f>
        <v>312000</v>
      </c>
      <c r="I74" s="416" t="s">
        <v>660</v>
      </c>
      <c r="J74" s="416"/>
      <c r="K74" s="418"/>
      <c r="L74" s="432"/>
    </row>
    <row r="75" spans="1:24" x14ac:dyDescent="0.2">
      <c r="A75" s="406"/>
      <c r="B75" s="424"/>
      <c r="C75" s="416"/>
      <c r="D75" s="416"/>
      <c r="E75" s="555"/>
      <c r="F75" s="416"/>
      <c r="G75" s="416"/>
      <c r="H75" s="416"/>
      <c r="I75" s="416"/>
      <c r="J75" s="416"/>
      <c r="K75" s="418"/>
      <c r="L75" s="432"/>
    </row>
    <row r="76" spans="1:24" x14ac:dyDescent="0.2">
      <c r="A76" s="406"/>
      <c r="B76" s="424"/>
      <c r="C76" s="416" t="s">
        <v>661</v>
      </c>
      <c r="D76" s="416"/>
      <c r="E76" s="555"/>
      <c r="F76" s="416" t="s">
        <v>660</v>
      </c>
      <c r="G76" s="416"/>
      <c r="H76" s="416"/>
      <c r="I76" s="416"/>
      <c r="J76" s="416"/>
      <c r="K76" s="418"/>
      <c r="L76" s="432"/>
    </row>
    <row r="77" spans="1:24" x14ac:dyDescent="0.2">
      <c r="A77" s="406"/>
      <c r="B77" s="424" t="s">
        <v>662</v>
      </c>
      <c r="C77" s="858">
        <v>50000</v>
      </c>
      <c r="D77" s="858"/>
      <c r="E77" s="555" t="s">
        <v>637</v>
      </c>
      <c r="F77" s="556">
        <f>H74</f>
        <v>312000</v>
      </c>
      <c r="G77" s="555" t="s">
        <v>636</v>
      </c>
      <c r="H77" s="426">
        <f>C77/F77</f>
        <v>0.16025641025641027</v>
      </c>
      <c r="I77" s="416" t="s">
        <v>663</v>
      </c>
      <c r="J77" s="416"/>
      <c r="K77" s="418"/>
      <c r="L77" s="432"/>
    </row>
    <row r="78" spans="1:24" x14ac:dyDescent="0.2">
      <c r="A78" s="406"/>
      <c r="B78" s="424"/>
      <c r="C78" s="416"/>
      <c r="D78" s="416"/>
      <c r="E78" s="555"/>
      <c r="F78" s="416"/>
      <c r="G78" s="416"/>
      <c r="H78" s="416"/>
      <c r="I78" s="416"/>
      <c r="J78" s="416"/>
      <c r="K78" s="418"/>
      <c r="L78" s="432"/>
    </row>
    <row r="79" spans="1:24" x14ac:dyDescent="0.2">
      <c r="A79" s="406"/>
      <c r="B79" s="433"/>
      <c r="C79" s="434" t="s">
        <v>664</v>
      </c>
      <c r="D79" s="434"/>
      <c r="E79" s="557"/>
      <c r="F79" s="434"/>
      <c r="G79" s="434"/>
      <c r="H79" s="434"/>
      <c r="I79" s="434"/>
      <c r="J79" s="434"/>
      <c r="K79" s="435"/>
      <c r="L79" s="432"/>
    </row>
    <row r="80" spans="1:24" x14ac:dyDescent="0.2">
      <c r="A80" s="406"/>
      <c r="B80" s="424" t="s">
        <v>665</v>
      </c>
      <c r="C80" s="858">
        <v>100000</v>
      </c>
      <c r="D80" s="858"/>
      <c r="E80" s="555" t="s">
        <v>290</v>
      </c>
      <c r="F80" s="555">
        <v>0.115</v>
      </c>
      <c r="G80" s="555" t="s">
        <v>636</v>
      </c>
      <c r="H80" s="556">
        <f>C80*F80</f>
        <v>11500</v>
      </c>
      <c r="I80" s="416" t="s">
        <v>666</v>
      </c>
      <c r="J80" s="416"/>
      <c r="K80" s="418"/>
      <c r="L80" s="432"/>
    </row>
    <row r="81" spans="1:12" x14ac:dyDescent="0.2">
      <c r="A81" s="406"/>
      <c r="B81" s="424"/>
      <c r="C81" s="416"/>
      <c r="D81" s="416"/>
      <c r="E81" s="555"/>
      <c r="F81" s="416"/>
      <c r="G81" s="416"/>
      <c r="H81" s="416"/>
      <c r="I81" s="416"/>
      <c r="J81" s="416"/>
      <c r="K81" s="418"/>
      <c r="L81" s="432"/>
    </row>
    <row r="82" spans="1:12" x14ac:dyDescent="0.2">
      <c r="A82" s="406"/>
      <c r="B82" s="433"/>
      <c r="C82" s="434" t="s">
        <v>667</v>
      </c>
      <c r="D82" s="434"/>
      <c r="E82" s="557"/>
      <c r="F82" s="434" t="s">
        <v>663</v>
      </c>
      <c r="G82" s="434"/>
      <c r="H82" s="434"/>
      <c r="I82" s="434"/>
      <c r="J82" s="434" t="s">
        <v>668</v>
      </c>
      <c r="K82" s="435"/>
      <c r="L82" s="432"/>
    </row>
    <row r="83" spans="1:12" x14ac:dyDescent="0.2">
      <c r="A83" s="406"/>
      <c r="B83" s="424" t="s">
        <v>669</v>
      </c>
      <c r="C83" s="874">
        <f>H80</f>
        <v>11500</v>
      </c>
      <c r="D83" s="874"/>
      <c r="E83" s="555" t="s">
        <v>290</v>
      </c>
      <c r="F83" s="426">
        <f>H77</f>
        <v>0.16025641025641027</v>
      </c>
      <c r="G83" s="555" t="s">
        <v>637</v>
      </c>
      <c r="H83" s="555">
        <v>1000</v>
      </c>
      <c r="I83" s="555" t="s">
        <v>636</v>
      </c>
      <c r="J83" s="558">
        <f>C83*F83/H83</f>
        <v>1.8429487179487181</v>
      </c>
      <c r="K83" s="418"/>
      <c r="L83" s="432"/>
    </row>
    <row r="84" spans="1:12" ht="15" thickBot="1" x14ac:dyDescent="0.25">
      <c r="A84" s="406"/>
      <c r="B84" s="419"/>
      <c r="C84" s="436"/>
      <c r="D84" s="436"/>
      <c r="E84" s="437"/>
      <c r="F84" s="438"/>
      <c r="G84" s="437"/>
      <c r="H84" s="437"/>
      <c r="I84" s="437"/>
      <c r="J84" s="439"/>
      <c r="K84" s="421"/>
      <c r="L84" s="432"/>
    </row>
    <row r="85" spans="1:12" ht="40.5" customHeight="1" x14ac:dyDescent="0.2">
      <c r="A85" s="406"/>
      <c r="B85" s="866" t="s">
        <v>628</v>
      </c>
      <c r="C85" s="866"/>
      <c r="D85" s="866"/>
      <c r="E85" s="866"/>
      <c r="F85" s="866"/>
      <c r="G85" s="866"/>
      <c r="H85" s="866"/>
      <c r="I85" s="866"/>
      <c r="J85" s="866"/>
      <c r="K85" s="866"/>
      <c r="L85" s="406"/>
    </row>
    <row r="86" spans="1:12" x14ac:dyDescent="0.2">
      <c r="A86" s="406"/>
      <c r="B86" s="859" t="s">
        <v>670</v>
      </c>
      <c r="C86" s="859"/>
      <c r="D86" s="859"/>
      <c r="E86" s="859"/>
      <c r="F86" s="859"/>
      <c r="G86" s="859"/>
      <c r="H86" s="859"/>
      <c r="I86" s="859"/>
      <c r="J86" s="859"/>
      <c r="K86" s="859"/>
      <c r="L86" s="406"/>
    </row>
    <row r="87" spans="1:12" x14ac:dyDescent="0.2">
      <c r="A87" s="406"/>
      <c r="B87" s="440"/>
      <c r="C87" s="440"/>
      <c r="D87" s="440"/>
      <c r="E87" s="440"/>
      <c r="F87" s="440"/>
      <c r="G87" s="440"/>
      <c r="H87" s="440"/>
      <c r="I87" s="440"/>
      <c r="J87" s="440"/>
      <c r="K87" s="440"/>
      <c r="L87" s="406"/>
    </row>
    <row r="88" spans="1:12" x14ac:dyDescent="0.2">
      <c r="A88" s="406"/>
      <c r="B88" s="859" t="s">
        <v>671</v>
      </c>
      <c r="C88" s="859"/>
      <c r="D88" s="859"/>
      <c r="E88" s="859"/>
      <c r="F88" s="859"/>
      <c r="G88" s="859"/>
      <c r="H88" s="859"/>
      <c r="I88" s="859"/>
      <c r="J88" s="859"/>
      <c r="K88" s="859"/>
      <c r="L88" s="406"/>
    </row>
    <row r="89" spans="1:12" x14ac:dyDescent="0.2">
      <c r="A89" s="406"/>
      <c r="B89" s="549"/>
      <c r="C89" s="549"/>
      <c r="D89" s="549"/>
      <c r="E89" s="549"/>
      <c r="F89" s="549"/>
      <c r="G89" s="549"/>
      <c r="H89" s="549"/>
      <c r="I89" s="549"/>
      <c r="J89" s="549"/>
      <c r="K89" s="549"/>
      <c r="L89" s="406"/>
    </row>
    <row r="90" spans="1:12" ht="45" customHeight="1" x14ac:dyDescent="0.2">
      <c r="A90" s="406"/>
      <c r="B90" s="864" t="s">
        <v>672</v>
      </c>
      <c r="C90" s="864"/>
      <c r="D90" s="864"/>
      <c r="E90" s="864"/>
      <c r="F90" s="864"/>
      <c r="G90" s="864"/>
      <c r="H90" s="864"/>
      <c r="I90" s="864"/>
      <c r="J90" s="864"/>
      <c r="K90" s="864"/>
      <c r="L90" s="406"/>
    </row>
    <row r="91" spans="1:12" ht="15" customHeight="1" thickBot="1" x14ac:dyDescent="0.25">
      <c r="A91" s="406"/>
      <c r="L91" s="406"/>
    </row>
    <row r="92" spans="1:12" ht="15" customHeight="1" x14ac:dyDescent="0.2">
      <c r="A92" s="406"/>
      <c r="B92" s="441" t="s">
        <v>632</v>
      </c>
      <c r="C92" s="442"/>
      <c r="D92" s="442"/>
      <c r="E92" s="442"/>
      <c r="F92" s="442"/>
      <c r="G92" s="442"/>
      <c r="H92" s="442"/>
      <c r="I92" s="442"/>
      <c r="J92" s="442"/>
      <c r="K92" s="443"/>
      <c r="L92" s="406"/>
    </row>
    <row r="93" spans="1:12" ht="15" customHeight="1" x14ac:dyDescent="0.2">
      <c r="A93" s="406"/>
      <c r="B93" s="444"/>
      <c r="C93" s="553" t="s">
        <v>638</v>
      </c>
      <c r="D93" s="553"/>
      <c r="E93" s="553"/>
      <c r="F93" s="553"/>
      <c r="G93" s="553"/>
      <c r="H93" s="553"/>
      <c r="I93" s="553"/>
      <c r="J93" s="553"/>
      <c r="K93" s="445"/>
      <c r="L93" s="406"/>
    </row>
    <row r="94" spans="1:12" ht="15" customHeight="1" x14ac:dyDescent="0.2">
      <c r="A94" s="406"/>
      <c r="B94" s="444" t="s">
        <v>659</v>
      </c>
      <c r="C94" s="858">
        <v>312000000</v>
      </c>
      <c r="D94" s="858"/>
      <c r="E94" s="555" t="s">
        <v>637</v>
      </c>
      <c r="F94" s="555">
        <v>1000</v>
      </c>
      <c r="G94" s="555" t="s">
        <v>636</v>
      </c>
      <c r="H94" s="556">
        <f>C94/F94</f>
        <v>312000</v>
      </c>
      <c r="I94" s="553" t="s">
        <v>660</v>
      </c>
      <c r="J94" s="553"/>
      <c r="K94" s="445"/>
      <c r="L94" s="406"/>
    </row>
    <row r="95" spans="1:12" ht="15" customHeight="1" x14ac:dyDescent="0.2">
      <c r="A95" s="406"/>
      <c r="B95" s="444"/>
      <c r="C95" s="553"/>
      <c r="D95" s="553"/>
      <c r="E95" s="555"/>
      <c r="F95" s="553"/>
      <c r="G95" s="553"/>
      <c r="H95" s="553"/>
      <c r="I95" s="553"/>
      <c r="J95" s="553"/>
      <c r="K95" s="445"/>
      <c r="L95" s="406"/>
    </row>
    <row r="96" spans="1:12" ht="15" customHeight="1" x14ac:dyDescent="0.2">
      <c r="A96" s="406"/>
      <c r="B96" s="444"/>
      <c r="C96" s="553" t="s">
        <v>661</v>
      </c>
      <c r="D96" s="553"/>
      <c r="E96" s="555"/>
      <c r="F96" s="553" t="s">
        <v>660</v>
      </c>
      <c r="G96" s="553"/>
      <c r="H96" s="553"/>
      <c r="I96" s="553"/>
      <c r="J96" s="553"/>
      <c r="K96" s="445"/>
      <c r="L96" s="406"/>
    </row>
    <row r="97" spans="1:12" ht="15" customHeight="1" x14ac:dyDescent="0.2">
      <c r="A97" s="406"/>
      <c r="B97" s="444" t="s">
        <v>662</v>
      </c>
      <c r="C97" s="858">
        <v>50000</v>
      </c>
      <c r="D97" s="858"/>
      <c r="E97" s="555" t="s">
        <v>637</v>
      </c>
      <c r="F97" s="556">
        <f>H94</f>
        <v>312000</v>
      </c>
      <c r="G97" s="555" t="s">
        <v>636</v>
      </c>
      <c r="H97" s="426">
        <f>C97/F97</f>
        <v>0.16025641025641027</v>
      </c>
      <c r="I97" s="553" t="s">
        <v>663</v>
      </c>
      <c r="J97" s="553"/>
      <c r="K97" s="445"/>
      <c r="L97" s="406"/>
    </row>
    <row r="98" spans="1:12" ht="15" customHeight="1" x14ac:dyDescent="0.2">
      <c r="A98" s="406"/>
      <c r="B98" s="444"/>
      <c r="C98" s="553"/>
      <c r="D98" s="553"/>
      <c r="E98" s="555"/>
      <c r="F98" s="553"/>
      <c r="G98" s="553"/>
      <c r="H98" s="553"/>
      <c r="I98" s="553"/>
      <c r="J98" s="553"/>
      <c r="K98" s="445"/>
      <c r="L98" s="406"/>
    </row>
    <row r="99" spans="1:12" ht="15" customHeight="1" x14ac:dyDescent="0.2">
      <c r="A99" s="406"/>
      <c r="B99" s="446"/>
      <c r="C99" s="447" t="s">
        <v>673</v>
      </c>
      <c r="D99" s="447"/>
      <c r="E99" s="557"/>
      <c r="F99" s="447"/>
      <c r="G99" s="447"/>
      <c r="H99" s="447"/>
      <c r="I99" s="447"/>
      <c r="J99" s="447"/>
      <c r="K99" s="448"/>
      <c r="L99" s="406"/>
    </row>
    <row r="100" spans="1:12" ht="15" customHeight="1" x14ac:dyDescent="0.2">
      <c r="A100" s="406"/>
      <c r="B100" s="444" t="s">
        <v>665</v>
      </c>
      <c r="C100" s="858">
        <v>2500000</v>
      </c>
      <c r="D100" s="858"/>
      <c r="E100" s="555" t="s">
        <v>290</v>
      </c>
      <c r="F100" s="449">
        <v>0.3</v>
      </c>
      <c r="G100" s="555" t="s">
        <v>636</v>
      </c>
      <c r="H100" s="556">
        <f>C100*F100</f>
        <v>750000</v>
      </c>
      <c r="I100" s="553" t="s">
        <v>666</v>
      </c>
      <c r="J100" s="553"/>
      <c r="K100" s="445"/>
      <c r="L100" s="406"/>
    </row>
    <row r="101" spans="1:12" ht="15" customHeight="1" x14ac:dyDescent="0.2">
      <c r="A101" s="406"/>
      <c r="B101" s="444"/>
      <c r="C101" s="553"/>
      <c r="D101" s="553"/>
      <c r="E101" s="555"/>
      <c r="F101" s="553"/>
      <c r="G101" s="553"/>
      <c r="H101" s="553"/>
      <c r="I101" s="553"/>
      <c r="J101" s="553"/>
      <c r="K101" s="445"/>
      <c r="L101" s="406"/>
    </row>
    <row r="102" spans="1:12" ht="15" customHeight="1" x14ac:dyDescent="0.2">
      <c r="A102" s="406"/>
      <c r="B102" s="446"/>
      <c r="C102" s="447" t="s">
        <v>667</v>
      </c>
      <c r="D102" s="447"/>
      <c r="E102" s="557"/>
      <c r="F102" s="447" t="s">
        <v>663</v>
      </c>
      <c r="G102" s="447"/>
      <c r="H102" s="447"/>
      <c r="I102" s="447"/>
      <c r="J102" s="447" t="s">
        <v>668</v>
      </c>
      <c r="K102" s="448"/>
      <c r="L102" s="406"/>
    </row>
    <row r="103" spans="1:12" ht="15" customHeight="1" x14ac:dyDescent="0.2">
      <c r="A103" s="406"/>
      <c r="B103" s="444" t="s">
        <v>669</v>
      </c>
      <c r="C103" s="874">
        <f>H100</f>
        <v>750000</v>
      </c>
      <c r="D103" s="874"/>
      <c r="E103" s="555" t="s">
        <v>290</v>
      </c>
      <c r="F103" s="426">
        <f>H97</f>
        <v>0.16025641025641027</v>
      </c>
      <c r="G103" s="555" t="s">
        <v>637</v>
      </c>
      <c r="H103" s="555">
        <v>1000</v>
      </c>
      <c r="I103" s="555" t="s">
        <v>636</v>
      </c>
      <c r="J103" s="558">
        <f>C103*F103/H103</f>
        <v>120.19230769230771</v>
      </c>
      <c r="K103" s="445"/>
      <c r="L103" s="406"/>
    </row>
    <row r="104" spans="1:12" ht="15" customHeight="1" thickBot="1" x14ac:dyDescent="0.25">
      <c r="A104" s="406"/>
      <c r="B104" s="450"/>
      <c r="C104" s="436"/>
      <c r="D104" s="436"/>
      <c r="E104" s="437"/>
      <c r="F104" s="438"/>
      <c r="G104" s="437"/>
      <c r="H104" s="437"/>
      <c r="I104" s="437"/>
      <c r="J104" s="439"/>
      <c r="K104" s="554"/>
      <c r="L104" s="406"/>
    </row>
    <row r="105" spans="1:12" ht="40.5" customHeight="1" x14ac:dyDescent="0.2">
      <c r="A105" s="406"/>
      <c r="B105" s="866" t="s">
        <v>628</v>
      </c>
      <c r="C105" s="875"/>
      <c r="D105" s="875"/>
      <c r="E105" s="875"/>
      <c r="F105" s="875"/>
      <c r="G105" s="875"/>
      <c r="H105" s="875"/>
      <c r="I105" s="875"/>
      <c r="J105" s="875"/>
      <c r="K105" s="875"/>
      <c r="L105" s="406"/>
    </row>
    <row r="106" spans="1:12" ht="15" customHeight="1" x14ac:dyDescent="0.2">
      <c r="A106" s="406"/>
      <c r="B106" s="876" t="s">
        <v>674</v>
      </c>
      <c r="C106" s="860"/>
      <c r="D106" s="860"/>
      <c r="E106" s="860"/>
      <c r="F106" s="860"/>
      <c r="G106" s="860"/>
      <c r="H106" s="860"/>
      <c r="I106" s="860"/>
      <c r="J106" s="860"/>
      <c r="K106" s="860"/>
      <c r="L106" s="406"/>
    </row>
    <row r="107" spans="1:12" ht="15" customHeight="1" x14ac:dyDescent="0.2">
      <c r="A107" s="406"/>
      <c r="B107" s="553"/>
      <c r="C107" s="451"/>
      <c r="D107" s="451"/>
      <c r="E107" s="555"/>
      <c r="F107" s="426"/>
      <c r="G107" s="555"/>
      <c r="H107" s="555"/>
      <c r="I107" s="555"/>
      <c r="J107" s="558"/>
      <c r="K107" s="553"/>
      <c r="L107" s="406"/>
    </row>
    <row r="108" spans="1:12" ht="15" customHeight="1" x14ac:dyDescent="0.2">
      <c r="A108" s="406"/>
      <c r="B108" s="876" t="s">
        <v>675</v>
      </c>
      <c r="C108" s="877"/>
      <c r="D108" s="877"/>
      <c r="E108" s="877"/>
      <c r="F108" s="877"/>
      <c r="G108" s="877"/>
      <c r="H108" s="877"/>
      <c r="I108" s="877"/>
      <c r="J108" s="877"/>
      <c r="K108" s="877"/>
      <c r="L108" s="406"/>
    </row>
    <row r="109" spans="1:12" ht="15" customHeight="1" x14ac:dyDescent="0.2">
      <c r="A109" s="406"/>
      <c r="B109" s="553"/>
      <c r="C109" s="451"/>
      <c r="D109" s="451"/>
      <c r="E109" s="555"/>
      <c r="F109" s="426"/>
      <c r="G109" s="555"/>
      <c r="H109" s="555"/>
      <c r="I109" s="555"/>
      <c r="J109" s="558"/>
      <c r="K109" s="553"/>
      <c r="L109" s="406"/>
    </row>
    <row r="110" spans="1:12" ht="59.25" customHeight="1" x14ac:dyDescent="0.2">
      <c r="A110" s="406"/>
      <c r="B110" s="878" t="s">
        <v>676</v>
      </c>
      <c r="C110" s="867"/>
      <c r="D110" s="867"/>
      <c r="E110" s="867"/>
      <c r="F110" s="867"/>
      <c r="G110" s="867"/>
      <c r="H110" s="867"/>
      <c r="I110" s="867"/>
      <c r="J110" s="867"/>
      <c r="K110" s="867"/>
      <c r="L110" s="406"/>
    </row>
    <row r="111" spans="1:12" ht="15" thickBot="1" x14ac:dyDescent="0.25">
      <c r="A111" s="406"/>
      <c r="B111" s="550"/>
      <c r="C111" s="550"/>
      <c r="D111" s="550"/>
      <c r="E111" s="550"/>
      <c r="F111" s="550"/>
      <c r="G111" s="550"/>
      <c r="H111" s="550"/>
      <c r="I111" s="550"/>
      <c r="J111" s="550"/>
      <c r="K111" s="550"/>
      <c r="L111" s="452"/>
    </row>
    <row r="112" spans="1:12" x14ac:dyDescent="0.2">
      <c r="A112" s="406"/>
      <c r="B112" s="412" t="s">
        <v>632</v>
      </c>
      <c r="C112" s="413"/>
      <c r="D112" s="413"/>
      <c r="E112" s="413"/>
      <c r="F112" s="413"/>
      <c r="G112" s="413"/>
      <c r="H112" s="413"/>
      <c r="I112" s="413"/>
      <c r="J112" s="413"/>
      <c r="K112" s="414"/>
      <c r="L112" s="406"/>
    </row>
    <row r="113" spans="1:12" x14ac:dyDescent="0.2">
      <c r="A113" s="406"/>
      <c r="B113" s="424"/>
      <c r="C113" s="416" t="s">
        <v>638</v>
      </c>
      <c r="D113" s="416"/>
      <c r="E113" s="416"/>
      <c r="F113" s="416"/>
      <c r="G113" s="416"/>
      <c r="H113" s="416"/>
      <c r="I113" s="416"/>
      <c r="J113" s="416"/>
      <c r="K113" s="418"/>
      <c r="L113" s="406"/>
    </row>
    <row r="114" spans="1:12" x14ac:dyDescent="0.2">
      <c r="A114" s="406"/>
      <c r="B114" s="424" t="s">
        <v>659</v>
      </c>
      <c r="C114" s="858">
        <v>312000000</v>
      </c>
      <c r="D114" s="858"/>
      <c r="E114" s="555" t="s">
        <v>637</v>
      </c>
      <c r="F114" s="555">
        <v>1000</v>
      </c>
      <c r="G114" s="555" t="s">
        <v>636</v>
      </c>
      <c r="H114" s="556">
        <f>C114/F114</f>
        <v>312000</v>
      </c>
      <c r="I114" s="416" t="s">
        <v>660</v>
      </c>
      <c r="J114" s="416"/>
      <c r="K114" s="418"/>
      <c r="L114" s="406"/>
    </row>
    <row r="115" spans="1:12" x14ac:dyDescent="0.2">
      <c r="A115" s="406"/>
      <c r="B115" s="424"/>
      <c r="C115" s="416"/>
      <c r="D115" s="416"/>
      <c r="E115" s="555"/>
      <c r="F115" s="416"/>
      <c r="G115" s="416"/>
      <c r="H115" s="416"/>
      <c r="I115" s="416"/>
      <c r="J115" s="416"/>
      <c r="K115" s="418"/>
      <c r="L115" s="406"/>
    </row>
    <row r="116" spans="1:12" x14ac:dyDescent="0.2">
      <c r="A116" s="406"/>
      <c r="B116" s="424"/>
      <c r="C116" s="416" t="s">
        <v>661</v>
      </c>
      <c r="D116" s="416"/>
      <c r="E116" s="555"/>
      <c r="F116" s="416" t="s">
        <v>660</v>
      </c>
      <c r="G116" s="416"/>
      <c r="H116" s="416"/>
      <c r="I116" s="416"/>
      <c r="J116" s="416"/>
      <c r="K116" s="418"/>
      <c r="L116" s="406"/>
    </row>
    <row r="117" spans="1:12" x14ac:dyDescent="0.2">
      <c r="A117" s="406"/>
      <c r="B117" s="424" t="s">
        <v>662</v>
      </c>
      <c r="C117" s="858">
        <v>50000</v>
      </c>
      <c r="D117" s="858"/>
      <c r="E117" s="555" t="s">
        <v>637</v>
      </c>
      <c r="F117" s="556">
        <f>H114</f>
        <v>312000</v>
      </c>
      <c r="G117" s="555" t="s">
        <v>636</v>
      </c>
      <c r="H117" s="426">
        <f>C117/F117</f>
        <v>0.16025641025641027</v>
      </c>
      <c r="I117" s="416" t="s">
        <v>663</v>
      </c>
      <c r="J117" s="416"/>
      <c r="K117" s="418"/>
      <c r="L117" s="406"/>
    </row>
    <row r="118" spans="1:12" x14ac:dyDescent="0.2">
      <c r="A118" s="406"/>
      <c r="B118" s="424"/>
      <c r="C118" s="416"/>
      <c r="D118" s="416"/>
      <c r="E118" s="555"/>
      <c r="F118" s="416"/>
      <c r="G118" s="416"/>
      <c r="H118" s="416"/>
      <c r="I118" s="416"/>
      <c r="J118" s="416"/>
      <c r="K118" s="418"/>
      <c r="L118" s="406"/>
    </row>
    <row r="119" spans="1:12" x14ac:dyDescent="0.2">
      <c r="A119" s="406"/>
      <c r="B119" s="433"/>
      <c r="C119" s="434" t="s">
        <v>673</v>
      </c>
      <c r="D119" s="434"/>
      <c r="E119" s="557"/>
      <c r="F119" s="434"/>
      <c r="G119" s="434"/>
      <c r="H119" s="434"/>
      <c r="I119" s="434"/>
      <c r="J119" s="434"/>
      <c r="K119" s="435"/>
      <c r="L119" s="406"/>
    </row>
    <row r="120" spans="1:12" x14ac:dyDescent="0.2">
      <c r="A120" s="406"/>
      <c r="B120" s="424" t="s">
        <v>665</v>
      </c>
      <c r="C120" s="858">
        <v>2500000</v>
      </c>
      <c r="D120" s="858"/>
      <c r="E120" s="555" t="s">
        <v>290</v>
      </c>
      <c r="F120" s="449">
        <v>0.25</v>
      </c>
      <c r="G120" s="555" t="s">
        <v>636</v>
      </c>
      <c r="H120" s="556">
        <f>C120*F120</f>
        <v>625000</v>
      </c>
      <c r="I120" s="416" t="s">
        <v>666</v>
      </c>
      <c r="J120" s="416"/>
      <c r="K120" s="418"/>
      <c r="L120" s="406"/>
    </row>
    <row r="121" spans="1:12" x14ac:dyDescent="0.2">
      <c r="A121" s="406"/>
      <c r="B121" s="424"/>
      <c r="C121" s="416"/>
      <c r="D121" s="416"/>
      <c r="E121" s="555"/>
      <c r="F121" s="416"/>
      <c r="G121" s="416"/>
      <c r="H121" s="416"/>
      <c r="I121" s="416"/>
      <c r="J121" s="416"/>
      <c r="K121" s="418"/>
      <c r="L121" s="406"/>
    </row>
    <row r="122" spans="1:12" x14ac:dyDescent="0.2">
      <c r="A122" s="406"/>
      <c r="B122" s="433"/>
      <c r="C122" s="434" t="s">
        <v>667</v>
      </c>
      <c r="D122" s="434"/>
      <c r="E122" s="557"/>
      <c r="F122" s="434" t="s">
        <v>663</v>
      </c>
      <c r="G122" s="434"/>
      <c r="H122" s="434"/>
      <c r="I122" s="434"/>
      <c r="J122" s="434" t="s">
        <v>668</v>
      </c>
      <c r="K122" s="435"/>
      <c r="L122" s="406"/>
    </row>
    <row r="123" spans="1:12" x14ac:dyDescent="0.2">
      <c r="A123" s="406"/>
      <c r="B123" s="424" t="s">
        <v>669</v>
      </c>
      <c r="C123" s="874">
        <f>H120</f>
        <v>625000</v>
      </c>
      <c r="D123" s="874"/>
      <c r="E123" s="555" t="s">
        <v>290</v>
      </c>
      <c r="F123" s="426">
        <f>H117</f>
        <v>0.16025641025641027</v>
      </c>
      <c r="G123" s="555" t="s">
        <v>637</v>
      </c>
      <c r="H123" s="555">
        <v>1000</v>
      </c>
      <c r="I123" s="555" t="s">
        <v>636</v>
      </c>
      <c r="J123" s="558">
        <f>C123*F123/H123</f>
        <v>100.16025641025642</v>
      </c>
      <c r="K123" s="418"/>
      <c r="L123" s="406"/>
    </row>
    <row r="124" spans="1:12" ht="15" thickBot="1" x14ac:dyDescent="0.25">
      <c r="A124" s="406"/>
      <c r="B124" s="419"/>
      <c r="C124" s="436"/>
      <c r="D124" s="436"/>
      <c r="E124" s="437"/>
      <c r="F124" s="438"/>
      <c r="G124" s="437"/>
      <c r="H124" s="437"/>
      <c r="I124" s="437"/>
      <c r="J124" s="439"/>
      <c r="K124" s="421"/>
      <c r="L124" s="406"/>
    </row>
    <row r="125" spans="1:12" ht="40.5" customHeight="1" x14ac:dyDescent="0.2">
      <c r="A125" s="406"/>
      <c r="B125" s="866" t="s">
        <v>628</v>
      </c>
      <c r="C125" s="866"/>
      <c r="D125" s="866"/>
      <c r="E125" s="866"/>
      <c r="F125" s="866"/>
      <c r="G125" s="866"/>
      <c r="H125" s="866"/>
      <c r="I125" s="866"/>
      <c r="J125" s="866"/>
      <c r="K125" s="866"/>
      <c r="L125" s="452"/>
    </row>
    <row r="126" spans="1:12" x14ac:dyDescent="0.2">
      <c r="A126" s="406"/>
      <c r="B126" s="859" t="s">
        <v>677</v>
      </c>
      <c r="C126" s="859"/>
      <c r="D126" s="859"/>
      <c r="E126" s="859"/>
      <c r="F126" s="859"/>
      <c r="G126" s="859"/>
      <c r="H126" s="859"/>
      <c r="I126" s="859"/>
      <c r="J126" s="859"/>
      <c r="K126" s="859"/>
      <c r="L126" s="452"/>
    </row>
    <row r="127" spans="1:12" x14ac:dyDescent="0.2">
      <c r="A127" s="406"/>
      <c r="B127" s="550"/>
      <c r="C127" s="550"/>
      <c r="D127" s="550"/>
      <c r="E127" s="550"/>
      <c r="F127" s="550"/>
      <c r="G127" s="550"/>
      <c r="H127" s="550"/>
      <c r="I127" s="550"/>
      <c r="J127" s="550"/>
      <c r="K127" s="550"/>
      <c r="L127" s="452"/>
    </row>
    <row r="128" spans="1:12" x14ac:dyDescent="0.2">
      <c r="A128" s="406"/>
      <c r="B128" s="859" t="s">
        <v>678</v>
      </c>
      <c r="C128" s="859"/>
      <c r="D128" s="859"/>
      <c r="E128" s="859"/>
      <c r="F128" s="859"/>
      <c r="G128" s="859"/>
      <c r="H128" s="859"/>
      <c r="I128" s="859"/>
      <c r="J128" s="859"/>
      <c r="K128" s="859"/>
      <c r="L128" s="452"/>
    </row>
    <row r="129" spans="1:12" x14ac:dyDescent="0.2">
      <c r="A129" s="406"/>
      <c r="B129" s="549"/>
      <c r="C129" s="549"/>
      <c r="D129" s="549"/>
      <c r="E129" s="549"/>
      <c r="F129" s="549"/>
      <c r="G129" s="549"/>
      <c r="H129" s="549"/>
      <c r="I129" s="549"/>
      <c r="J129" s="549"/>
      <c r="K129" s="549"/>
      <c r="L129" s="452"/>
    </row>
    <row r="130" spans="1:12" ht="74.25" customHeight="1" x14ac:dyDescent="0.2">
      <c r="A130" s="406"/>
      <c r="B130" s="864" t="s">
        <v>679</v>
      </c>
      <c r="C130" s="864"/>
      <c r="D130" s="864"/>
      <c r="E130" s="864"/>
      <c r="F130" s="864"/>
      <c r="G130" s="864"/>
      <c r="H130" s="864"/>
      <c r="I130" s="864"/>
      <c r="J130" s="864"/>
      <c r="K130" s="864"/>
      <c r="L130" s="452"/>
    </row>
    <row r="131" spans="1:12" ht="15" thickBot="1" x14ac:dyDescent="0.25">
      <c r="A131" s="406"/>
      <c r="L131" s="406"/>
    </row>
    <row r="132" spans="1:12" x14ac:dyDescent="0.2">
      <c r="A132" s="406"/>
      <c r="B132" s="412" t="s">
        <v>632</v>
      </c>
      <c r="C132" s="413"/>
      <c r="D132" s="413"/>
      <c r="E132" s="413"/>
      <c r="F132" s="413"/>
      <c r="G132" s="413"/>
      <c r="H132" s="413"/>
      <c r="I132" s="413"/>
      <c r="J132" s="413"/>
      <c r="K132" s="414"/>
      <c r="L132" s="406"/>
    </row>
    <row r="133" spans="1:12" x14ac:dyDescent="0.2">
      <c r="A133" s="406"/>
      <c r="B133" s="424"/>
      <c r="C133" s="882" t="s">
        <v>680</v>
      </c>
      <c r="D133" s="882"/>
      <c r="E133" s="416"/>
      <c r="F133" s="555" t="s">
        <v>681</v>
      </c>
      <c r="G133" s="416"/>
      <c r="H133" s="882" t="s">
        <v>666</v>
      </c>
      <c r="I133" s="882"/>
      <c r="J133" s="416"/>
      <c r="K133" s="418"/>
      <c r="L133" s="406"/>
    </row>
    <row r="134" spans="1:12" x14ac:dyDescent="0.2">
      <c r="A134" s="406"/>
      <c r="B134" s="424" t="s">
        <v>659</v>
      </c>
      <c r="C134" s="858">
        <v>100000</v>
      </c>
      <c r="D134" s="858"/>
      <c r="E134" s="555" t="s">
        <v>290</v>
      </c>
      <c r="F134" s="555">
        <v>0.115</v>
      </c>
      <c r="G134" s="555" t="s">
        <v>636</v>
      </c>
      <c r="H134" s="883">
        <f>C134*F134</f>
        <v>11500</v>
      </c>
      <c r="I134" s="883"/>
      <c r="J134" s="416"/>
      <c r="K134" s="418"/>
      <c r="L134" s="406"/>
    </row>
    <row r="135" spans="1:12" x14ac:dyDescent="0.2">
      <c r="A135" s="406"/>
      <c r="B135" s="424"/>
      <c r="C135" s="416"/>
      <c r="D135" s="416"/>
      <c r="E135" s="416"/>
      <c r="F135" s="416"/>
      <c r="G135" s="416"/>
      <c r="H135" s="416"/>
      <c r="I135" s="416"/>
      <c r="J135" s="416"/>
      <c r="K135" s="418"/>
      <c r="L135" s="406"/>
    </row>
    <row r="136" spans="1:12" x14ac:dyDescent="0.2">
      <c r="A136" s="406"/>
      <c r="B136" s="433"/>
      <c r="C136" s="884" t="s">
        <v>666</v>
      </c>
      <c r="D136" s="884"/>
      <c r="E136" s="434"/>
      <c r="F136" s="557" t="s">
        <v>682</v>
      </c>
      <c r="G136" s="557"/>
      <c r="H136" s="434"/>
      <c r="I136" s="434"/>
      <c r="J136" s="434" t="s">
        <v>683</v>
      </c>
      <c r="K136" s="435"/>
      <c r="L136" s="406"/>
    </row>
    <row r="137" spans="1:12" x14ac:dyDescent="0.2">
      <c r="A137" s="406"/>
      <c r="B137" s="424" t="s">
        <v>662</v>
      </c>
      <c r="C137" s="883">
        <f>H134</f>
        <v>11500</v>
      </c>
      <c r="D137" s="883"/>
      <c r="E137" s="555" t="s">
        <v>290</v>
      </c>
      <c r="F137" s="453">
        <v>52.869</v>
      </c>
      <c r="G137" s="555" t="s">
        <v>637</v>
      </c>
      <c r="H137" s="555">
        <v>1000</v>
      </c>
      <c r="I137" s="555" t="s">
        <v>636</v>
      </c>
      <c r="J137" s="454">
        <f>C137*F137/H137</f>
        <v>607.99350000000004</v>
      </c>
      <c r="K137" s="418"/>
      <c r="L137" s="406"/>
    </row>
    <row r="138" spans="1:12" ht="15" thickBot="1" x14ac:dyDescent="0.25">
      <c r="A138" s="406"/>
      <c r="B138" s="419"/>
      <c r="C138" s="455"/>
      <c r="D138" s="455"/>
      <c r="E138" s="437"/>
      <c r="F138" s="456"/>
      <c r="G138" s="437"/>
      <c r="H138" s="437"/>
      <c r="I138" s="437"/>
      <c r="J138" s="457"/>
      <c r="K138" s="421"/>
      <c r="L138" s="406"/>
    </row>
    <row r="139" spans="1:12" ht="40.5" customHeight="1" x14ac:dyDescent="0.2">
      <c r="A139" s="406"/>
      <c r="B139" s="458" t="s">
        <v>628</v>
      </c>
      <c r="C139" s="459"/>
      <c r="D139" s="459"/>
      <c r="E139" s="460"/>
      <c r="F139" s="461"/>
      <c r="G139" s="460"/>
      <c r="H139" s="460"/>
      <c r="I139" s="460"/>
      <c r="J139" s="462"/>
      <c r="K139" s="463"/>
      <c r="L139" s="406"/>
    </row>
    <row r="140" spans="1:12" x14ac:dyDescent="0.2">
      <c r="A140" s="406"/>
      <c r="B140" s="464" t="s">
        <v>684</v>
      </c>
      <c r="C140" s="465"/>
      <c r="D140" s="465"/>
      <c r="E140" s="466"/>
      <c r="F140" s="467"/>
      <c r="G140" s="466"/>
      <c r="H140" s="466"/>
      <c r="I140" s="466"/>
      <c r="J140" s="468"/>
      <c r="K140" s="469"/>
      <c r="L140" s="406"/>
    </row>
    <row r="141" spans="1:12" x14ac:dyDescent="0.2">
      <c r="A141" s="406"/>
      <c r="B141" s="424"/>
      <c r="C141" s="556"/>
      <c r="D141" s="556"/>
      <c r="E141" s="555"/>
      <c r="F141" s="470"/>
      <c r="G141" s="555"/>
      <c r="H141" s="555"/>
      <c r="I141" s="555"/>
      <c r="J141" s="454"/>
      <c r="K141" s="418"/>
      <c r="L141" s="406"/>
    </row>
    <row r="142" spans="1:12" x14ac:dyDescent="0.2">
      <c r="A142" s="406"/>
      <c r="B142" s="464" t="s">
        <v>685</v>
      </c>
      <c r="C142" s="465"/>
      <c r="D142" s="465"/>
      <c r="E142" s="466"/>
      <c r="F142" s="467"/>
      <c r="G142" s="466"/>
      <c r="H142" s="466"/>
      <c r="I142" s="466"/>
      <c r="J142" s="468"/>
      <c r="K142" s="469"/>
      <c r="L142" s="406"/>
    </row>
    <row r="143" spans="1:12" x14ac:dyDescent="0.2">
      <c r="A143" s="406"/>
      <c r="B143" s="424"/>
      <c r="C143" s="556"/>
      <c r="D143" s="556"/>
      <c r="E143" s="555"/>
      <c r="F143" s="470"/>
      <c r="G143" s="555"/>
      <c r="H143" s="555"/>
      <c r="I143" s="555"/>
      <c r="J143" s="454"/>
      <c r="K143" s="418"/>
      <c r="L143" s="406"/>
    </row>
    <row r="144" spans="1:12" ht="76.5" customHeight="1" x14ac:dyDescent="0.2">
      <c r="A144" s="406"/>
      <c r="B144" s="885" t="s">
        <v>686</v>
      </c>
      <c r="C144" s="886"/>
      <c r="D144" s="886"/>
      <c r="E144" s="886"/>
      <c r="F144" s="886"/>
      <c r="G144" s="886"/>
      <c r="H144" s="886"/>
      <c r="I144" s="886"/>
      <c r="J144" s="886"/>
      <c r="K144" s="887"/>
      <c r="L144" s="406"/>
    </row>
    <row r="145" spans="1:12" ht="15" thickBot="1" x14ac:dyDescent="0.25">
      <c r="A145" s="406"/>
      <c r="B145" s="424"/>
      <c r="C145" s="556"/>
      <c r="D145" s="556"/>
      <c r="E145" s="555"/>
      <c r="F145" s="470"/>
      <c r="G145" s="555"/>
      <c r="H145" s="555"/>
      <c r="I145" s="555"/>
      <c r="J145" s="454"/>
      <c r="K145" s="418"/>
      <c r="L145" s="406"/>
    </row>
    <row r="146" spans="1:12" x14ac:dyDescent="0.2">
      <c r="A146" s="406"/>
      <c r="B146" s="412" t="s">
        <v>632</v>
      </c>
      <c r="C146" s="471"/>
      <c r="D146" s="471"/>
      <c r="E146" s="472"/>
      <c r="F146" s="473"/>
      <c r="G146" s="472"/>
      <c r="H146" s="472"/>
      <c r="I146" s="472"/>
      <c r="J146" s="474"/>
      <c r="K146" s="414"/>
      <c r="L146" s="406"/>
    </row>
    <row r="147" spans="1:12" x14ac:dyDescent="0.2">
      <c r="A147" s="406"/>
      <c r="B147" s="424"/>
      <c r="C147" s="883" t="s">
        <v>687</v>
      </c>
      <c r="D147" s="883"/>
      <c r="E147" s="555"/>
      <c r="F147" s="470" t="s">
        <v>688</v>
      </c>
      <c r="G147" s="555"/>
      <c r="H147" s="555"/>
      <c r="I147" s="555"/>
      <c r="J147" s="880" t="s">
        <v>689</v>
      </c>
      <c r="K147" s="888"/>
      <c r="L147" s="406"/>
    </row>
    <row r="148" spans="1:12" x14ac:dyDescent="0.2">
      <c r="A148" s="406"/>
      <c r="B148" s="424"/>
      <c r="C148" s="879">
        <v>52.869</v>
      </c>
      <c r="D148" s="879"/>
      <c r="E148" s="555" t="s">
        <v>290</v>
      </c>
      <c r="F148" s="551">
        <v>312000000</v>
      </c>
      <c r="G148" s="475" t="s">
        <v>637</v>
      </c>
      <c r="H148" s="555">
        <v>1000</v>
      </c>
      <c r="I148" s="555" t="s">
        <v>636</v>
      </c>
      <c r="J148" s="880">
        <f>C148*(F148/1000)</f>
        <v>16495128</v>
      </c>
      <c r="K148" s="881"/>
      <c r="L148" s="406"/>
    </row>
    <row r="149" spans="1:12" ht="15" thickBot="1" x14ac:dyDescent="0.25">
      <c r="A149" s="406"/>
      <c r="B149" s="419"/>
      <c r="C149" s="455"/>
      <c r="D149" s="455"/>
      <c r="E149" s="437"/>
      <c r="F149" s="456"/>
      <c r="G149" s="437"/>
      <c r="H149" s="437"/>
      <c r="I149" s="437"/>
      <c r="J149" s="457"/>
      <c r="K149" s="421"/>
      <c r="L149" s="406"/>
    </row>
    <row r="150" spans="1:12" ht="15" thickBot="1" x14ac:dyDescent="0.25">
      <c r="A150" s="406"/>
      <c r="B150" s="419"/>
      <c r="C150" s="420"/>
      <c r="D150" s="420"/>
      <c r="E150" s="420"/>
      <c r="F150" s="420"/>
      <c r="G150" s="420"/>
      <c r="H150" s="420"/>
      <c r="I150" s="420"/>
      <c r="J150" s="420"/>
      <c r="K150" s="421"/>
      <c r="L150" s="406"/>
    </row>
    <row r="151" spans="1:12" x14ac:dyDescent="0.2">
      <c r="A151" s="406"/>
      <c r="B151" s="406"/>
      <c r="C151" s="406"/>
      <c r="D151" s="406"/>
      <c r="E151" s="406"/>
      <c r="F151" s="406"/>
      <c r="G151" s="406"/>
      <c r="H151" s="406"/>
      <c r="I151" s="406"/>
      <c r="J151" s="406"/>
      <c r="K151" s="406"/>
      <c r="L151" s="406"/>
    </row>
    <row r="152" spans="1:12" x14ac:dyDescent="0.2">
      <c r="A152" s="406"/>
      <c r="B152" s="406"/>
      <c r="C152" s="406"/>
      <c r="D152" s="406"/>
      <c r="E152" s="406"/>
      <c r="F152" s="406"/>
      <c r="G152" s="406"/>
      <c r="H152" s="406"/>
      <c r="I152" s="406"/>
      <c r="J152" s="406"/>
      <c r="K152" s="406"/>
      <c r="L152" s="406"/>
    </row>
    <row r="153" spans="1:12" x14ac:dyDescent="0.2">
      <c r="A153" s="406"/>
      <c r="B153" s="406"/>
      <c r="C153" s="406"/>
      <c r="D153" s="406"/>
      <c r="E153" s="406"/>
      <c r="F153" s="406"/>
      <c r="G153" s="406"/>
      <c r="H153" s="406"/>
      <c r="I153" s="406"/>
      <c r="J153" s="406"/>
      <c r="K153" s="406"/>
      <c r="L153" s="406"/>
    </row>
    <row r="154" spans="1:12" x14ac:dyDescent="0.2">
      <c r="A154" s="476"/>
      <c r="B154" s="476"/>
      <c r="C154" s="476"/>
      <c r="D154" s="476"/>
      <c r="E154" s="476"/>
      <c r="F154" s="476"/>
      <c r="G154" s="476"/>
      <c r="H154" s="476"/>
      <c r="I154" s="476"/>
      <c r="J154" s="476"/>
      <c r="K154" s="476"/>
      <c r="L154" s="476"/>
    </row>
    <row r="155" spans="1:12" x14ac:dyDescent="0.2">
      <c r="A155" s="476"/>
      <c r="B155" s="476"/>
      <c r="C155" s="476"/>
      <c r="D155" s="476"/>
      <c r="E155" s="476"/>
      <c r="F155" s="476"/>
      <c r="G155" s="476"/>
      <c r="H155" s="476"/>
      <c r="I155" s="476"/>
      <c r="J155" s="476"/>
      <c r="K155" s="476"/>
      <c r="L155" s="476"/>
    </row>
    <row r="156" spans="1:12" x14ac:dyDescent="0.2">
      <c r="A156" s="476"/>
      <c r="B156" s="476"/>
      <c r="C156" s="476"/>
      <c r="D156" s="476"/>
      <c r="E156" s="476"/>
      <c r="F156" s="476"/>
      <c r="G156" s="476"/>
      <c r="H156" s="476"/>
      <c r="I156" s="476"/>
      <c r="J156" s="476"/>
      <c r="K156" s="476"/>
      <c r="L156" s="476"/>
    </row>
    <row r="157" spans="1:12" x14ac:dyDescent="0.2">
      <c r="A157" s="476"/>
      <c r="B157" s="476"/>
      <c r="C157" s="476"/>
      <c r="D157" s="476"/>
      <c r="E157" s="476"/>
      <c r="F157" s="476"/>
      <c r="G157" s="476"/>
      <c r="H157" s="476"/>
      <c r="I157" s="476"/>
      <c r="J157" s="476"/>
      <c r="K157" s="476"/>
      <c r="L157" s="476"/>
    </row>
    <row r="158" spans="1:12" x14ac:dyDescent="0.2">
      <c r="A158" s="476"/>
      <c r="B158" s="476"/>
      <c r="C158" s="476"/>
      <c r="D158" s="476"/>
      <c r="E158" s="476"/>
      <c r="F158" s="476"/>
      <c r="G158" s="476"/>
      <c r="H158" s="476"/>
      <c r="I158" s="476"/>
      <c r="J158" s="476"/>
      <c r="K158" s="476"/>
      <c r="L158" s="476"/>
    </row>
    <row r="159" spans="1:12" x14ac:dyDescent="0.2">
      <c r="A159" s="476"/>
      <c r="B159" s="476"/>
      <c r="C159" s="476"/>
      <c r="D159" s="476"/>
      <c r="E159" s="476"/>
      <c r="F159" s="476"/>
      <c r="G159" s="476"/>
      <c r="H159" s="476"/>
      <c r="I159" s="476"/>
      <c r="J159" s="476"/>
      <c r="K159" s="476"/>
      <c r="L159" s="476"/>
    </row>
    <row r="160" spans="1:12" x14ac:dyDescent="0.2">
      <c r="A160" s="476"/>
      <c r="B160" s="476"/>
      <c r="C160" s="476"/>
      <c r="D160" s="476"/>
      <c r="E160" s="476"/>
      <c r="F160" s="476"/>
      <c r="G160" s="476"/>
      <c r="H160" s="476"/>
      <c r="I160" s="476"/>
      <c r="J160" s="476"/>
      <c r="K160" s="476"/>
      <c r="L160" s="476"/>
    </row>
    <row r="161" spans="1:12" x14ac:dyDescent="0.2">
      <c r="A161" s="476"/>
      <c r="B161" s="476"/>
      <c r="C161" s="476"/>
      <c r="D161" s="476"/>
      <c r="E161" s="476"/>
      <c r="F161" s="476"/>
      <c r="G161" s="476"/>
      <c r="H161" s="476"/>
      <c r="I161" s="476"/>
      <c r="J161" s="476"/>
      <c r="K161" s="476"/>
      <c r="L161" s="476"/>
    </row>
    <row r="162" spans="1:12" x14ac:dyDescent="0.2">
      <c r="A162" s="476"/>
      <c r="B162" s="476"/>
      <c r="C162" s="476"/>
      <c r="D162" s="476"/>
      <c r="E162" s="476"/>
      <c r="F162" s="476"/>
      <c r="G162" s="476"/>
      <c r="H162" s="476"/>
      <c r="I162" s="476"/>
      <c r="J162" s="476"/>
      <c r="K162" s="476"/>
      <c r="L162" s="476"/>
    </row>
    <row r="163" spans="1:12" x14ac:dyDescent="0.2">
      <c r="A163" s="476"/>
      <c r="B163" s="476"/>
      <c r="C163" s="476"/>
      <c r="D163" s="476"/>
      <c r="E163" s="476"/>
      <c r="F163" s="476"/>
      <c r="G163" s="476"/>
      <c r="H163" s="476"/>
      <c r="I163" s="476"/>
      <c r="J163" s="476"/>
      <c r="K163" s="476"/>
      <c r="L163" s="476"/>
    </row>
    <row r="164" spans="1:12" x14ac:dyDescent="0.2">
      <c r="A164" s="476"/>
      <c r="B164" s="476"/>
      <c r="C164" s="476"/>
      <c r="D164" s="476"/>
      <c r="E164" s="476"/>
      <c r="F164" s="476"/>
      <c r="G164" s="476"/>
      <c r="H164" s="476"/>
      <c r="I164" s="476"/>
      <c r="J164" s="476"/>
      <c r="K164" s="476"/>
      <c r="L164" s="476"/>
    </row>
    <row r="165" spans="1:12" x14ac:dyDescent="0.2">
      <c r="A165" s="476"/>
      <c r="B165" s="476"/>
      <c r="C165" s="476"/>
      <c r="D165" s="476"/>
      <c r="E165" s="476"/>
      <c r="F165" s="476"/>
      <c r="G165" s="476"/>
      <c r="H165" s="476"/>
      <c r="I165" s="476"/>
      <c r="J165" s="476"/>
      <c r="K165" s="476"/>
      <c r="L165" s="476"/>
    </row>
    <row r="166" spans="1:12" x14ac:dyDescent="0.2">
      <c r="A166" s="476"/>
      <c r="B166" s="476"/>
      <c r="C166" s="476"/>
      <c r="D166" s="476"/>
      <c r="E166" s="476"/>
      <c r="F166" s="476"/>
      <c r="G166" s="476"/>
      <c r="H166" s="476"/>
      <c r="I166" s="476"/>
      <c r="J166" s="476"/>
      <c r="K166" s="476"/>
      <c r="L166" s="476"/>
    </row>
    <row r="167" spans="1:12" x14ac:dyDescent="0.2">
      <c r="A167" s="476"/>
      <c r="B167" s="476"/>
      <c r="C167" s="476"/>
      <c r="D167" s="476"/>
      <c r="E167" s="476"/>
      <c r="F167" s="476"/>
      <c r="G167" s="476"/>
      <c r="H167" s="476"/>
      <c r="I167" s="476"/>
      <c r="J167" s="476"/>
      <c r="K167" s="476"/>
      <c r="L167" s="476"/>
    </row>
    <row r="168" spans="1:12" x14ac:dyDescent="0.2">
      <c r="A168" s="476"/>
      <c r="B168" s="476"/>
      <c r="C168" s="476"/>
      <c r="D168" s="476"/>
      <c r="E168" s="476"/>
      <c r="F168" s="476"/>
      <c r="G168" s="476"/>
      <c r="H168" s="476"/>
      <c r="I168" s="476"/>
      <c r="J168" s="476"/>
      <c r="K168" s="476"/>
      <c r="L168" s="476"/>
    </row>
    <row r="169" spans="1:12" x14ac:dyDescent="0.2">
      <c r="A169" s="476"/>
      <c r="B169" s="476"/>
      <c r="C169" s="476"/>
      <c r="D169" s="476"/>
      <c r="E169" s="476"/>
      <c r="F169" s="476"/>
      <c r="G169" s="476"/>
      <c r="H169" s="476"/>
      <c r="I169" s="476"/>
      <c r="J169" s="476"/>
      <c r="K169" s="476"/>
      <c r="L169" s="476"/>
    </row>
    <row r="170" spans="1:12" x14ac:dyDescent="0.2">
      <c r="A170" s="476"/>
      <c r="B170" s="476"/>
      <c r="C170" s="476"/>
      <c r="D170" s="476"/>
      <c r="E170" s="476"/>
      <c r="F170" s="476"/>
      <c r="G170" s="476"/>
      <c r="H170" s="476"/>
      <c r="I170" s="476"/>
      <c r="J170" s="476"/>
      <c r="K170" s="476"/>
      <c r="L170" s="476"/>
    </row>
    <row r="171" spans="1:12" x14ac:dyDescent="0.2">
      <c r="A171" s="476"/>
      <c r="B171" s="476"/>
      <c r="C171" s="476"/>
      <c r="D171" s="476"/>
      <c r="E171" s="476"/>
      <c r="F171" s="476"/>
      <c r="G171" s="476"/>
      <c r="H171" s="476"/>
      <c r="I171" s="476"/>
      <c r="J171" s="476"/>
      <c r="K171" s="476"/>
      <c r="L171" s="476"/>
    </row>
    <row r="172" spans="1:12" x14ac:dyDescent="0.2">
      <c r="A172" s="476"/>
      <c r="B172" s="476"/>
      <c r="C172" s="476"/>
      <c r="D172" s="476"/>
      <c r="E172" s="476"/>
      <c r="F172" s="476"/>
      <c r="G172" s="476"/>
      <c r="H172" s="476"/>
      <c r="I172" s="476"/>
      <c r="J172" s="476"/>
      <c r="K172" s="476"/>
      <c r="L172" s="476"/>
    </row>
    <row r="173" spans="1:12" x14ac:dyDescent="0.2">
      <c r="A173" s="476"/>
      <c r="B173" s="476"/>
      <c r="C173" s="476"/>
      <c r="D173" s="476"/>
      <c r="E173" s="476"/>
      <c r="F173" s="476"/>
      <c r="G173" s="476"/>
      <c r="H173" s="476"/>
      <c r="I173" s="476"/>
      <c r="J173" s="476"/>
      <c r="K173" s="476"/>
      <c r="L173" s="476"/>
    </row>
    <row r="174" spans="1:12" x14ac:dyDescent="0.2">
      <c r="A174" s="476"/>
      <c r="B174" s="476"/>
      <c r="C174" s="476"/>
      <c r="D174" s="476"/>
      <c r="E174" s="476"/>
      <c r="F174" s="476"/>
      <c r="G174" s="476"/>
      <c r="H174" s="476"/>
      <c r="I174" s="476"/>
      <c r="J174" s="476"/>
      <c r="K174" s="476"/>
      <c r="L174" s="476"/>
    </row>
    <row r="175" spans="1:12" x14ac:dyDescent="0.2">
      <c r="A175" s="476"/>
      <c r="B175" s="476"/>
      <c r="C175" s="476"/>
      <c r="D175" s="476"/>
      <c r="E175" s="476"/>
      <c r="F175" s="476"/>
      <c r="G175" s="476"/>
      <c r="H175" s="476"/>
      <c r="I175" s="476"/>
      <c r="J175" s="476"/>
      <c r="K175" s="476"/>
      <c r="L175" s="476"/>
    </row>
    <row r="176" spans="1:12" x14ac:dyDescent="0.2">
      <c r="A176" s="476"/>
      <c r="B176" s="476"/>
      <c r="C176" s="476"/>
      <c r="D176" s="476"/>
      <c r="E176" s="476"/>
      <c r="F176" s="476"/>
      <c r="G176" s="476"/>
      <c r="H176" s="476"/>
      <c r="I176" s="476"/>
      <c r="J176" s="476"/>
      <c r="K176" s="476"/>
      <c r="L176" s="476"/>
    </row>
    <row r="177" spans="1:12" x14ac:dyDescent="0.2">
      <c r="A177" s="476"/>
      <c r="B177" s="476"/>
      <c r="C177" s="476"/>
      <c r="D177" s="476"/>
      <c r="E177" s="476"/>
      <c r="F177" s="476"/>
      <c r="G177" s="476"/>
      <c r="H177" s="476"/>
      <c r="I177" s="476"/>
      <c r="J177" s="476"/>
      <c r="K177" s="476"/>
      <c r="L177" s="476"/>
    </row>
    <row r="178" spans="1:12" x14ac:dyDescent="0.2">
      <c r="A178" s="476"/>
      <c r="B178" s="476"/>
      <c r="C178" s="476"/>
      <c r="D178" s="476"/>
      <c r="E178" s="476"/>
      <c r="F178" s="476"/>
      <c r="G178" s="476"/>
      <c r="H178" s="476"/>
      <c r="I178" s="476"/>
      <c r="J178" s="476"/>
      <c r="K178" s="476"/>
      <c r="L178" s="476"/>
    </row>
    <row r="179" spans="1:12" x14ac:dyDescent="0.2">
      <c r="A179" s="476"/>
      <c r="B179" s="476"/>
      <c r="C179" s="476"/>
      <c r="D179" s="476"/>
      <c r="E179" s="476"/>
      <c r="F179" s="476"/>
      <c r="G179" s="476"/>
      <c r="H179" s="476"/>
      <c r="I179" s="476"/>
      <c r="J179" s="476"/>
      <c r="K179" s="476"/>
      <c r="L179" s="476"/>
    </row>
    <row r="180" spans="1:12" x14ac:dyDescent="0.2">
      <c r="A180" s="476"/>
      <c r="B180" s="476"/>
      <c r="C180" s="476"/>
      <c r="D180" s="476"/>
      <c r="E180" s="476"/>
      <c r="F180" s="476"/>
      <c r="G180" s="476"/>
      <c r="H180" s="476"/>
      <c r="I180" s="476"/>
      <c r="J180" s="476"/>
      <c r="K180" s="476"/>
      <c r="L180" s="476"/>
    </row>
    <row r="181" spans="1:12" x14ac:dyDescent="0.2">
      <c r="A181" s="476"/>
      <c r="B181" s="476"/>
      <c r="C181" s="476"/>
      <c r="D181" s="476"/>
      <c r="E181" s="476"/>
      <c r="F181" s="476"/>
      <c r="G181" s="476"/>
      <c r="H181" s="476"/>
      <c r="I181" s="476"/>
      <c r="J181" s="476"/>
      <c r="K181" s="476"/>
      <c r="L181" s="476"/>
    </row>
    <row r="182" spans="1:12" x14ac:dyDescent="0.2">
      <c r="A182" s="476"/>
      <c r="B182" s="476"/>
      <c r="C182" s="476"/>
      <c r="D182" s="476"/>
      <c r="E182" s="476"/>
      <c r="F182" s="476"/>
      <c r="G182" s="476"/>
      <c r="H182" s="476"/>
      <c r="I182" s="476"/>
      <c r="J182" s="476"/>
      <c r="K182" s="476"/>
      <c r="L182" s="476"/>
    </row>
    <row r="183" spans="1:12" x14ac:dyDescent="0.2">
      <c r="A183" s="476"/>
      <c r="B183" s="476"/>
      <c r="C183" s="476"/>
      <c r="D183" s="476"/>
      <c r="E183" s="476"/>
      <c r="F183" s="476"/>
      <c r="G183" s="476"/>
      <c r="H183" s="476"/>
      <c r="I183" s="476"/>
      <c r="J183" s="476"/>
      <c r="K183" s="476"/>
      <c r="L183" s="476"/>
    </row>
    <row r="184" spans="1:12" x14ac:dyDescent="0.2">
      <c r="A184" s="476"/>
      <c r="B184" s="476"/>
      <c r="C184" s="476"/>
      <c r="D184" s="476"/>
      <c r="E184" s="476"/>
      <c r="F184" s="476"/>
      <c r="G184" s="476"/>
      <c r="H184" s="476"/>
      <c r="I184" s="476"/>
      <c r="J184" s="476"/>
      <c r="K184" s="476"/>
      <c r="L184" s="476"/>
    </row>
    <row r="185" spans="1:12" x14ac:dyDescent="0.2">
      <c r="A185" s="476"/>
      <c r="B185" s="476"/>
      <c r="C185" s="476"/>
      <c r="D185" s="476"/>
      <c r="E185" s="476"/>
      <c r="F185" s="476"/>
      <c r="G185" s="476"/>
      <c r="H185" s="476"/>
      <c r="I185" s="476"/>
      <c r="J185" s="476"/>
      <c r="K185" s="476"/>
      <c r="L185" s="476"/>
    </row>
    <row r="186" spans="1:12" x14ac:dyDescent="0.2">
      <c r="A186" s="476"/>
      <c r="B186" s="476"/>
      <c r="C186" s="476"/>
      <c r="D186" s="476"/>
      <c r="E186" s="476"/>
      <c r="F186" s="476"/>
      <c r="G186" s="476"/>
      <c r="H186" s="476"/>
      <c r="I186" s="476"/>
      <c r="J186" s="476"/>
      <c r="K186" s="476"/>
      <c r="L186" s="476"/>
    </row>
    <row r="187" spans="1:12" x14ac:dyDescent="0.2">
      <c r="A187" s="476"/>
      <c r="B187" s="476"/>
      <c r="C187" s="476"/>
      <c r="D187" s="476"/>
      <c r="E187" s="476"/>
      <c r="F187" s="476"/>
      <c r="G187" s="476"/>
      <c r="H187" s="476"/>
      <c r="I187" s="476"/>
      <c r="J187" s="476"/>
      <c r="K187" s="476"/>
      <c r="L187" s="476"/>
    </row>
    <row r="188" spans="1:12" x14ac:dyDescent="0.2">
      <c r="A188" s="476"/>
      <c r="B188" s="476"/>
      <c r="C188" s="476"/>
      <c r="D188" s="476"/>
      <c r="E188" s="476"/>
      <c r="F188" s="476"/>
      <c r="G188" s="476"/>
      <c r="H188" s="476"/>
      <c r="I188" s="476"/>
      <c r="J188" s="476"/>
      <c r="K188" s="476"/>
      <c r="L188" s="476"/>
    </row>
    <row r="189" spans="1:12" x14ac:dyDescent="0.2">
      <c r="A189" s="476"/>
      <c r="B189" s="476"/>
      <c r="C189" s="476"/>
      <c r="D189" s="476"/>
      <c r="E189" s="476"/>
      <c r="F189" s="476"/>
      <c r="G189" s="476"/>
      <c r="H189" s="476"/>
      <c r="I189" s="476"/>
      <c r="J189" s="476"/>
      <c r="K189" s="476"/>
      <c r="L189" s="476"/>
    </row>
    <row r="190" spans="1:12" x14ac:dyDescent="0.2">
      <c r="A190" s="476"/>
      <c r="B190" s="476"/>
      <c r="C190" s="476"/>
      <c r="D190" s="476"/>
      <c r="E190" s="476"/>
      <c r="F190" s="476"/>
      <c r="G190" s="476"/>
      <c r="H190" s="476"/>
      <c r="I190" s="476"/>
      <c r="J190" s="476"/>
      <c r="K190" s="476"/>
      <c r="L190" s="476"/>
    </row>
    <row r="191" spans="1:12" x14ac:dyDescent="0.2">
      <c r="A191" s="476"/>
      <c r="B191" s="476"/>
      <c r="C191" s="476"/>
      <c r="D191" s="476"/>
      <c r="E191" s="476"/>
      <c r="F191" s="476"/>
      <c r="G191" s="476"/>
      <c r="H191" s="476"/>
      <c r="I191" s="476"/>
      <c r="J191" s="476"/>
      <c r="K191" s="476"/>
      <c r="L191" s="476"/>
    </row>
    <row r="192" spans="1:12" x14ac:dyDescent="0.2">
      <c r="A192" s="476"/>
      <c r="B192" s="476"/>
      <c r="C192" s="476"/>
      <c r="D192" s="476"/>
      <c r="E192" s="476"/>
      <c r="F192" s="476"/>
      <c r="G192" s="476"/>
      <c r="H192" s="476"/>
      <c r="I192" s="476"/>
      <c r="J192" s="476"/>
      <c r="K192" s="476"/>
      <c r="L192" s="476"/>
    </row>
    <row r="193" spans="1:12" x14ac:dyDescent="0.2">
      <c r="A193" s="476"/>
      <c r="B193" s="476"/>
      <c r="C193" s="476"/>
      <c r="D193" s="476"/>
      <c r="E193" s="476"/>
      <c r="F193" s="476"/>
      <c r="G193" s="476"/>
      <c r="H193" s="476"/>
      <c r="I193" s="476"/>
      <c r="J193" s="476"/>
      <c r="K193" s="476"/>
      <c r="L193" s="476"/>
    </row>
    <row r="194" spans="1:12" x14ac:dyDescent="0.2">
      <c r="A194" s="476"/>
      <c r="B194" s="476"/>
      <c r="C194" s="476"/>
      <c r="D194" s="476"/>
      <c r="E194" s="476"/>
      <c r="F194" s="476"/>
      <c r="G194" s="476"/>
      <c r="H194" s="476"/>
      <c r="I194" s="476"/>
      <c r="J194" s="476"/>
      <c r="K194" s="476"/>
      <c r="L194" s="476"/>
    </row>
    <row r="195" spans="1:12" x14ac:dyDescent="0.2">
      <c r="A195" s="476"/>
      <c r="B195" s="476"/>
      <c r="C195" s="476"/>
      <c r="D195" s="476"/>
      <c r="E195" s="476"/>
      <c r="F195" s="476"/>
      <c r="G195" s="476"/>
      <c r="H195" s="476"/>
      <c r="I195" s="476"/>
      <c r="J195" s="476"/>
      <c r="K195" s="476"/>
      <c r="L195" s="476"/>
    </row>
    <row r="196" spans="1:12" x14ac:dyDescent="0.2">
      <c r="A196" s="476"/>
      <c r="B196" s="476"/>
      <c r="C196" s="476"/>
      <c r="D196" s="476"/>
      <c r="E196" s="476"/>
      <c r="F196" s="476"/>
      <c r="G196" s="476"/>
      <c r="H196" s="476"/>
      <c r="I196" s="476"/>
      <c r="J196" s="476"/>
      <c r="K196" s="476"/>
      <c r="L196" s="476"/>
    </row>
    <row r="197" spans="1:12" x14ac:dyDescent="0.2">
      <c r="A197" s="476"/>
      <c r="B197" s="476"/>
      <c r="C197" s="476"/>
      <c r="D197" s="476"/>
      <c r="E197" s="476"/>
      <c r="F197" s="476"/>
      <c r="G197" s="476"/>
      <c r="H197" s="476"/>
      <c r="I197" s="476"/>
      <c r="J197" s="476"/>
      <c r="K197" s="476"/>
      <c r="L197" s="476"/>
    </row>
    <row r="198" spans="1:12" x14ac:dyDescent="0.2">
      <c r="A198" s="476"/>
      <c r="B198" s="476"/>
      <c r="C198" s="476"/>
      <c r="D198" s="476"/>
      <c r="E198" s="476"/>
      <c r="F198" s="476"/>
      <c r="G198" s="476"/>
      <c r="H198" s="476"/>
      <c r="I198" s="476"/>
      <c r="J198" s="476"/>
      <c r="K198" s="476"/>
      <c r="L198" s="476"/>
    </row>
    <row r="199" spans="1:12" x14ac:dyDescent="0.2">
      <c r="A199" s="476"/>
      <c r="B199" s="476"/>
      <c r="C199" s="476"/>
      <c r="D199" s="476"/>
      <c r="E199" s="476"/>
      <c r="F199" s="476"/>
      <c r="G199" s="476"/>
      <c r="H199" s="476"/>
      <c r="I199" s="476"/>
      <c r="J199" s="476"/>
      <c r="K199" s="476"/>
      <c r="L199" s="476"/>
    </row>
    <row r="200" spans="1:12" x14ac:dyDescent="0.2">
      <c r="A200" s="476"/>
      <c r="B200" s="476"/>
      <c r="C200" s="476"/>
      <c r="D200" s="476"/>
      <c r="E200" s="476"/>
      <c r="F200" s="476"/>
      <c r="G200" s="476"/>
      <c r="H200" s="476"/>
      <c r="I200" s="476"/>
      <c r="J200" s="476"/>
      <c r="K200" s="476"/>
      <c r="L200" s="476"/>
    </row>
    <row r="201" spans="1:12" x14ac:dyDescent="0.2">
      <c r="A201" s="476"/>
      <c r="B201" s="476"/>
      <c r="C201" s="476"/>
      <c r="D201" s="476"/>
      <c r="E201" s="476"/>
      <c r="F201" s="476"/>
      <c r="G201" s="476"/>
      <c r="H201" s="476"/>
      <c r="I201" s="476"/>
      <c r="J201" s="476"/>
      <c r="K201" s="476"/>
      <c r="L201" s="476"/>
    </row>
    <row r="202" spans="1:12" x14ac:dyDescent="0.2">
      <c r="A202" s="476"/>
      <c r="B202" s="476"/>
      <c r="C202" s="476"/>
      <c r="D202" s="476"/>
      <c r="E202" s="476"/>
      <c r="F202" s="476"/>
      <c r="G202" s="476"/>
      <c r="H202" s="476"/>
      <c r="I202" s="476"/>
      <c r="J202" s="476"/>
      <c r="K202" s="476"/>
      <c r="L202" s="476"/>
    </row>
    <row r="203" spans="1:12" x14ac:dyDescent="0.2">
      <c r="A203" s="476"/>
      <c r="B203" s="476"/>
      <c r="C203" s="476"/>
      <c r="D203" s="476"/>
      <c r="E203" s="476"/>
      <c r="F203" s="476"/>
      <c r="G203" s="476"/>
      <c r="H203" s="476"/>
      <c r="I203" s="476"/>
      <c r="J203" s="476"/>
      <c r="K203" s="476"/>
      <c r="L203" s="476"/>
    </row>
    <row r="204" spans="1:12" x14ac:dyDescent="0.2">
      <c r="A204" s="476"/>
      <c r="B204" s="476"/>
      <c r="C204" s="476"/>
      <c r="D204" s="476"/>
      <c r="E204" s="476"/>
      <c r="F204" s="476"/>
      <c r="G204" s="476"/>
      <c r="H204" s="476"/>
      <c r="I204" s="476"/>
      <c r="J204" s="476"/>
      <c r="K204" s="476"/>
      <c r="L204" s="476"/>
    </row>
    <row r="205" spans="1:12" x14ac:dyDescent="0.2">
      <c r="A205" s="476"/>
      <c r="B205" s="476"/>
      <c r="C205" s="476"/>
      <c r="D205" s="476"/>
      <c r="E205" s="476"/>
      <c r="F205" s="476"/>
      <c r="G205" s="476"/>
      <c r="H205" s="476"/>
      <c r="I205" s="476"/>
      <c r="J205" s="476"/>
      <c r="K205" s="476"/>
      <c r="L205" s="476"/>
    </row>
    <row r="206" spans="1:12" x14ac:dyDescent="0.2">
      <c r="A206" s="476"/>
      <c r="B206" s="476"/>
      <c r="C206" s="476"/>
      <c r="D206" s="476"/>
      <c r="E206" s="476"/>
      <c r="F206" s="476"/>
      <c r="G206" s="476"/>
      <c r="H206" s="476"/>
      <c r="I206" s="476"/>
      <c r="J206" s="476"/>
      <c r="K206" s="476"/>
      <c r="L206" s="476"/>
    </row>
    <row r="207" spans="1:12" x14ac:dyDescent="0.2">
      <c r="A207" s="476"/>
      <c r="B207" s="476"/>
      <c r="C207" s="476"/>
      <c r="D207" s="476"/>
      <c r="E207" s="476"/>
      <c r="F207" s="476"/>
      <c r="G207" s="476"/>
      <c r="H207" s="476"/>
      <c r="I207" s="476"/>
      <c r="J207" s="476"/>
      <c r="K207" s="476"/>
      <c r="L207" s="476"/>
    </row>
    <row r="208" spans="1:12" x14ac:dyDescent="0.2">
      <c r="A208" s="476"/>
      <c r="B208" s="476"/>
      <c r="C208" s="476"/>
      <c r="D208" s="476"/>
      <c r="E208" s="476"/>
      <c r="F208" s="476"/>
      <c r="G208" s="476"/>
      <c r="H208" s="476"/>
      <c r="I208" s="476"/>
      <c r="J208" s="476"/>
      <c r="K208" s="476"/>
      <c r="L208" s="476"/>
    </row>
    <row r="209" spans="1:12" x14ac:dyDescent="0.2">
      <c r="A209" s="476"/>
      <c r="B209" s="476"/>
      <c r="C209" s="476"/>
      <c r="D209" s="476"/>
      <c r="E209" s="476"/>
      <c r="F209" s="476"/>
      <c r="G209" s="476"/>
      <c r="H209" s="476"/>
      <c r="I209" s="476"/>
      <c r="J209" s="476"/>
      <c r="K209" s="476"/>
      <c r="L209" s="476"/>
    </row>
    <row r="210" spans="1:12" x14ac:dyDescent="0.2">
      <c r="A210" s="476"/>
      <c r="B210" s="476"/>
      <c r="C210" s="476"/>
      <c r="D210" s="476"/>
      <c r="E210" s="476"/>
      <c r="F210" s="476"/>
      <c r="G210" s="476"/>
      <c r="H210" s="476"/>
      <c r="I210" s="476"/>
      <c r="J210" s="476"/>
      <c r="K210" s="476"/>
      <c r="L210" s="476"/>
    </row>
    <row r="211" spans="1:12" x14ac:dyDescent="0.2">
      <c r="A211" s="476"/>
      <c r="B211" s="476"/>
      <c r="C211" s="476"/>
      <c r="D211" s="476"/>
      <c r="E211" s="476"/>
      <c r="F211" s="476"/>
      <c r="G211" s="476"/>
      <c r="H211" s="476"/>
      <c r="I211" s="476"/>
      <c r="J211" s="476"/>
      <c r="K211" s="476"/>
      <c r="L211" s="476"/>
    </row>
    <row r="212" spans="1:12" x14ac:dyDescent="0.2">
      <c r="A212" s="476"/>
      <c r="B212" s="476"/>
      <c r="C212" s="476"/>
      <c r="D212" s="476"/>
      <c r="E212" s="476"/>
      <c r="F212" s="476"/>
      <c r="G212" s="476"/>
      <c r="H212" s="476"/>
      <c r="I212" s="476"/>
      <c r="J212" s="476"/>
      <c r="K212" s="476"/>
      <c r="L212" s="476"/>
    </row>
    <row r="213" spans="1:12" x14ac:dyDescent="0.2">
      <c r="A213" s="476"/>
      <c r="B213" s="476"/>
      <c r="C213" s="476"/>
      <c r="D213" s="476"/>
      <c r="E213" s="476"/>
      <c r="F213" s="476"/>
      <c r="G213" s="476"/>
      <c r="H213" s="476"/>
      <c r="I213" s="476"/>
      <c r="J213" s="476"/>
      <c r="K213" s="476"/>
      <c r="L213" s="476"/>
    </row>
    <row r="214" spans="1:12" x14ac:dyDescent="0.2">
      <c r="A214" s="476"/>
      <c r="B214" s="476"/>
      <c r="C214" s="476"/>
      <c r="D214" s="476"/>
      <c r="E214" s="476"/>
      <c r="F214" s="476"/>
      <c r="G214" s="476"/>
      <c r="H214" s="476"/>
      <c r="I214" s="476"/>
      <c r="J214" s="476"/>
      <c r="K214" s="476"/>
      <c r="L214" s="476"/>
    </row>
    <row r="215" spans="1:12" x14ac:dyDescent="0.2">
      <c r="A215" s="476"/>
      <c r="B215" s="476"/>
      <c r="C215" s="476"/>
      <c r="D215" s="476"/>
      <c r="E215" s="476"/>
      <c r="F215" s="476"/>
      <c r="G215" s="476"/>
      <c r="H215" s="476"/>
      <c r="I215" s="476"/>
      <c r="J215" s="476"/>
      <c r="K215" s="476"/>
      <c r="L215" s="476"/>
    </row>
    <row r="216" spans="1:12" x14ac:dyDescent="0.2">
      <c r="A216" s="476"/>
      <c r="B216" s="476"/>
      <c r="C216" s="476"/>
      <c r="D216" s="476"/>
      <c r="E216" s="476"/>
      <c r="F216" s="476"/>
      <c r="G216" s="476"/>
      <c r="H216" s="476"/>
      <c r="I216" s="476"/>
      <c r="J216" s="476"/>
      <c r="K216" s="476"/>
      <c r="L216" s="476"/>
    </row>
    <row r="217" spans="1:12" x14ac:dyDescent="0.2">
      <c r="A217" s="476"/>
      <c r="B217" s="476"/>
      <c r="C217" s="476"/>
      <c r="D217" s="476"/>
      <c r="E217" s="476"/>
      <c r="F217" s="476"/>
      <c r="G217" s="476"/>
      <c r="H217" s="476"/>
      <c r="I217" s="476"/>
      <c r="J217" s="476"/>
      <c r="K217" s="476"/>
      <c r="L217" s="476"/>
    </row>
    <row r="218" spans="1:12" x14ac:dyDescent="0.2">
      <c r="A218" s="476"/>
      <c r="B218" s="476"/>
      <c r="C218" s="476"/>
      <c r="D218" s="476"/>
      <c r="E218" s="476"/>
      <c r="F218" s="476"/>
      <c r="G218" s="476"/>
      <c r="H218" s="476"/>
      <c r="I218" s="476"/>
      <c r="J218" s="476"/>
      <c r="K218" s="476"/>
      <c r="L218" s="476"/>
    </row>
    <row r="219" spans="1:12" x14ac:dyDescent="0.2">
      <c r="A219" s="476"/>
      <c r="B219" s="476"/>
      <c r="C219" s="476"/>
      <c r="D219" s="476"/>
      <c r="E219" s="476"/>
      <c r="F219" s="476"/>
      <c r="G219" s="476"/>
      <c r="H219" s="476"/>
      <c r="I219" s="476"/>
      <c r="J219" s="476"/>
      <c r="K219" s="476"/>
      <c r="L219" s="476"/>
    </row>
    <row r="220" spans="1:12" x14ac:dyDescent="0.2">
      <c r="A220" s="476"/>
      <c r="B220" s="476"/>
      <c r="C220" s="476"/>
      <c r="D220" s="476"/>
      <c r="E220" s="476"/>
      <c r="F220" s="476"/>
      <c r="G220" s="476"/>
      <c r="H220" s="476"/>
      <c r="I220" s="476"/>
      <c r="J220" s="476"/>
      <c r="K220" s="476"/>
      <c r="L220" s="476"/>
    </row>
    <row r="221" spans="1:12" x14ac:dyDescent="0.2">
      <c r="A221" s="476"/>
      <c r="B221" s="476"/>
      <c r="C221" s="476"/>
      <c r="D221" s="476"/>
      <c r="E221" s="476"/>
      <c r="F221" s="476"/>
      <c r="G221" s="476"/>
      <c r="H221" s="476"/>
      <c r="I221" s="476"/>
      <c r="J221" s="476"/>
      <c r="K221" s="476"/>
      <c r="L221" s="476"/>
    </row>
    <row r="222" spans="1:12" x14ac:dyDescent="0.2">
      <c r="A222" s="476"/>
      <c r="B222" s="476"/>
      <c r="C222" s="476"/>
      <c r="D222" s="476"/>
      <c r="E222" s="476"/>
      <c r="F222" s="476"/>
      <c r="G222" s="476"/>
      <c r="H222" s="476"/>
      <c r="I222" s="476"/>
      <c r="J222" s="476"/>
      <c r="K222" s="476"/>
      <c r="L222" s="476"/>
    </row>
    <row r="223" spans="1:12" x14ac:dyDescent="0.2">
      <c r="A223" s="476"/>
      <c r="B223" s="476"/>
      <c r="C223" s="476"/>
      <c r="D223" s="476"/>
      <c r="E223" s="476"/>
      <c r="F223" s="476"/>
      <c r="G223" s="476"/>
      <c r="H223" s="476"/>
      <c r="I223" s="476"/>
      <c r="J223" s="476"/>
      <c r="K223" s="476"/>
      <c r="L223" s="476"/>
    </row>
    <row r="224" spans="1:12" x14ac:dyDescent="0.2">
      <c r="A224" s="476"/>
      <c r="B224" s="476"/>
      <c r="C224" s="476"/>
      <c r="D224" s="476"/>
      <c r="E224" s="476"/>
      <c r="F224" s="476"/>
      <c r="G224" s="476"/>
      <c r="H224" s="476"/>
      <c r="I224" s="476"/>
      <c r="J224" s="476"/>
      <c r="K224" s="476"/>
      <c r="L224" s="476"/>
    </row>
    <row r="225" spans="1:12" x14ac:dyDescent="0.2">
      <c r="A225" s="476"/>
      <c r="B225" s="476"/>
      <c r="C225" s="476"/>
      <c r="D225" s="476"/>
      <c r="E225" s="476"/>
      <c r="F225" s="476"/>
      <c r="G225" s="476"/>
      <c r="H225" s="476"/>
      <c r="I225" s="476"/>
      <c r="J225" s="476"/>
      <c r="K225" s="476"/>
      <c r="L225" s="476"/>
    </row>
    <row r="226" spans="1:12" x14ac:dyDescent="0.2">
      <c r="A226" s="476"/>
      <c r="B226" s="476"/>
      <c r="C226" s="476"/>
      <c r="D226" s="476"/>
      <c r="E226" s="476"/>
      <c r="F226" s="476"/>
      <c r="G226" s="476"/>
      <c r="H226" s="476"/>
      <c r="I226" s="476"/>
      <c r="J226" s="476"/>
      <c r="K226" s="476"/>
      <c r="L226" s="476"/>
    </row>
    <row r="227" spans="1:12" x14ac:dyDescent="0.2">
      <c r="A227" s="476"/>
      <c r="B227" s="476"/>
      <c r="C227" s="476"/>
      <c r="D227" s="476"/>
      <c r="E227" s="476"/>
      <c r="F227" s="476"/>
      <c r="G227" s="476"/>
      <c r="H227" s="476"/>
      <c r="I227" s="476"/>
      <c r="J227" s="476"/>
      <c r="K227" s="476"/>
      <c r="L227" s="476"/>
    </row>
    <row r="228" spans="1:12" x14ac:dyDescent="0.2">
      <c r="A228" s="476"/>
      <c r="B228" s="476"/>
      <c r="C228" s="476"/>
      <c r="D228" s="476"/>
      <c r="E228" s="476"/>
      <c r="F228" s="476"/>
      <c r="G228" s="476"/>
      <c r="H228" s="476"/>
      <c r="I228" s="476"/>
      <c r="J228" s="476"/>
      <c r="K228" s="476"/>
      <c r="L228" s="476"/>
    </row>
    <row r="229" spans="1:12" x14ac:dyDescent="0.2">
      <c r="A229" s="476"/>
      <c r="B229" s="476"/>
      <c r="C229" s="476"/>
      <c r="D229" s="476"/>
      <c r="E229" s="476"/>
      <c r="F229" s="476"/>
      <c r="G229" s="476"/>
      <c r="H229" s="476"/>
      <c r="I229" s="476"/>
      <c r="J229" s="476"/>
      <c r="K229" s="476"/>
      <c r="L229" s="476"/>
    </row>
    <row r="230" spans="1:12" x14ac:dyDescent="0.2">
      <c r="A230" s="476"/>
      <c r="B230" s="476"/>
      <c r="C230" s="476"/>
      <c r="D230" s="476"/>
      <c r="E230" s="476"/>
      <c r="F230" s="476"/>
      <c r="G230" s="476"/>
      <c r="H230" s="476"/>
      <c r="I230" s="476"/>
      <c r="J230" s="476"/>
      <c r="K230" s="476"/>
      <c r="L230" s="476"/>
    </row>
    <row r="231" spans="1:12" x14ac:dyDescent="0.2">
      <c r="A231" s="476"/>
      <c r="B231" s="476"/>
      <c r="C231" s="476"/>
      <c r="D231" s="476"/>
      <c r="E231" s="476"/>
      <c r="F231" s="476"/>
      <c r="G231" s="476"/>
      <c r="H231" s="476"/>
      <c r="I231" s="476"/>
      <c r="J231" s="476"/>
      <c r="K231" s="476"/>
      <c r="L231" s="476"/>
    </row>
    <row r="232" spans="1:12" x14ac:dyDescent="0.2">
      <c r="A232" s="476"/>
      <c r="B232" s="476"/>
      <c r="C232" s="476"/>
      <c r="D232" s="476"/>
      <c r="E232" s="476"/>
      <c r="F232" s="476"/>
      <c r="G232" s="476"/>
      <c r="H232" s="476"/>
      <c r="I232" s="476"/>
      <c r="J232" s="476"/>
      <c r="K232" s="476"/>
      <c r="L232" s="476"/>
    </row>
    <row r="233" spans="1:12" x14ac:dyDescent="0.2">
      <c r="A233" s="476"/>
      <c r="B233" s="476"/>
      <c r="C233" s="476"/>
      <c r="D233" s="476"/>
      <c r="E233" s="476"/>
      <c r="F233" s="476"/>
      <c r="G233" s="476"/>
      <c r="H233" s="476"/>
      <c r="I233" s="476"/>
      <c r="J233" s="476"/>
      <c r="K233" s="476"/>
      <c r="L233" s="476"/>
    </row>
    <row r="234" spans="1:12" x14ac:dyDescent="0.2">
      <c r="A234" s="476"/>
      <c r="B234" s="476"/>
      <c r="C234" s="476"/>
      <c r="D234" s="476"/>
      <c r="E234" s="476"/>
      <c r="F234" s="476"/>
      <c r="G234" s="476"/>
      <c r="H234" s="476"/>
      <c r="I234" s="476"/>
      <c r="J234" s="476"/>
      <c r="K234" s="476"/>
      <c r="L234" s="476"/>
    </row>
    <row r="235" spans="1:12" x14ac:dyDescent="0.2">
      <c r="A235" s="476"/>
      <c r="B235" s="476"/>
      <c r="C235" s="476"/>
      <c r="D235" s="476"/>
      <c r="E235" s="476"/>
      <c r="F235" s="476"/>
      <c r="G235" s="476"/>
      <c r="H235" s="476"/>
      <c r="I235" s="476"/>
      <c r="J235" s="476"/>
      <c r="K235" s="476"/>
      <c r="L235" s="476"/>
    </row>
    <row r="236" spans="1:12" x14ac:dyDescent="0.2">
      <c r="A236" s="476"/>
      <c r="B236" s="476"/>
      <c r="C236" s="476"/>
      <c r="D236" s="476"/>
      <c r="E236" s="476"/>
      <c r="F236" s="476"/>
      <c r="G236" s="476"/>
      <c r="H236" s="476"/>
      <c r="I236" s="476"/>
      <c r="J236" s="476"/>
      <c r="K236" s="476"/>
      <c r="L236" s="476"/>
    </row>
    <row r="237" spans="1:12" x14ac:dyDescent="0.2">
      <c r="A237" s="476"/>
      <c r="B237" s="476"/>
      <c r="C237" s="476"/>
      <c r="D237" s="476"/>
      <c r="E237" s="476"/>
      <c r="F237" s="476"/>
      <c r="G237" s="476"/>
      <c r="H237" s="476"/>
      <c r="I237" s="476"/>
      <c r="J237" s="476"/>
      <c r="K237" s="476"/>
      <c r="L237" s="476"/>
    </row>
    <row r="238" spans="1:12" x14ac:dyDescent="0.2">
      <c r="A238" s="476"/>
      <c r="B238" s="476"/>
      <c r="C238" s="476"/>
      <c r="D238" s="476"/>
      <c r="E238" s="476"/>
      <c r="F238" s="476"/>
      <c r="G238" s="476"/>
      <c r="H238" s="476"/>
      <c r="I238" s="476"/>
      <c r="J238" s="476"/>
      <c r="K238" s="476"/>
      <c r="L238" s="476"/>
    </row>
    <row r="239" spans="1:12" x14ac:dyDescent="0.2">
      <c r="A239" s="476"/>
      <c r="B239" s="476"/>
      <c r="C239" s="476"/>
      <c r="D239" s="476"/>
      <c r="E239" s="476"/>
      <c r="F239" s="476"/>
      <c r="G239" s="476"/>
      <c r="H239" s="476"/>
      <c r="I239" s="476"/>
      <c r="J239" s="476"/>
      <c r="K239" s="476"/>
      <c r="L239" s="476"/>
    </row>
    <row r="240" spans="1:12" x14ac:dyDescent="0.2">
      <c r="A240" s="476"/>
      <c r="B240" s="476"/>
      <c r="C240" s="476"/>
      <c r="D240" s="476"/>
      <c r="E240" s="476"/>
      <c r="F240" s="476"/>
      <c r="G240" s="476"/>
      <c r="H240" s="476"/>
      <c r="I240" s="476"/>
      <c r="J240" s="476"/>
      <c r="K240" s="476"/>
      <c r="L240" s="476"/>
    </row>
    <row r="241" spans="1:12" x14ac:dyDescent="0.2">
      <c r="A241" s="476"/>
      <c r="B241" s="476"/>
      <c r="C241" s="476"/>
      <c r="D241" s="476"/>
      <c r="E241" s="476"/>
      <c r="F241" s="476"/>
      <c r="G241" s="476"/>
      <c r="H241" s="476"/>
      <c r="I241" s="476"/>
      <c r="J241" s="476"/>
      <c r="K241" s="476"/>
      <c r="L241" s="476"/>
    </row>
    <row r="242" spans="1:12" x14ac:dyDescent="0.2">
      <c r="A242" s="476"/>
      <c r="B242" s="476"/>
      <c r="C242" s="476"/>
      <c r="D242" s="476"/>
      <c r="E242" s="476"/>
      <c r="F242" s="476"/>
      <c r="G242" s="476"/>
      <c r="H242" s="476"/>
      <c r="I242" s="476"/>
      <c r="J242" s="476"/>
      <c r="K242" s="476"/>
      <c r="L242" s="476"/>
    </row>
    <row r="243" spans="1:12" x14ac:dyDescent="0.2">
      <c r="A243" s="476"/>
      <c r="B243" s="476"/>
      <c r="C243" s="476"/>
      <c r="D243" s="476"/>
      <c r="E243" s="476"/>
      <c r="F243" s="476"/>
      <c r="G243" s="476"/>
      <c r="H243" s="476"/>
      <c r="I243" s="476"/>
      <c r="J243" s="476"/>
      <c r="K243" s="476"/>
      <c r="L243" s="476"/>
    </row>
    <row r="244" spans="1:12" x14ac:dyDescent="0.2">
      <c r="A244" s="476"/>
      <c r="B244" s="476"/>
      <c r="C244" s="476"/>
      <c r="D244" s="476"/>
      <c r="E244" s="476"/>
      <c r="F244" s="476"/>
      <c r="G244" s="476"/>
      <c r="H244" s="476"/>
      <c r="I244" s="476"/>
      <c r="J244" s="476"/>
      <c r="K244" s="476"/>
      <c r="L244" s="476"/>
    </row>
    <row r="245" spans="1:12" x14ac:dyDescent="0.2">
      <c r="A245" s="476"/>
      <c r="B245" s="476"/>
      <c r="C245" s="476"/>
      <c r="D245" s="476"/>
      <c r="E245" s="476"/>
      <c r="F245" s="476"/>
      <c r="G245" s="476"/>
      <c r="H245" s="476"/>
      <c r="I245" s="476"/>
      <c r="J245" s="476"/>
      <c r="K245" s="476"/>
      <c r="L245" s="476"/>
    </row>
    <row r="246" spans="1:12" x14ac:dyDescent="0.2">
      <c r="A246" s="476"/>
      <c r="B246" s="476"/>
      <c r="C246" s="476"/>
      <c r="D246" s="476"/>
      <c r="E246" s="476"/>
      <c r="F246" s="476"/>
      <c r="G246" s="476"/>
      <c r="H246" s="476"/>
      <c r="I246" s="476"/>
      <c r="J246" s="476"/>
      <c r="K246" s="476"/>
      <c r="L246" s="476"/>
    </row>
    <row r="247" spans="1:12" x14ac:dyDescent="0.2">
      <c r="A247" s="476"/>
      <c r="B247" s="476"/>
      <c r="C247" s="476"/>
      <c r="D247" s="476"/>
      <c r="E247" s="476"/>
      <c r="F247" s="476"/>
      <c r="G247" s="476"/>
      <c r="H247" s="476"/>
      <c r="I247" s="476"/>
      <c r="J247" s="476"/>
      <c r="K247" s="476"/>
      <c r="L247" s="476"/>
    </row>
    <row r="248" spans="1:12" x14ac:dyDescent="0.2">
      <c r="A248" s="476"/>
      <c r="B248" s="476"/>
      <c r="C248" s="476"/>
      <c r="D248" s="476"/>
      <c r="E248" s="476"/>
      <c r="F248" s="476"/>
      <c r="G248" s="476"/>
      <c r="H248" s="476"/>
      <c r="I248" s="476"/>
      <c r="J248" s="476"/>
      <c r="K248" s="476"/>
      <c r="L248" s="476"/>
    </row>
    <row r="249" spans="1:12" x14ac:dyDescent="0.2">
      <c r="A249" s="476"/>
      <c r="B249" s="476"/>
      <c r="C249" s="476"/>
      <c r="D249" s="476"/>
      <c r="E249" s="476"/>
      <c r="F249" s="476"/>
      <c r="G249" s="476"/>
      <c r="H249" s="476"/>
      <c r="I249" s="476"/>
      <c r="J249" s="476"/>
      <c r="K249" s="476"/>
      <c r="L249" s="476"/>
    </row>
    <row r="250" spans="1:12" x14ac:dyDescent="0.2">
      <c r="A250" s="476"/>
      <c r="B250" s="476"/>
      <c r="C250" s="476"/>
      <c r="D250" s="476"/>
      <c r="E250" s="476"/>
      <c r="F250" s="476"/>
      <c r="G250" s="476"/>
      <c r="H250" s="476"/>
      <c r="I250" s="476"/>
      <c r="J250" s="476"/>
      <c r="K250" s="476"/>
      <c r="L250" s="476"/>
    </row>
    <row r="251" spans="1:12" x14ac:dyDescent="0.2">
      <c r="A251" s="476"/>
      <c r="B251" s="476"/>
      <c r="C251" s="476"/>
      <c r="D251" s="476"/>
      <c r="E251" s="476"/>
      <c r="F251" s="476"/>
      <c r="G251" s="476"/>
      <c r="H251" s="476"/>
      <c r="I251" s="476"/>
      <c r="J251" s="476"/>
      <c r="K251" s="476"/>
      <c r="L251" s="476"/>
    </row>
    <row r="252" spans="1:12" x14ac:dyDescent="0.2">
      <c r="A252" s="476"/>
      <c r="B252" s="476"/>
      <c r="C252" s="476"/>
      <c r="D252" s="476"/>
      <c r="E252" s="476"/>
      <c r="F252" s="476"/>
      <c r="G252" s="476"/>
      <c r="H252" s="476"/>
      <c r="I252" s="476"/>
      <c r="J252" s="476"/>
      <c r="K252" s="476"/>
      <c r="L252" s="476"/>
    </row>
    <row r="253" spans="1:12" x14ac:dyDescent="0.2">
      <c r="A253" s="476"/>
      <c r="B253" s="476"/>
      <c r="C253" s="476"/>
      <c r="D253" s="476"/>
      <c r="E253" s="476"/>
      <c r="F253" s="476"/>
      <c r="G253" s="476"/>
      <c r="H253" s="476"/>
      <c r="I253" s="476"/>
      <c r="J253" s="476"/>
      <c r="K253" s="476"/>
      <c r="L253" s="476"/>
    </row>
    <row r="254" spans="1:12" x14ac:dyDescent="0.2">
      <c r="A254" s="476"/>
      <c r="B254" s="476"/>
      <c r="C254" s="476"/>
      <c r="D254" s="476"/>
      <c r="E254" s="476"/>
      <c r="F254" s="476"/>
      <c r="G254" s="476"/>
      <c r="H254" s="476"/>
      <c r="I254" s="476"/>
      <c r="J254" s="476"/>
      <c r="K254" s="476"/>
      <c r="L254" s="476"/>
    </row>
    <row r="255" spans="1:12" x14ac:dyDescent="0.2">
      <c r="A255" s="476"/>
      <c r="B255" s="476"/>
      <c r="C255" s="476"/>
      <c r="D255" s="476"/>
      <c r="E255" s="476"/>
      <c r="F255" s="476"/>
      <c r="G255" s="476"/>
      <c r="H255" s="476"/>
      <c r="I255" s="476"/>
      <c r="J255" s="476"/>
      <c r="K255" s="476"/>
      <c r="L255" s="476"/>
    </row>
    <row r="256" spans="1:12" x14ac:dyDescent="0.2">
      <c r="A256" s="476"/>
      <c r="B256" s="476"/>
      <c r="C256" s="476"/>
      <c r="D256" s="476"/>
      <c r="E256" s="476"/>
      <c r="F256" s="476"/>
      <c r="G256" s="476"/>
      <c r="H256" s="476"/>
      <c r="I256" s="476"/>
      <c r="J256" s="476"/>
      <c r="K256" s="476"/>
      <c r="L256" s="476"/>
    </row>
    <row r="257" spans="1:12" x14ac:dyDescent="0.2">
      <c r="A257" s="476"/>
      <c r="B257" s="476"/>
      <c r="C257" s="476"/>
      <c r="D257" s="476"/>
      <c r="E257" s="476"/>
      <c r="F257" s="476"/>
      <c r="G257" s="476"/>
      <c r="H257" s="476"/>
      <c r="I257" s="476"/>
      <c r="J257" s="476"/>
      <c r="K257" s="476"/>
      <c r="L257" s="476"/>
    </row>
    <row r="258" spans="1:12" x14ac:dyDescent="0.2">
      <c r="A258" s="476"/>
      <c r="B258" s="476"/>
      <c r="C258" s="476"/>
      <c r="D258" s="476"/>
      <c r="E258" s="476"/>
      <c r="F258" s="476"/>
      <c r="G258" s="476"/>
      <c r="H258" s="476"/>
      <c r="I258" s="476"/>
      <c r="J258" s="476"/>
      <c r="K258" s="476"/>
      <c r="L258" s="476"/>
    </row>
    <row r="259" spans="1:12" x14ac:dyDescent="0.2">
      <c r="A259" s="476"/>
      <c r="B259" s="476"/>
      <c r="C259" s="476"/>
      <c r="D259" s="476"/>
      <c r="E259" s="476"/>
      <c r="F259" s="476"/>
      <c r="G259" s="476"/>
      <c r="H259" s="476"/>
      <c r="I259" s="476"/>
      <c r="J259" s="476"/>
      <c r="K259" s="476"/>
      <c r="L259" s="476"/>
    </row>
    <row r="260" spans="1:12" x14ac:dyDescent="0.2">
      <c r="A260" s="476"/>
      <c r="B260" s="476"/>
      <c r="C260" s="476"/>
      <c r="D260" s="476"/>
      <c r="E260" s="476"/>
      <c r="F260" s="476"/>
      <c r="G260" s="476"/>
      <c r="H260" s="476"/>
      <c r="I260" s="476"/>
      <c r="J260" s="476"/>
      <c r="K260" s="476"/>
      <c r="L260" s="476"/>
    </row>
    <row r="261" spans="1:12" x14ac:dyDescent="0.2">
      <c r="A261" s="476"/>
      <c r="B261" s="476"/>
      <c r="C261" s="476"/>
      <c r="D261" s="476"/>
      <c r="E261" s="476"/>
      <c r="F261" s="476"/>
      <c r="G261" s="476"/>
      <c r="H261" s="476"/>
      <c r="I261" s="476"/>
      <c r="J261" s="476"/>
      <c r="K261" s="476"/>
      <c r="L261" s="476"/>
    </row>
    <row r="262" spans="1:12" x14ac:dyDescent="0.2">
      <c r="A262" s="476"/>
      <c r="B262" s="476"/>
      <c r="C262" s="476"/>
      <c r="D262" s="476"/>
      <c r="E262" s="476"/>
      <c r="F262" s="476"/>
      <c r="G262" s="476"/>
      <c r="H262" s="476"/>
      <c r="I262" s="476"/>
      <c r="J262" s="476"/>
      <c r="K262" s="476"/>
      <c r="L262" s="476"/>
    </row>
    <row r="263" spans="1:12" x14ac:dyDescent="0.2">
      <c r="A263" s="476"/>
      <c r="B263" s="476"/>
      <c r="C263" s="476"/>
      <c r="D263" s="476"/>
      <c r="E263" s="476"/>
      <c r="F263" s="476"/>
      <c r="G263" s="476"/>
      <c r="H263" s="476"/>
      <c r="I263" s="476"/>
      <c r="J263" s="476"/>
      <c r="K263" s="476"/>
      <c r="L263" s="476"/>
    </row>
    <row r="264" spans="1:12" x14ac:dyDescent="0.2">
      <c r="A264" s="476"/>
      <c r="B264" s="476"/>
      <c r="C264" s="476"/>
      <c r="D264" s="476"/>
      <c r="E264" s="476"/>
      <c r="F264" s="476"/>
      <c r="G264" s="476"/>
      <c r="H264" s="476"/>
      <c r="I264" s="476"/>
      <c r="J264" s="476"/>
      <c r="K264" s="476"/>
      <c r="L264" s="476"/>
    </row>
    <row r="265" spans="1:12" x14ac:dyDescent="0.2">
      <c r="A265" s="476"/>
      <c r="B265" s="476"/>
      <c r="C265" s="476"/>
      <c r="D265" s="476"/>
      <c r="E265" s="476"/>
      <c r="F265" s="476"/>
      <c r="G265" s="476"/>
      <c r="H265" s="476"/>
      <c r="I265" s="476"/>
      <c r="J265" s="476"/>
      <c r="K265" s="476"/>
      <c r="L265" s="476"/>
    </row>
    <row r="266" spans="1:12" x14ac:dyDescent="0.2">
      <c r="A266" s="476"/>
      <c r="B266" s="476"/>
      <c r="C266" s="476"/>
      <c r="D266" s="476"/>
      <c r="E266" s="476"/>
      <c r="F266" s="476"/>
      <c r="G266" s="476"/>
      <c r="H266" s="476"/>
      <c r="I266" s="476"/>
      <c r="J266" s="476"/>
      <c r="K266" s="476"/>
      <c r="L266" s="476"/>
    </row>
    <row r="267" spans="1:12" x14ac:dyDescent="0.2">
      <c r="A267" s="476"/>
      <c r="B267" s="476"/>
      <c r="C267" s="476"/>
      <c r="D267" s="476"/>
      <c r="E267" s="476"/>
      <c r="F267" s="476"/>
      <c r="G267" s="476"/>
      <c r="H267" s="476"/>
      <c r="I267" s="476"/>
      <c r="J267" s="476"/>
      <c r="K267" s="476"/>
      <c r="L267" s="476"/>
    </row>
    <row r="268" spans="1:12" x14ac:dyDescent="0.2">
      <c r="A268" s="476"/>
      <c r="B268" s="476"/>
      <c r="C268" s="476"/>
      <c r="D268" s="476"/>
      <c r="E268" s="476"/>
      <c r="F268" s="476"/>
      <c r="G268" s="476"/>
      <c r="H268" s="476"/>
      <c r="I268" s="476"/>
      <c r="J268" s="476"/>
      <c r="K268" s="476"/>
      <c r="L268" s="476"/>
    </row>
    <row r="269" spans="1:12" x14ac:dyDescent="0.2">
      <c r="A269" s="476"/>
      <c r="B269" s="476"/>
      <c r="C269" s="476"/>
      <c r="D269" s="476"/>
      <c r="E269" s="476"/>
      <c r="F269" s="476"/>
      <c r="G269" s="476"/>
      <c r="H269" s="476"/>
      <c r="I269" s="476"/>
      <c r="J269" s="476"/>
      <c r="K269" s="476"/>
      <c r="L269" s="476"/>
    </row>
    <row r="270" spans="1:12" x14ac:dyDescent="0.2">
      <c r="A270" s="476"/>
      <c r="B270" s="476"/>
      <c r="C270" s="476"/>
      <c r="D270" s="476"/>
      <c r="E270" s="476"/>
      <c r="F270" s="476"/>
      <c r="G270" s="476"/>
      <c r="H270" s="476"/>
      <c r="I270" s="476"/>
      <c r="J270" s="476"/>
      <c r="K270" s="476"/>
      <c r="L270" s="476"/>
    </row>
    <row r="271" spans="1:12" x14ac:dyDescent="0.2">
      <c r="A271" s="476"/>
      <c r="B271" s="476"/>
      <c r="C271" s="476"/>
      <c r="D271" s="476"/>
      <c r="E271" s="476"/>
      <c r="F271" s="476"/>
      <c r="G271" s="476"/>
      <c r="H271" s="476"/>
      <c r="I271" s="476"/>
      <c r="J271" s="476"/>
      <c r="K271" s="476"/>
      <c r="L271" s="476"/>
    </row>
    <row r="272" spans="1:12" x14ac:dyDescent="0.2">
      <c r="A272" s="476"/>
      <c r="B272" s="476"/>
      <c r="C272" s="476"/>
      <c r="D272" s="476"/>
      <c r="E272" s="476"/>
      <c r="F272" s="476"/>
      <c r="G272" s="476"/>
      <c r="H272" s="476"/>
      <c r="I272" s="476"/>
      <c r="J272" s="476"/>
      <c r="K272" s="476"/>
      <c r="L272" s="476"/>
    </row>
    <row r="273" spans="1:12" x14ac:dyDescent="0.2">
      <c r="A273" s="476"/>
      <c r="B273" s="476"/>
      <c r="C273" s="476"/>
      <c r="D273" s="476"/>
      <c r="E273" s="476"/>
      <c r="F273" s="476"/>
      <c r="G273" s="476"/>
      <c r="H273" s="476"/>
      <c r="I273" s="476"/>
      <c r="J273" s="476"/>
      <c r="K273" s="476"/>
      <c r="L273" s="476"/>
    </row>
    <row r="274" spans="1:12" x14ac:dyDescent="0.2">
      <c r="A274" s="476"/>
      <c r="B274" s="476"/>
      <c r="C274" s="476"/>
      <c r="D274" s="476"/>
      <c r="E274" s="476"/>
      <c r="F274" s="476"/>
      <c r="G274" s="476"/>
      <c r="H274" s="476"/>
      <c r="I274" s="476"/>
      <c r="J274" s="476"/>
      <c r="K274" s="476"/>
      <c r="L274" s="476"/>
    </row>
    <row r="275" spans="1:12" x14ac:dyDescent="0.2">
      <c r="A275" s="476"/>
      <c r="B275" s="476"/>
      <c r="C275" s="476"/>
      <c r="D275" s="476"/>
      <c r="E275" s="476"/>
      <c r="F275" s="476"/>
      <c r="G275" s="476"/>
      <c r="H275" s="476"/>
      <c r="I275" s="476"/>
      <c r="J275" s="476"/>
      <c r="K275" s="476"/>
      <c r="L275" s="476"/>
    </row>
    <row r="276" spans="1:12" x14ac:dyDescent="0.2">
      <c r="A276" s="476"/>
      <c r="B276" s="476"/>
      <c r="C276" s="476"/>
      <c r="D276" s="476"/>
      <c r="E276" s="476"/>
      <c r="F276" s="476"/>
      <c r="G276" s="476"/>
      <c r="H276" s="476"/>
      <c r="I276" s="476"/>
      <c r="J276" s="476"/>
      <c r="K276" s="476"/>
      <c r="L276" s="476"/>
    </row>
    <row r="277" spans="1:12" x14ac:dyDescent="0.2">
      <c r="A277" s="476"/>
      <c r="B277" s="476"/>
      <c r="C277" s="476"/>
      <c r="D277" s="476"/>
      <c r="E277" s="476"/>
      <c r="F277" s="476"/>
      <c r="G277" s="476"/>
      <c r="H277" s="476"/>
      <c r="I277" s="476"/>
      <c r="J277" s="476"/>
      <c r="K277" s="476"/>
      <c r="L277" s="476"/>
    </row>
    <row r="278" spans="1:12" x14ac:dyDescent="0.2">
      <c r="A278" s="476"/>
      <c r="B278" s="476"/>
      <c r="C278" s="476"/>
      <c r="D278" s="476"/>
      <c r="E278" s="476"/>
      <c r="F278" s="476"/>
      <c r="G278" s="476"/>
      <c r="H278" s="476"/>
      <c r="I278" s="476"/>
      <c r="J278" s="476"/>
      <c r="K278" s="476"/>
      <c r="L278" s="476"/>
    </row>
    <row r="279" spans="1:12" x14ac:dyDescent="0.2">
      <c r="A279" s="476"/>
      <c r="B279" s="476"/>
      <c r="C279" s="476"/>
      <c r="D279" s="476"/>
      <c r="E279" s="476"/>
      <c r="F279" s="476"/>
      <c r="G279" s="476"/>
      <c r="H279" s="476"/>
      <c r="I279" s="476"/>
      <c r="J279" s="476"/>
      <c r="K279" s="476"/>
      <c r="L279" s="476"/>
    </row>
    <row r="280" spans="1:12" x14ac:dyDescent="0.2">
      <c r="A280" s="476"/>
      <c r="B280" s="476"/>
      <c r="C280" s="476"/>
      <c r="D280" s="476"/>
      <c r="E280" s="476"/>
      <c r="F280" s="476"/>
      <c r="G280" s="476"/>
      <c r="H280" s="476"/>
      <c r="I280" s="476"/>
      <c r="J280" s="476"/>
      <c r="K280" s="476"/>
      <c r="L280" s="476"/>
    </row>
    <row r="281" spans="1:12" x14ac:dyDescent="0.2">
      <c r="A281" s="476"/>
      <c r="B281" s="476"/>
      <c r="C281" s="476"/>
      <c r="D281" s="476"/>
      <c r="E281" s="476"/>
      <c r="F281" s="476"/>
      <c r="G281" s="476"/>
      <c r="H281" s="476"/>
      <c r="I281" s="476"/>
      <c r="J281" s="476"/>
      <c r="K281" s="476"/>
      <c r="L281" s="476"/>
    </row>
    <row r="282" spans="1:12" x14ac:dyDescent="0.2">
      <c r="A282" s="476"/>
      <c r="B282" s="476"/>
      <c r="C282" s="476"/>
      <c r="D282" s="476"/>
      <c r="E282" s="476"/>
      <c r="F282" s="476"/>
      <c r="G282" s="476"/>
      <c r="H282" s="476"/>
      <c r="I282" s="476"/>
      <c r="J282" s="476"/>
      <c r="K282" s="476"/>
      <c r="L282" s="476"/>
    </row>
    <row r="283" spans="1:12" x14ac:dyDescent="0.2">
      <c r="A283" s="476"/>
      <c r="B283" s="476"/>
      <c r="C283" s="476"/>
      <c r="D283" s="476"/>
      <c r="E283" s="476"/>
      <c r="F283" s="476"/>
      <c r="G283" s="476"/>
      <c r="H283" s="476"/>
      <c r="I283" s="476"/>
      <c r="J283" s="476"/>
      <c r="K283" s="476"/>
      <c r="L283" s="476"/>
    </row>
    <row r="284" spans="1:12" x14ac:dyDescent="0.2">
      <c r="A284" s="476"/>
      <c r="B284" s="476"/>
      <c r="C284" s="476"/>
      <c r="D284" s="476"/>
      <c r="E284" s="476"/>
      <c r="F284" s="476"/>
      <c r="G284" s="476"/>
      <c r="H284" s="476"/>
      <c r="I284" s="476"/>
      <c r="J284" s="476"/>
      <c r="K284" s="476"/>
      <c r="L284" s="476"/>
    </row>
    <row r="285" spans="1:12" x14ac:dyDescent="0.2">
      <c r="A285" s="476"/>
      <c r="B285" s="476"/>
      <c r="C285" s="476"/>
      <c r="D285" s="476"/>
      <c r="E285" s="476"/>
      <c r="F285" s="476"/>
      <c r="G285" s="476"/>
      <c r="H285" s="476"/>
      <c r="I285" s="476"/>
      <c r="J285" s="476"/>
      <c r="K285" s="476"/>
      <c r="L285" s="476"/>
    </row>
    <row r="286" spans="1:12" x14ac:dyDescent="0.2">
      <c r="A286" s="476"/>
      <c r="B286" s="476"/>
      <c r="C286" s="476"/>
      <c r="D286" s="476"/>
      <c r="E286" s="476"/>
      <c r="F286" s="476"/>
      <c r="G286" s="476"/>
      <c r="H286" s="476"/>
      <c r="I286" s="476"/>
      <c r="J286" s="476"/>
      <c r="K286" s="476"/>
      <c r="L286" s="476"/>
    </row>
    <row r="287" spans="1:12" x14ac:dyDescent="0.2">
      <c r="A287" s="476"/>
      <c r="B287" s="476"/>
      <c r="C287" s="476"/>
      <c r="D287" s="476"/>
      <c r="E287" s="476"/>
      <c r="F287" s="476"/>
      <c r="G287" s="476"/>
      <c r="H287" s="476"/>
      <c r="I287" s="476"/>
      <c r="J287" s="476"/>
      <c r="K287" s="476"/>
      <c r="L287" s="476"/>
    </row>
    <row r="288" spans="1:12" x14ac:dyDescent="0.2">
      <c r="A288" s="476"/>
      <c r="B288" s="476"/>
      <c r="C288" s="476"/>
      <c r="D288" s="476"/>
      <c r="E288" s="476"/>
      <c r="F288" s="476"/>
      <c r="G288" s="476"/>
      <c r="H288" s="476"/>
      <c r="I288" s="476"/>
      <c r="J288" s="476"/>
      <c r="K288" s="476"/>
      <c r="L288" s="476"/>
    </row>
    <row r="289" spans="1:12" x14ac:dyDescent="0.2">
      <c r="A289" s="476"/>
      <c r="B289" s="476"/>
      <c r="C289" s="476"/>
      <c r="D289" s="476"/>
      <c r="E289" s="476"/>
      <c r="F289" s="476"/>
      <c r="G289" s="476"/>
      <c r="H289" s="476"/>
      <c r="I289" s="476"/>
      <c r="J289" s="476"/>
      <c r="K289" s="476"/>
      <c r="L289" s="476"/>
    </row>
    <row r="290" spans="1:12" x14ac:dyDescent="0.2">
      <c r="A290" s="476"/>
      <c r="B290" s="476"/>
      <c r="C290" s="476"/>
      <c r="D290" s="476"/>
      <c r="E290" s="476"/>
      <c r="F290" s="476"/>
      <c r="G290" s="476"/>
      <c r="H290" s="476"/>
      <c r="I290" s="476"/>
      <c r="J290" s="476"/>
      <c r="K290" s="476"/>
      <c r="L290" s="476"/>
    </row>
    <row r="291" spans="1:12" x14ac:dyDescent="0.2">
      <c r="A291" s="476"/>
      <c r="B291" s="476"/>
      <c r="C291" s="476"/>
      <c r="D291" s="476"/>
      <c r="E291" s="476"/>
      <c r="F291" s="476"/>
      <c r="G291" s="476"/>
      <c r="H291" s="476"/>
      <c r="I291" s="476"/>
      <c r="J291" s="476"/>
      <c r="K291" s="476"/>
      <c r="L291" s="476"/>
    </row>
    <row r="292" spans="1:12" x14ac:dyDescent="0.2">
      <c r="A292" s="476"/>
      <c r="B292" s="476"/>
      <c r="C292" s="476"/>
      <c r="D292" s="476"/>
      <c r="E292" s="476"/>
      <c r="F292" s="476"/>
      <c r="G292" s="476"/>
      <c r="H292" s="476"/>
      <c r="I292" s="476"/>
      <c r="J292" s="476"/>
      <c r="K292" s="476"/>
      <c r="L292" s="476"/>
    </row>
    <row r="293" spans="1:12" x14ac:dyDescent="0.2">
      <c r="A293" s="476"/>
      <c r="B293" s="476"/>
      <c r="C293" s="476"/>
      <c r="D293" s="476"/>
      <c r="E293" s="476"/>
      <c r="F293" s="476"/>
      <c r="G293" s="476"/>
      <c r="H293" s="476"/>
      <c r="I293" s="476"/>
      <c r="J293" s="476"/>
      <c r="K293" s="476"/>
      <c r="L293" s="476"/>
    </row>
    <row r="294" spans="1:12" x14ac:dyDescent="0.2">
      <c r="A294" s="476"/>
      <c r="B294" s="476"/>
      <c r="C294" s="476"/>
      <c r="D294" s="476"/>
      <c r="E294" s="476"/>
      <c r="F294" s="476"/>
      <c r="G294" s="476"/>
      <c r="H294" s="476"/>
      <c r="I294" s="476"/>
      <c r="J294" s="476"/>
      <c r="K294" s="476"/>
      <c r="L294" s="476"/>
    </row>
    <row r="295" spans="1:12" x14ac:dyDescent="0.2">
      <c r="A295" s="476"/>
      <c r="B295" s="476"/>
      <c r="C295" s="476"/>
      <c r="D295" s="476"/>
      <c r="E295" s="476"/>
      <c r="F295" s="476"/>
      <c r="G295" s="476"/>
      <c r="H295" s="476"/>
      <c r="I295" s="476"/>
      <c r="J295" s="476"/>
      <c r="K295" s="476"/>
      <c r="L295" s="476"/>
    </row>
    <row r="296" spans="1:12" x14ac:dyDescent="0.2">
      <c r="A296" s="476"/>
      <c r="B296" s="476"/>
      <c r="C296" s="476"/>
      <c r="D296" s="476"/>
      <c r="E296" s="476"/>
      <c r="F296" s="476"/>
      <c r="G296" s="476"/>
      <c r="H296" s="476"/>
      <c r="I296" s="476"/>
      <c r="J296" s="476"/>
      <c r="K296" s="476"/>
      <c r="L296" s="476"/>
    </row>
    <row r="297" spans="1:12" x14ac:dyDescent="0.2">
      <c r="A297" s="476"/>
      <c r="B297" s="476"/>
      <c r="C297" s="476"/>
      <c r="D297" s="476"/>
      <c r="E297" s="476"/>
      <c r="F297" s="476"/>
      <c r="G297" s="476"/>
      <c r="H297" s="476"/>
      <c r="I297" s="476"/>
      <c r="J297" s="476"/>
      <c r="K297" s="476"/>
      <c r="L297" s="476"/>
    </row>
    <row r="298" spans="1:12" x14ac:dyDescent="0.2">
      <c r="A298" s="476"/>
      <c r="B298" s="476"/>
      <c r="C298" s="476"/>
      <c r="D298" s="476"/>
      <c r="E298" s="476"/>
      <c r="F298" s="476"/>
      <c r="G298" s="476"/>
      <c r="H298" s="476"/>
      <c r="I298" s="476"/>
      <c r="J298" s="476"/>
      <c r="K298" s="476"/>
      <c r="L298" s="476"/>
    </row>
    <row r="299" spans="1:12" x14ac:dyDescent="0.2">
      <c r="A299" s="476"/>
      <c r="B299" s="476"/>
      <c r="C299" s="476"/>
      <c r="D299" s="476"/>
      <c r="E299" s="476"/>
      <c r="F299" s="476"/>
      <c r="G299" s="476"/>
      <c r="H299" s="476"/>
      <c r="I299" s="476"/>
      <c r="J299" s="476"/>
      <c r="K299" s="476"/>
      <c r="L299" s="476"/>
    </row>
    <row r="300" spans="1:12" x14ac:dyDescent="0.2">
      <c r="A300" s="476"/>
      <c r="B300" s="476"/>
      <c r="C300" s="476"/>
      <c r="D300" s="476"/>
      <c r="E300" s="476"/>
      <c r="F300" s="476"/>
      <c r="G300" s="476"/>
      <c r="H300" s="476"/>
      <c r="I300" s="476"/>
      <c r="J300" s="476"/>
      <c r="K300" s="476"/>
      <c r="L300" s="476"/>
    </row>
    <row r="301" spans="1:12" x14ac:dyDescent="0.2">
      <c r="A301" s="476"/>
      <c r="B301" s="476"/>
      <c r="C301" s="476"/>
      <c r="D301" s="476"/>
      <c r="E301" s="476"/>
      <c r="F301" s="476"/>
      <c r="G301" s="476"/>
      <c r="H301" s="476"/>
      <c r="I301" s="476"/>
      <c r="J301" s="476"/>
      <c r="K301" s="476"/>
      <c r="L301" s="476"/>
    </row>
    <row r="302" spans="1:12" x14ac:dyDescent="0.2">
      <c r="A302" s="476"/>
      <c r="B302" s="476"/>
      <c r="C302" s="476"/>
      <c r="D302" s="476"/>
      <c r="E302" s="476"/>
      <c r="F302" s="476"/>
      <c r="G302" s="476"/>
      <c r="H302" s="476"/>
      <c r="I302" s="476"/>
      <c r="J302" s="476"/>
      <c r="K302" s="476"/>
      <c r="L302" s="476"/>
    </row>
    <row r="303" spans="1:12" x14ac:dyDescent="0.2">
      <c r="A303" s="476"/>
      <c r="B303" s="476"/>
      <c r="C303" s="476"/>
      <c r="D303" s="476"/>
      <c r="E303" s="476"/>
      <c r="F303" s="476"/>
      <c r="G303" s="476"/>
      <c r="H303" s="476"/>
      <c r="I303" s="476"/>
      <c r="J303" s="476"/>
      <c r="K303" s="476"/>
      <c r="L303" s="476"/>
    </row>
    <row r="304" spans="1:12" x14ac:dyDescent="0.2">
      <c r="A304" s="476"/>
      <c r="B304" s="476"/>
      <c r="C304" s="476"/>
      <c r="D304" s="476"/>
      <c r="E304" s="476"/>
      <c r="F304" s="476"/>
      <c r="G304" s="476"/>
      <c r="H304" s="476"/>
      <c r="I304" s="476"/>
      <c r="J304" s="476"/>
      <c r="K304" s="476"/>
      <c r="L304" s="476"/>
    </row>
    <row r="305" spans="1:12" x14ac:dyDescent="0.2">
      <c r="A305" s="476"/>
      <c r="B305" s="476"/>
      <c r="C305" s="476"/>
      <c r="D305" s="476"/>
      <c r="E305" s="476"/>
      <c r="F305" s="476"/>
      <c r="G305" s="476"/>
      <c r="H305" s="476"/>
      <c r="I305" s="476"/>
      <c r="J305" s="476"/>
      <c r="K305" s="476"/>
      <c r="L305" s="476"/>
    </row>
    <row r="306" spans="1:12" x14ac:dyDescent="0.2">
      <c r="A306" s="476"/>
      <c r="B306" s="476"/>
      <c r="C306" s="476"/>
      <c r="D306" s="476"/>
      <c r="E306" s="476"/>
      <c r="F306" s="476"/>
      <c r="G306" s="476"/>
      <c r="H306" s="476"/>
      <c r="I306" s="476"/>
      <c r="J306" s="476"/>
      <c r="K306" s="476"/>
      <c r="L306" s="476"/>
    </row>
    <row r="307" spans="1:12" x14ac:dyDescent="0.2">
      <c r="A307" s="476"/>
      <c r="B307" s="476"/>
      <c r="C307" s="476"/>
      <c r="D307" s="476"/>
      <c r="E307" s="476"/>
      <c r="F307" s="476"/>
      <c r="G307" s="476"/>
      <c r="H307" s="476"/>
      <c r="I307" s="476"/>
      <c r="J307" s="476"/>
      <c r="K307" s="476"/>
      <c r="L307" s="476"/>
    </row>
    <row r="308" spans="1:12" x14ac:dyDescent="0.2">
      <c r="A308" s="476"/>
      <c r="B308" s="476"/>
      <c r="C308" s="476"/>
      <c r="D308" s="476"/>
      <c r="E308" s="476"/>
      <c r="F308" s="476"/>
      <c r="G308" s="476"/>
      <c r="H308" s="476"/>
      <c r="I308" s="476"/>
      <c r="J308" s="476"/>
      <c r="K308" s="476"/>
      <c r="L308" s="476"/>
    </row>
    <row r="309" spans="1:12" x14ac:dyDescent="0.2">
      <c r="A309" s="476"/>
      <c r="B309" s="476"/>
      <c r="C309" s="476"/>
      <c r="D309" s="476"/>
      <c r="E309" s="476"/>
      <c r="F309" s="476"/>
      <c r="G309" s="476"/>
      <c r="H309" s="476"/>
      <c r="I309" s="476"/>
      <c r="J309" s="476"/>
      <c r="K309" s="476"/>
      <c r="L309" s="476"/>
    </row>
    <row r="310" spans="1:12" x14ac:dyDescent="0.2">
      <c r="A310" s="476"/>
      <c r="B310" s="476"/>
      <c r="C310" s="476"/>
      <c r="D310" s="476"/>
      <c r="E310" s="476"/>
      <c r="F310" s="476"/>
      <c r="G310" s="476"/>
      <c r="H310" s="476"/>
      <c r="I310" s="476"/>
      <c r="J310" s="476"/>
      <c r="K310" s="476"/>
      <c r="L310" s="476"/>
    </row>
    <row r="311" spans="1:12" x14ac:dyDescent="0.2">
      <c r="A311" s="476"/>
      <c r="B311" s="476"/>
      <c r="C311" s="476"/>
      <c r="D311" s="476"/>
      <c r="E311" s="476"/>
      <c r="F311" s="476"/>
      <c r="G311" s="476"/>
      <c r="H311" s="476"/>
      <c r="I311" s="476"/>
      <c r="J311" s="476"/>
      <c r="K311" s="476"/>
      <c r="L311" s="476"/>
    </row>
    <row r="312" spans="1:12" x14ac:dyDescent="0.2">
      <c r="A312" s="476"/>
      <c r="B312" s="476"/>
      <c r="C312" s="476"/>
      <c r="D312" s="476"/>
      <c r="E312" s="476"/>
      <c r="F312" s="476"/>
      <c r="G312" s="476"/>
      <c r="H312" s="476"/>
      <c r="I312" s="476"/>
      <c r="J312" s="476"/>
      <c r="K312" s="476"/>
      <c r="L312" s="476"/>
    </row>
    <row r="313" spans="1:12" x14ac:dyDescent="0.2">
      <c r="A313" s="476"/>
      <c r="B313" s="476"/>
      <c r="C313" s="476"/>
      <c r="D313" s="476"/>
      <c r="E313" s="476"/>
      <c r="F313" s="476"/>
      <c r="G313" s="476"/>
      <c r="H313" s="476"/>
      <c r="I313" s="476"/>
      <c r="J313" s="476"/>
      <c r="K313" s="476"/>
      <c r="L313" s="476"/>
    </row>
    <row r="314" spans="1:12" x14ac:dyDescent="0.2">
      <c r="A314" s="476"/>
      <c r="B314" s="476"/>
      <c r="C314" s="476"/>
      <c r="D314" s="476"/>
      <c r="E314" s="476"/>
      <c r="F314" s="476"/>
      <c r="G314" s="476"/>
      <c r="H314" s="476"/>
      <c r="I314" s="476"/>
      <c r="J314" s="476"/>
      <c r="K314" s="476"/>
      <c r="L314" s="476"/>
    </row>
    <row r="315" spans="1:12" x14ac:dyDescent="0.2">
      <c r="A315" s="476"/>
      <c r="B315" s="476"/>
      <c r="C315" s="476"/>
      <c r="D315" s="476"/>
      <c r="E315" s="476"/>
      <c r="F315" s="476"/>
      <c r="G315" s="476"/>
      <c r="H315" s="476"/>
      <c r="I315" s="476"/>
      <c r="J315" s="476"/>
      <c r="K315" s="476"/>
      <c r="L315" s="476"/>
    </row>
    <row r="316" spans="1:12" x14ac:dyDescent="0.2">
      <c r="A316" s="476"/>
      <c r="B316" s="476"/>
      <c r="C316" s="476"/>
      <c r="D316" s="476"/>
      <c r="E316" s="476"/>
      <c r="F316" s="476"/>
      <c r="G316" s="476"/>
      <c r="H316" s="476"/>
      <c r="I316" s="476"/>
      <c r="J316" s="476"/>
      <c r="K316" s="476"/>
      <c r="L316" s="476"/>
    </row>
    <row r="317" spans="1:12" x14ac:dyDescent="0.2">
      <c r="A317" s="476"/>
      <c r="B317" s="476"/>
      <c r="C317" s="476"/>
      <c r="D317" s="476"/>
      <c r="E317" s="476"/>
      <c r="F317" s="476"/>
      <c r="G317" s="476"/>
      <c r="H317" s="476"/>
      <c r="I317" s="476"/>
      <c r="J317" s="476"/>
      <c r="K317" s="476"/>
      <c r="L317" s="476"/>
    </row>
    <row r="318" spans="1:12" x14ac:dyDescent="0.2">
      <c r="A318" s="476"/>
      <c r="B318" s="476"/>
      <c r="C318" s="476"/>
      <c r="D318" s="476"/>
      <c r="E318" s="476"/>
      <c r="F318" s="476"/>
      <c r="G318" s="476"/>
      <c r="H318" s="476"/>
      <c r="I318" s="476"/>
      <c r="J318" s="476"/>
      <c r="K318" s="476"/>
      <c r="L318" s="476"/>
    </row>
    <row r="319" spans="1:12" x14ac:dyDescent="0.2">
      <c r="A319" s="476"/>
      <c r="B319" s="476"/>
      <c r="C319" s="476"/>
      <c r="D319" s="476"/>
      <c r="E319" s="476"/>
      <c r="F319" s="476"/>
      <c r="G319" s="476"/>
      <c r="H319" s="476"/>
      <c r="I319" s="476"/>
      <c r="J319" s="476"/>
      <c r="K319" s="476"/>
      <c r="L319" s="476"/>
    </row>
    <row r="320" spans="1:12" x14ac:dyDescent="0.2">
      <c r="A320" s="476"/>
      <c r="B320" s="476"/>
      <c r="C320" s="476"/>
      <c r="D320" s="476"/>
      <c r="E320" s="476"/>
      <c r="F320" s="476"/>
      <c r="G320" s="476"/>
      <c r="H320" s="476"/>
      <c r="I320" s="476"/>
      <c r="J320" s="476"/>
      <c r="K320" s="476"/>
      <c r="L320" s="476"/>
    </row>
    <row r="321" spans="1:12" x14ac:dyDescent="0.2">
      <c r="A321" s="476"/>
      <c r="B321" s="476"/>
      <c r="C321" s="476"/>
      <c r="D321" s="476"/>
      <c r="E321" s="476"/>
      <c r="F321" s="476"/>
      <c r="G321" s="476"/>
      <c r="H321" s="476"/>
      <c r="I321" s="476"/>
      <c r="J321" s="476"/>
      <c r="K321" s="476"/>
      <c r="L321" s="476"/>
    </row>
    <row r="322" spans="1:12" x14ac:dyDescent="0.2">
      <c r="A322" s="476"/>
      <c r="B322" s="476"/>
      <c r="C322" s="476"/>
      <c r="D322" s="476"/>
      <c r="E322" s="476"/>
      <c r="F322" s="476"/>
      <c r="G322" s="476"/>
      <c r="H322" s="476"/>
      <c r="I322" s="476"/>
      <c r="J322" s="476"/>
      <c r="K322" s="476"/>
      <c r="L322" s="476"/>
    </row>
    <row r="323" spans="1:12" x14ac:dyDescent="0.2">
      <c r="A323" s="476"/>
      <c r="B323" s="476"/>
      <c r="C323" s="476"/>
      <c r="D323" s="476"/>
      <c r="E323" s="476"/>
      <c r="F323" s="476"/>
      <c r="G323" s="476"/>
      <c r="H323" s="476"/>
      <c r="I323" s="476"/>
      <c r="J323" s="476"/>
      <c r="K323" s="476"/>
      <c r="L323" s="476"/>
    </row>
    <row r="324" spans="1:12" x14ac:dyDescent="0.2">
      <c r="A324" s="476"/>
      <c r="B324" s="476"/>
      <c r="C324" s="476"/>
      <c r="D324" s="476"/>
      <c r="E324" s="476"/>
      <c r="F324" s="476"/>
      <c r="G324" s="476"/>
      <c r="H324" s="476"/>
      <c r="I324" s="476"/>
      <c r="J324" s="476"/>
      <c r="K324" s="476"/>
      <c r="L324" s="476"/>
    </row>
    <row r="325" spans="1:12" x14ac:dyDescent="0.2">
      <c r="A325" s="476"/>
      <c r="B325" s="476"/>
      <c r="C325" s="476"/>
      <c r="D325" s="476"/>
      <c r="E325" s="476"/>
      <c r="F325" s="476"/>
      <c r="G325" s="476"/>
      <c r="H325" s="476"/>
      <c r="I325" s="476"/>
      <c r="J325" s="476"/>
      <c r="K325" s="476"/>
      <c r="L325" s="476"/>
    </row>
    <row r="326" spans="1:12" x14ac:dyDescent="0.2">
      <c r="A326" s="476"/>
      <c r="B326" s="476"/>
      <c r="C326" s="476"/>
      <c r="D326" s="476"/>
      <c r="E326" s="476"/>
      <c r="F326" s="476"/>
      <c r="G326" s="476"/>
      <c r="H326" s="476"/>
      <c r="I326" s="476"/>
      <c r="J326" s="476"/>
      <c r="K326" s="476"/>
      <c r="L326" s="476"/>
    </row>
    <row r="327" spans="1:12" x14ac:dyDescent="0.2">
      <c r="A327" s="476"/>
      <c r="B327" s="476"/>
      <c r="C327" s="476"/>
      <c r="D327" s="476"/>
      <c r="E327" s="476"/>
      <c r="F327" s="476"/>
      <c r="G327" s="476"/>
      <c r="H327" s="476"/>
      <c r="I327" s="476"/>
      <c r="J327" s="476"/>
      <c r="K327" s="476"/>
      <c r="L327" s="476"/>
    </row>
    <row r="328" spans="1:12" x14ac:dyDescent="0.2">
      <c r="A328" s="476"/>
      <c r="B328" s="476"/>
      <c r="C328" s="476"/>
      <c r="D328" s="476"/>
      <c r="E328" s="476"/>
      <c r="F328" s="476"/>
      <c r="G328" s="476"/>
      <c r="H328" s="476"/>
      <c r="I328" s="476"/>
      <c r="J328" s="476"/>
      <c r="K328" s="476"/>
      <c r="L328" s="476"/>
    </row>
    <row r="329" spans="1:12" x14ac:dyDescent="0.2">
      <c r="A329" s="476"/>
      <c r="B329" s="476"/>
      <c r="C329" s="476"/>
      <c r="D329" s="476"/>
      <c r="E329" s="476"/>
      <c r="F329" s="476"/>
      <c r="G329" s="476"/>
      <c r="H329" s="476"/>
      <c r="I329" s="476"/>
      <c r="J329" s="476"/>
      <c r="K329" s="476"/>
      <c r="L329" s="476"/>
    </row>
    <row r="330" spans="1:12" x14ac:dyDescent="0.2">
      <c r="A330" s="476"/>
      <c r="B330" s="476"/>
      <c r="C330" s="476"/>
      <c r="D330" s="476"/>
      <c r="E330" s="476"/>
      <c r="F330" s="476"/>
      <c r="G330" s="476"/>
      <c r="H330" s="476"/>
      <c r="I330" s="476"/>
      <c r="J330" s="476"/>
      <c r="K330" s="476"/>
      <c r="L330" s="476"/>
    </row>
    <row r="331" spans="1:12" x14ac:dyDescent="0.2">
      <c r="A331" s="476"/>
      <c r="B331" s="476"/>
      <c r="C331" s="476"/>
      <c r="D331" s="476"/>
      <c r="E331" s="476"/>
      <c r="F331" s="476"/>
      <c r="G331" s="476"/>
      <c r="H331" s="476"/>
      <c r="I331" s="476"/>
      <c r="J331" s="476"/>
      <c r="K331" s="476"/>
      <c r="L331" s="476"/>
    </row>
    <row r="332" spans="1:12" x14ac:dyDescent="0.2">
      <c r="A332" s="476"/>
      <c r="B332" s="476"/>
      <c r="C332" s="476"/>
      <c r="D332" s="476"/>
      <c r="E332" s="476"/>
      <c r="F332" s="476"/>
      <c r="G332" s="476"/>
      <c r="H332" s="476"/>
      <c r="I332" s="476"/>
      <c r="J332" s="476"/>
      <c r="K332" s="476"/>
      <c r="L332" s="476"/>
    </row>
    <row r="333" spans="1:12" x14ac:dyDescent="0.2">
      <c r="A333" s="476"/>
      <c r="B333" s="476"/>
      <c r="C333" s="476"/>
      <c r="D333" s="476"/>
      <c r="E333" s="476"/>
      <c r="F333" s="476"/>
      <c r="G333" s="476"/>
      <c r="H333" s="476"/>
      <c r="I333" s="476"/>
      <c r="J333" s="476"/>
      <c r="K333" s="476"/>
      <c r="L333" s="476"/>
    </row>
    <row r="334" spans="1:12" x14ac:dyDescent="0.2">
      <c r="A334" s="476"/>
      <c r="B334" s="476"/>
      <c r="C334" s="476"/>
      <c r="D334" s="476"/>
      <c r="E334" s="476"/>
      <c r="F334" s="476"/>
      <c r="G334" s="476"/>
      <c r="H334" s="476"/>
      <c r="I334" s="476"/>
      <c r="J334" s="476"/>
      <c r="K334" s="476"/>
      <c r="L334" s="476"/>
    </row>
    <row r="335" spans="1:12" x14ac:dyDescent="0.2">
      <c r="A335" s="476"/>
      <c r="B335" s="476"/>
      <c r="C335" s="476"/>
      <c r="D335" s="476"/>
      <c r="E335" s="476"/>
      <c r="F335" s="476"/>
      <c r="G335" s="476"/>
      <c r="H335" s="476"/>
      <c r="I335" s="476"/>
      <c r="J335" s="476"/>
      <c r="K335" s="476"/>
      <c r="L335" s="476"/>
    </row>
    <row r="336" spans="1:12" x14ac:dyDescent="0.2">
      <c r="A336" s="476"/>
      <c r="B336" s="476"/>
      <c r="C336" s="476"/>
      <c r="D336" s="476"/>
      <c r="E336" s="476"/>
      <c r="F336" s="476"/>
      <c r="G336" s="476"/>
      <c r="H336" s="476"/>
      <c r="I336" s="476"/>
      <c r="J336" s="476"/>
      <c r="K336" s="476"/>
      <c r="L336" s="476"/>
    </row>
    <row r="337" spans="1:12" x14ac:dyDescent="0.2">
      <c r="A337" s="476"/>
      <c r="B337" s="476"/>
      <c r="C337" s="476"/>
      <c r="D337" s="476"/>
      <c r="E337" s="476"/>
      <c r="F337" s="476"/>
      <c r="G337" s="476"/>
      <c r="H337" s="476"/>
      <c r="I337" s="476"/>
      <c r="J337" s="476"/>
      <c r="K337" s="476"/>
      <c r="L337" s="476"/>
    </row>
    <row r="338" spans="1:12" x14ac:dyDescent="0.2">
      <c r="A338" s="476"/>
      <c r="B338" s="476"/>
      <c r="C338" s="476"/>
      <c r="D338" s="476"/>
      <c r="E338" s="476"/>
      <c r="F338" s="476"/>
      <c r="G338" s="476"/>
      <c r="H338" s="476"/>
      <c r="I338" s="476"/>
      <c r="J338" s="476"/>
      <c r="K338" s="476"/>
      <c r="L338" s="476"/>
    </row>
    <row r="339" spans="1:12" x14ac:dyDescent="0.2">
      <c r="A339" s="476"/>
      <c r="B339" s="476"/>
      <c r="C339" s="476"/>
      <c r="D339" s="476"/>
      <c r="E339" s="476"/>
      <c r="F339" s="476"/>
      <c r="G339" s="476"/>
      <c r="H339" s="476"/>
      <c r="I339" s="476"/>
      <c r="J339" s="476"/>
      <c r="K339" s="476"/>
      <c r="L339" s="476"/>
    </row>
    <row r="340" spans="1:12" x14ac:dyDescent="0.2">
      <c r="A340" s="476"/>
      <c r="B340" s="476"/>
      <c r="C340" s="476"/>
      <c r="D340" s="476"/>
      <c r="E340" s="476"/>
      <c r="F340" s="476"/>
      <c r="G340" s="476"/>
      <c r="H340" s="476"/>
      <c r="I340" s="476"/>
      <c r="J340" s="476"/>
      <c r="K340" s="476"/>
      <c r="L340" s="476"/>
    </row>
    <row r="341" spans="1:12" x14ac:dyDescent="0.2">
      <c r="A341" s="476"/>
      <c r="B341" s="476"/>
      <c r="C341" s="476"/>
      <c r="D341" s="476"/>
      <c r="E341" s="476"/>
      <c r="F341" s="476"/>
      <c r="G341" s="476"/>
      <c r="H341" s="476"/>
      <c r="I341" s="476"/>
      <c r="J341" s="476"/>
      <c r="K341" s="476"/>
      <c r="L341" s="476"/>
    </row>
    <row r="342" spans="1:12" x14ac:dyDescent="0.2">
      <c r="A342" s="476"/>
      <c r="B342" s="476"/>
      <c r="C342" s="476"/>
      <c r="D342" s="476"/>
      <c r="E342" s="476"/>
      <c r="F342" s="476"/>
      <c r="G342" s="476"/>
      <c r="H342" s="476"/>
      <c r="I342" s="476"/>
      <c r="J342" s="476"/>
      <c r="K342" s="476"/>
      <c r="L342" s="476"/>
    </row>
    <row r="343" spans="1:12" x14ac:dyDescent="0.2">
      <c r="A343" s="476"/>
      <c r="B343" s="476"/>
      <c r="C343" s="476"/>
      <c r="D343" s="476"/>
      <c r="E343" s="476"/>
      <c r="F343" s="476"/>
      <c r="G343" s="476"/>
      <c r="H343" s="476"/>
      <c r="I343" s="476"/>
      <c r="J343" s="476"/>
      <c r="K343" s="476"/>
      <c r="L343" s="476"/>
    </row>
    <row r="344" spans="1:12" x14ac:dyDescent="0.2">
      <c r="A344" s="476"/>
      <c r="B344" s="476"/>
      <c r="C344" s="476"/>
      <c r="D344" s="476"/>
      <c r="E344" s="476"/>
      <c r="F344" s="476"/>
      <c r="G344" s="476"/>
      <c r="H344" s="476"/>
      <c r="I344" s="476"/>
      <c r="J344" s="476"/>
      <c r="K344" s="476"/>
      <c r="L344" s="476"/>
    </row>
    <row r="345" spans="1:12" x14ac:dyDescent="0.2">
      <c r="A345" s="476"/>
      <c r="B345" s="476"/>
      <c r="C345" s="476"/>
      <c r="D345" s="476"/>
      <c r="E345" s="476"/>
      <c r="F345" s="476"/>
      <c r="G345" s="476"/>
      <c r="H345" s="476"/>
      <c r="I345" s="476"/>
      <c r="J345" s="476"/>
      <c r="K345" s="476"/>
      <c r="L345" s="476"/>
    </row>
    <row r="346" spans="1:12" x14ac:dyDescent="0.2">
      <c r="A346" s="476"/>
      <c r="B346" s="476"/>
      <c r="C346" s="476"/>
      <c r="D346" s="476"/>
      <c r="E346" s="476"/>
      <c r="F346" s="476"/>
      <c r="G346" s="476"/>
      <c r="H346" s="476"/>
      <c r="I346" s="476"/>
      <c r="J346" s="476"/>
      <c r="K346" s="476"/>
      <c r="L346" s="476"/>
    </row>
    <row r="347" spans="1:12" x14ac:dyDescent="0.2">
      <c r="A347" s="476"/>
      <c r="B347" s="476"/>
      <c r="C347" s="476"/>
      <c r="D347" s="476"/>
      <c r="E347" s="476"/>
      <c r="F347" s="476"/>
      <c r="G347" s="476"/>
      <c r="H347" s="476"/>
      <c r="I347" s="476"/>
      <c r="J347" s="476"/>
      <c r="K347" s="476"/>
      <c r="L347" s="476"/>
    </row>
    <row r="348" spans="1:12" x14ac:dyDescent="0.2">
      <c r="A348" s="476"/>
      <c r="B348" s="476"/>
      <c r="C348" s="476"/>
      <c r="D348" s="476"/>
      <c r="E348" s="476"/>
      <c r="F348" s="476"/>
      <c r="G348" s="476"/>
      <c r="H348" s="476"/>
      <c r="I348" s="476"/>
      <c r="J348" s="476"/>
      <c r="K348" s="476"/>
      <c r="L348" s="476"/>
    </row>
    <row r="349" spans="1:12" x14ac:dyDescent="0.2">
      <c r="A349" s="476"/>
      <c r="B349" s="476"/>
      <c r="C349" s="476"/>
      <c r="D349" s="476"/>
      <c r="E349" s="476"/>
      <c r="F349" s="476"/>
      <c r="G349" s="476"/>
      <c r="H349" s="476"/>
      <c r="I349" s="476"/>
      <c r="J349" s="476"/>
      <c r="K349" s="476"/>
      <c r="L349" s="476"/>
    </row>
    <row r="350" spans="1:12" x14ac:dyDescent="0.2">
      <c r="A350" s="476"/>
      <c r="B350" s="476"/>
      <c r="C350" s="476"/>
      <c r="D350" s="476"/>
      <c r="E350" s="476"/>
      <c r="F350" s="476"/>
      <c r="G350" s="476"/>
      <c r="H350" s="476"/>
      <c r="I350" s="476"/>
      <c r="J350" s="476"/>
      <c r="K350" s="476"/>
      <c r="L350" s="476"/>
    </row>
    <row r="351" spans="1:12" x14ac:dyDescent="0.2">
      <c r="A351" s="476"/>
      <c r="B351" s="476"/>
      <c r="C351" s="476"/>
      <c r="D351" s="476"/>
      <c r="E351" s="476"/>
      <c r="F351" s="476"/>
      <c r="G351" s="476"/>
      <c r="H351" s="476"/>
      <c r="I351" s="476"/>
      <c r="J351" s="476"/>
      <c r="K351" s="476"/>
      <c r="L351" s="476"/>
    </row>
    <row r="352" spans="1:12" x14ac:dyDescent="0.2">
      <c r="A352" s="476"/>
      <c r="B352" s="476"/>
      <c r="C352" s="476"/>
      <c r="D352" s="476"/>
      <c r="E352" s="476"/>
      <c r="F352" s="476"/>
      <c r="G352" s="476"/>
      <c r="H352" s="476"/>
      <c r="I352" s="476"/>
      <c r="J352" s="476"/>
      <c r="K352" s="476"/>
      <c r="L352" s="476"/>
    </row>
    <row r="353" spans="1:12" x14ac:dyDescent="0.2">
      <c r="A353" s="476"/>
      <c r="B353" s="476"/>
      <c r="C353" s="476"/>
      <c r="D353" s="476"/>
      <c r="E353" s="476"/>
      <c r="F353" s="476"/>
      <c r="G353" s="476"/>
      <c r="H353" s="476"/>
      <c r="I353" s="476"/>
      <c r="J353" s="476"/>
      <c r="K353" s="476"/>
      <c r="L353" s="476"/>
    </row>
    <row r="354" spans="1:12" x14ac:dyDescent="0.2">
      <c r="A354" s="476"/>
      <c r="B354" s="476"/>
      <c r="C354" s="476"/>
      <c r="D354" s="476"/>
      <c r="E354" s="476"/>
      <c r="F354" s="476"/>
      <c r="G354" s="476"/>
      <c r="H354" s="476"/>
      <c r="I354" s="476"/>
      <c r="J354" s="476"/>
      <c r="K354" s="476"/>
      <c r="L354" s="476"/>
    </row>
  </sheetData>
  <sheetProtection sheet="1"/>
  <mergeCells count="55">
    <mergeCell ref="C148:D148"/>
    <mergeCell ref="J148:K148"/>
    <mergeCell ref="B128:K128"/>
    <mergeCell ref="B130:K130"/>
    <mergeCell ref="C133:D133"/>
    <mergeCell ref="H133:I133"/>
    <mergeCell ref="C134:D134"/>
    <mergeCell ref="H134:I134"/>
    <mergeCell ref="C136:D136"/>
    <mergeCell ref="C137:D137"/>
    <mergeCell ref="B144:K144"/>
    <mergeCell ref="C147:D147"/>
    <mergeCell ref="J147:K147"/>
    <mergeCell ref="B126:K126"/>
    <mergeCell ref="C100:D100"/>
    <mergeCell ref="C103:D103"/>
    <mergeCell ref="B105:K105"/>
    <mergeCell ref="B106:K106"/>
    <mergeCell ref="B108:K108"/>
    <mergeCell ref="B110:K110"/>
    <mergeCell ref="C114:D114"/>
    <mergeCell ref="C117:D117"/>
    <mergeCell ref="C120:D120"/>
    <mergeCell ref="C123:D123"/>
    <mergeCell ref="B125:K125"/>
    <mergeCell ref="C97:D97"/>
    <mergeCell ref="B57:K57"/>
    <mergeCell ref="B58:K58"/>
    <mergeCell ref="C74:D74"/>
    <mergeCell ref="C77:D77"/>
    <mergeCell ref="C80:D80"/>
    <mergeCell ref="C83:D83"/>
    <mergeCell ref="B85:K85"/>
    <mergeCell ref="B86:K86"/>
    <mergeCell ref="B88:K88"/>
    <mergeCell ref="B90:K90"/>
    <mergeCell ref="C94:D94"/>
    <mergeCell ref="B55:K55"/>
    <mergeCell ref="C25:D25"/>
    <mergeCell ref="B30:K30"/>
    <mergeCell ref="B31:K31"/>
    <mergeCell ref="B33:K33"/>
    <mergeCell ref="B35:K35"/>
    <mergeCell ref="C41:D41"/>
    <mergeCell ref="B48:C48"/>
    <mergeCell ref="G50:H50"/>
    <mergeCell ref="I51:K51"/>
    <mergeCell ref="B52:K52"/>
    <mergeCell ref="B53:K53"/>
    <mergeCell ref="F23:G23"/>
    <mergeCell ref="B6:K6"/>
    <mergeCell ref="B7:K7"/>
    <mergeCell ref="B8:K8"/>
    <mergeCell ref="B10:K10"/>
    <mergeCell ref="B12:K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topLeftCell="A13" workbookViewId="0">
      <selection activeCell="E37" sqref="E37"/>
    </sheetView>
  </sheetViews>
  <sheetFormatPr defaultRowHeight="15.75" x14ac:dyDescent="0.25"/>
  <cols>
    <col min="1" max="1" width="14.19921875" style="80" customWidth="1"/>
    <col min="2" max="2" width="18.69921875" style="80" customWidth="1"/>
    <col min="3" max="3" width="9.69921875" style="80" customWidth="1"/>
    <col min="4" max="4" width="14.09765625" style="80" customWidth="1"/>
    <col min="5" max="5" width="12.796875" style="80" customWidth="1"/>
    <col min="6" max="16384" width="8.796875" style="80"/>
  </cols>
  <sheetData>
    <row r="1" spans="1:5" x14ac:dyDescent="0.25">
      <c r="A1" s="88" t="str">
        <f>inputPrYr!D2</f>
        <v>Delhi Township</v>
      </c>
      <c r="B1" s="90"/>
      <c r="C1" s="90"/>
      <c r="D1" s="90"/>
      <c r="E1" s="90">
        <f>inputPrYr!D5</f>
        <v>2013</v>
      </c>
    </row>
    <row r="2" spans="1:5" x14ac:dyDescent="0.25">
      <c r="A2" s="88" t="str">
        <f>inputPrYr!D3</f>
        <v>Osborne County</v>
      </c>
      <c r="B2" s="90"/>
      <c r="C2" s="90"/>
      <c r="D2" s="90"/>
      <c r="E2" s="90"/>
    </row>
    <row r="3" spans="1:5" x14ac:dyDescent="0.25">
      <c r="A3" s="90"/>
      <c r="B3" s="90"/>
      <c r="C3" s="90"/>
      <c r="D3" s="90"/>
      <c r="E3" s="90"/>
    </row>
    <row r="4" spans="1:5" x14ac:dyDescent="0.25">
      <c r="A4" s="754" t="s">
        <v>158</v>
      </c>
      <c r="B4" s="755"/>
      <c r="C4" s="755"/>
      <c r="D4" s="755"/>
      <c r="E4" s="755"/>
    </row>
    <row r="5" spans="1:5" x14ac:dyDescent="0.25">
      <c r="A5" s="90"/>
      <c r="B5" s="90"/>
      <c r="C5" s="90"/>
      <c r="D5" s="90"/>
      <c r="E5" s="90"/>
    </row>
    <row r="6" spans="1:5" x14ac:dyDescent="0.25">
      <c r="A6" s="280" t="str">
        <f>CONCATENATE("From the County Clerks Budget Information for ",E1,":")</f>
        <v>From the County Clerks Budget Information for 2013:</v>
      </c>
      <c r="B6" s="281"/>
      <c r="C6" s="281"/>
      <c r="D6" s="14"/>
      <c r="E6" s="55"/>
    </row>
    <row r="7" spans="1:5" x14ac:dyDescent="0.25">
      <c r="A7" s="22" t="str">
        <f>CONCATENATE("Total Assessed Valuation for ",E1-1,"")</f>
        <v>Total Assessed Valuation for 2012</v>
      </c>
      <c r="B7" s="19"/>
      <c r="C7" s="19"/>
      <c r="D7" s="19"/>
      <c r="E7" s="282">
        <v>1010758</v>
      </c>
    </row>
    <row r="8" spans="1:5" x14ac:dyDescent="0.25">
      <c r="A8" s="22" t="str">
        <f>CONCATENATE("New Improvements for ",E1-1,"")</f>
        <v>New Improvements for 2012</v>
      </c>
      <c r="B8" s="19"/>
      <c r="C8" s="19"/>
      <c r="D8" s="19"/>
      <c r="E8" s="283">
        <v>965</v>
      </c>
    </row>
    <row r="9" spans="1:5" x14ac:dyDescent="0.25">
      <c r="A9" s="22" t="str">
        <f>CONCATENATE("Personal Property excluding oil, gas, and mobile homes - ",E1-1,"")</f>
        <v>Personal Property excluding oil, gas, and mobile homes - 2012</v>
      </c>
      <c r="B9" s="19"/>
      <c r="C9" s="19"/>
      <c r="D9" s="19"/>
      <c r="E9" s="283">
        <v>30397</v>
      </c>
    </row>
    <row r="10" spans="1:5" x14ac:dyDescent="0.25">
      <c r="A10" s="22" t="str">
        <f>CONCATENATE("Property that has changed in use for ",E1-1,"")</f>
        <v>Property that has changed in use for 2012</v>
      </c>
      <c r="B10" s="19"/>
      <c r="C10" s="19"/>
      <c r="D10" s="19"/>
      <c r="E10" s="283">
        <v>261</v>
      </c>
    </row>
    <row r="11" spans="1:5" x14ac:dyDescent="0.25">
      <c r="A11" s="22" t="str">
        <f>CONCATENATE("Personal Property excluding oil, gas, and mobile homes- ",E1-2,"")</f>
        <v>Personal Property excluding oil, gas, and mobile homes- 2011</v>
      </c>
      <c r="B11" s="19"/>
      <c r="C11" s="19"/>
      <c r="D11" s="19"/>
      <c r="E11" s="283">
        <v>29875</v>
      </c>
    </row>
    <row r="12" spans="1:5" x14ac:dyDescent="0.25">
      <c r="A12" s="22" t="str">
        <f>CONCATENATE("Gross earnings (intangible) tax estimate for ",E1,"")</f>
        <v>Gross earnings (intangible) tax estimate for 2013</v>
      </c>
      <c r="B12" s="19"/>
      <c r="C12" s="19"/>
      <c r="D12" s="19"/>
      <c r="E12" s="283">
        <v>113</v>
      </c>
    </row>
    <row r="13" spans="1:5" x14ac:dyDescent="0.25">
      <c r="A13" s="22" t="str">
        <f>CONCATENATE("Neighborhood Revitalization - ",E1,"")</f>
        <v>Neighborhood Revitalization - 2013</v>
      </c>
      <c r="B13" s="19"/>
      <c r="C13" s="19"/>
      <c r="D13" s="19"/>
      <c r="E13" s="283"/>
    </row>
    <row r="14" spans="1:5" x14ac:dyDescent="0.25">
      <c r="A14" s="22"/>
      <c r="B14" s="19"/>
      <c r="C14" s="19"/>
      <c r="D14" s="19"/>
      <c r="E14" s="284"/>
    </row>
    <row r="15" spans="1:5" x14ac:dyDescent="0.25">
      <c r="A15" s="285" t="str">
        <f>CONCATENATE("Actual Tax Rates for the ",E1-1," Budget:")</f>
        <v>Actual Tax Rates for the 2012 Budget:</v>
      </c>
      <c r="B15" s="19"/>
      <c r="C15" s="19"/>
      <c r="D15" s="19"/>
      <c r="E15" s="286"/>
    </row>
    <row r="16" spans="1:5" x14ac:dyDescent="0.25">
      <c r="A16" s="759" t="s">
        <v>286</v>
      </c>
      <c r="B16" s="760"/>
      <c r="C16" s="90"/>
      <c r="D16" s="287" t="s">
        <v>3</v>
      </c>
      <c r="E16" s="286"/>
    </row>
    <row r="17" spans="1:5" x14ac:dyDescent="0.25">
      <c r="A17" s="71" t="str">
        <f>inputPrYr!B16</f>
        <v>General</v>
      </c>
      <c r="B17" s="20"/>
      <c r="C17" s="19"/>
      <c r="D17" s="288">
        <v>1.9059999999999999</v>
      </c>
      <c r="E17" s="286"/>
    </row>
    <row r="18" spans="1:5" x14ac:dyDescent="0.25">
      <c r="A18" s="71" t="str">
        <f>inputPrYr!B17</f>
        <v>Debt Service</v>
      </c>
      <c r="B18" s="267"/>
      <c r="C18" s="19"/>
      <c r="D18" s="289"/>
      <c r="E18" s="286"/>
    </row>
    <row r="19" spans="1:5" x14ac:dyDescent="0.25">
      <c r="A19" s="71" t="str">
        <f>inputPrYr!B18</f>
        <v>Library</v>
      </c>
      <c r="B19" s="267"/>
      <c r="C19" s="19"/>
      <c r="D19" s="289"/>
      <c r="E19" s="286"/>
    </row>
    <row r="20" spans="1:5" x14ac:dyDescent="0.25">
      <c r="A20" s="71" t="str">
        <f>inputPrYr!B19</f>
        <v>Road</v>
      </c>
      <c r="B20" s="267"/>
      <c r="C20" s="19"/>
      <c r="D20" s="289">
        <v>12.651</v>
      </c>
      <c r="E20" s="286"/>
    </row>
    <row r="21" spans="1:5" x14ac:dyDescent="0.25">
      <c r="A21" s="71" t="str">
        <f>inputPrYr!B20</f>
        <v>Cemetery</v>
      </c>
      <c r="B21" s="267"/>
      <c r="C21" s="19"/>
      <c r="D21" s="289">
        <v>1.008</v>
      </c>
      <c r="E21" s="286"/>
    </row>
    <row r="22" spans="1:5" x14ac:dyDescent="0.25">
      <c r="A22" s="71">
        <f>inputPrYr!B21</f>
        <v>0</v>
      </c>
      <c r="B22" s="267"/>
      <c r="C22" s="19"/>
      <c r="D22" s="289"/>
      <c r="E22" s="286"/>
    </row>
    <row r="23" spans="1:5" x14ac:dyDescent="0.25">
      <c r="A23" s="71">
        <f>inputPrYr!B22</f>
        <v>0</v>
      </c>
      <c r="B23" s="267"/>
      <c r="C23" s="19"/>
      <c r="D23" s="290"/>
      <c r="E23" s="286"/>
    </row>
    <row r="24" spans="1:5" x14ac:dyDescent="0.25">
      <c r="A24" s="71">
        <f>inputPrYr!B23</f>
        <v>0</v>
      </c>
      <c r="B24" s="267"/>
      <c r="C24" s="19"/>
      <c r="D24" s="290"/>
      <c r="E24" s="286"/>
    </row>
    <row r="25" spans="1:5" x14ac:dyDescent="0.25">
      <c r="A25" s="71">
        <f>inputPrYr!B24</f>
        <v>0</v>
      </c>
      <c r="B25" s="267"/>
      <c r="C25" s="19"/>
      <c r="D25" s="290"/>
      <c r="E25" s="286"/>
    </row>
    <row r="26" spans="1:5" x14ac:dyDescent="0.25">
      <c r="A26" s="71">
        <f>inputPrYr!B25</f>
        <v>0</v>
      </c>
      <c r="B26" s="267"/>
      <c r="C26" s="19"/>
      <c r="D26" s="290"/>
      <c r="E26" s="286"/>
    </row>
    <row r="27" spans="1:5" x14ac:dyDescent="0.25">
      <c r="A27" s="14"/>
      <c r="B27" s="20" t="s">
        <v>276</v>
      </c>
      <c r="C27" s="259"/>
      <c r="D27" s="291">
        <f>SUM(D17:D26)</f>
        <v>15.565000000000001</v>
      </c>
      <c r="E27" s="14"/>
    </row>
    <row r="28" spans="1:5" x14ac:dyDescent="0.25">
      <c r="A28" s="14"/>
      <c r="B28" s="14"/>
      <c r="C28" s="14"/>
      <c r="D28" s="14"/>
      <c r="E28" s="14"/>
    </row>
    <row r="29" spans="1:5" x14ac:dyDescent="0.25">
      <c r="A29" s="20" t="str">
        <f>CONCATENATE("Final Assessed Valuation from the November 1, ",E1-2," Abstract:")</f>
        <v>Final Assessed Valuation from the November 1, 2011 Abstract:</v>
      </c>
      <c r="B29" s="20"/>
      <c r="C29" s="20"/>
      <c r="D29" s="20"/>
      <c r="E29" s="36">
        <v>971359</v>
      </c>
    </row>
    <row r="30" spans="1:5" x14ac:dyDescent="0.25">
      <c r="A30" s="14"/>
      <c r="B30" s="14"/>
      <c r="C30" s="14"/>
      <c r="D30" s="14"/>
      <c r="E30" s="14"/>
    </row>
    <row r="31" spans="1:5" x14ac:dyDescent="0.25">
      <c r="A31" s="292" t="str">
        <f>CONCATENATE("From the County Treasurer's Budget Information - ",E1," Budget Year Estimates:")</f>
        <v>From the County Treasurer's Budget Information - 2013 Budget Year Estimates:</v>
      </c>
      <c r="B31" s="293"/>
      <c r="C31" s="293"/>
      <c r="D31" s="294"/>
      <c r="E31" s="55"/>
    </row>
    <row r="32" spans="1:5" x14ac:dyDescent="0.25">
      <c r="A32" s="71" t="s">
        <v>159</v>
      </c>
      <c r="B32" s="20"/>
      <c r="C32" s="20"/>
      <c r="D32" s="295"/>
      <c r="E32" s="34">
        <v>390</v>
      </c>
    </row>
    <row r="33" spans="1:5" x14ac:dyDescent="0.25">
      <c r="A33" s="296" t="s">
        <v>277</v>
      </c>
      <c r="B33" s="267"/>
      <c r="C33" s="267"/>
      <c r="D33" s="31"/>
      <c r="E33" s="34">
        <v>0</v>
      </c>
    </row>
    <row r="34" spans="1:5" x14ac:dyDescent="0.25">
      <c r="A34" s="296" t="s">
        <v>160</v>
      </c>
      <c r="B34" s="267"/>
      <c r="C34" s="267"/>
      <c r="D34" s="31"/>
      <c r="E34" s="34">
        <v>225</v>
      </c>
    </row>
    <row r="35" spans="1:5" x14ac:dyDescent="0.25">
      <c r="A35" s="296" t="s">
        <v>161</v>
      </c>
      <c r="B35" s="267"/>
      <c r="C35" s="267"/>
      <c r="D35" s="31"/>
      <c r="E35" s="34"/>
    </row>
    <row r="36" spans="1:5" x14ac:dyDescent="0.25">
      <c r="A36" s="296" t="s">
        <v>100</v>
      </c>
      <c r="B36" s="20"/>
      <c r="C36" s="20"/>
      <c r="D36" s="295"/>
      <c r="E36" s="34">
        <v>1400</v>
      </c>
    </row>
    <row r="37" spans="1:5" x14ac:dyDescent="0.25">
      <c r="A37" s="14" t="s">
        <v>162</v>
      </c>
      <c r="B37" s="14"/>
      <c r="C37" s="14"/>
      <c r="D37" s="14"/>
      <c r="E37" s="14"/>
    </row>
    <row r="38" spans="1:5" x14ac:dyDescent="0.25">
      <c r="A38" s="68" t="s">
        <v>163</v>
      </c>
      <c r="B38" s="145"/>
      <c r="C38" s="145"/>
      <c r="D38" s="14"/>
      <c r="E38" s="14"/>
    </row>
    <row r="39" spans="1:5" x14ac:dyDescent="0.25">
      <c r="A39" s="71" t="str">
        <f>CONCATENATE("Actual Delinquency for ",E1-3," Tax - (rate .01213 = 1.213%, key in 1.2)")</f>
        <v>Actual Delinquency for 2010 Tax - (rate .01213 = 1.213%, key in 1.2)</v>
      </c>
      <c r="B39" s="20"/>
      <c r="C39" s="20"/>
      <c r="D39" s="259"/>
      <c r="E39" s="740">
        <v>0</v>
      </c>
    </row>
    <row r="40" spans="1:5" x14ac:dyDescent="0.25">
      <c r="A40" s="296" t="s">
        <v>857</v>
      </c>
      <c r="B40" s="274"/>
      <c r="C40" s="19"/>
      <c r="D40" s="19"/>
      <c r="E40" s="741">
        <v>0</v>
      </c>
    </row>
    <row r="41" spans="1:5" x14ac:dyDescent="0.25">
      <c r="A41" s="297" t="s">
        <v>164</v>
      </c>
      <c r="B41" s="297"/>
      <c r="C41" s="298"/>
      <c r="D41" s="298"/>
      <c r="E41" s="299"/>
    </row>
    <row r="42" spans="1:5" x14ac:dyDescent="0.25">
      <c r="A42" s="140"/>
      <c r="B42" s="140"/>
      <c r="C42" s="140"/>
      <c r="D42" s="140"/>
      <c r="E42" s="140"/>
    </row>
    <row r="43" spans="1:5" x14ac:dyDescent="0.25">
      <c r="A43" s="761" t="str">
        <f>CONCATENATE("From the ",E1-2," Budget Certificate Page")</f>
        <v>From the 2011 Budget Certificate Page</v>
      </c>
      <c r="B43" s="762"/>
      <c r="C43" s="140"/>
      <c r="D43" s="140"/>
      <c r="E43" s="140"/>
    </row>
    <row r="44" spans="1:5" x14ac:dyDescent="0.25">
      <c r="A44" s="300"/>
      <c r="B44" s="300" t="str">
        <f>CONCATENATE("",E1-2," Expenditure Amounts")</f>
        <v>2011 Expenditure Amounts</v>
      </c>
      <c r="C44" s="763" t="str">
        <f>CONCATENATE("Note: If the ",E1-2," budget was amended, then the")</f>
        <v>Note: If the 2011 budget was amended, then the</v>
      </c>
      <c r="D44" s="764"/>
      <c r="E44" s="764"/>
    </row>
    <row r="45" spans="1:5" x14ac:dyDescent="0.25">
      <c r="A45" s="301" t="s">
        <v>208</v>
      </c>
      <c r="B45" s="301" t="s">
        <v>209</v>
      </c>
      <c r="C45" s="302" t="s">
        <v>210</v>
      </c>
      <c r="D45" s="303"/>
      <c r="E45" s="303"/>
    </row>
    <row r="46" spans="1:5" x14ac:dyDescent="0.25">
      <c r="A46" s="304" t="str">
        <f>inputPrYr!B16</f>
        <v>General</v>
      </c>
      <c r="B46" s="36">
        <v>1500</v>
      </c>
      <c r="C46" s="302" t="s">
        <v>211</v>
      </c>
      <c r="D46" s="303"/>
      <c r="E46" s="303"/>
    </row>
    <row r="47" spans="1:5" x14ac:dyDescent="0.25">
      <c r="A47" s="304" t="str">
        <f>inputPrYr!B17</f>
        <v>Debt Service</v>
      </c>
      <c r="B47" s="36"/>
      <c r="C47" s="302"/>
      <c r="D47" s="303"/>
      <c r="E47" s="303"/>
    </row>
    <row r="48" spans="1:5" x14ac:dyDescent="0.25">
      <c r="A48" s="304" t="str">
        <f>inputPrYr!B18</f>
        <v>Library</v>
      </c>
      <c r="B48" s="36"/>
      <c r="C48" s="302"/>
      <c r="D48" s="303"/>
      <c r="E48" s="303"/>
    </row>
    <row r="49" spans="1:5" x14ac:dyDescent="0.25">
      <c r="A49" s="304" t="str">
        <f>inputPrYr!B19</f>
        <v>Road</v>
      </c>
      <c r="B49" s="36">
        <v>14258</v>
      </c>
      <c r="C49" s="140"/>
      <c r="D49" s="140"/>
      <c r="E49" s="140"/>
    </row>
    <row r="50" spans="1:5" x14ac:dyDescent="0.25">
      <c r="A50" s="304" t="str">
        <f>inputPrYr!B20</f>
        <v>Cemetery</v>
      </c>
      <c r="B50" s="36">
        <v>1000</v>
      </c>
      <c r="C50" s="140"/>
      <c r="D50" s="140"/>
      <c r="E50" s="140"/>
    </row>
    <row r="51" spans="1:5" x14ac:dyDescent="0.25">
      <c r="A51" s="304">
        <f>inputPrYr!B21</f>
        <v>0</v>
      </c>
      <c r="B51" s="36"/>
      <c r="C51" s="140"/>
      <c r="D51" s="140"/>
      <c r="E51" s="140"/>
    </row>
    <row r="52" spans="1:5" x14ac:dyDescent="0.25">
      <c r="A52" s="304">
        <f>inputPrYr!B22</f>
        <v>0</v>
      </c>
      <c r="B52" s="36"/>
      <c r="C52" s="140"/>
      <c r="D52" s="140"/>
      <c r="E52" s="140"/>
    </row>
    <row r="53" spans="1:5" x14ac:dyDescent="0.25">
      <c r="A53" s="304">
        <f>inputPrYr!B23</f>
        <v>0</v>
      </c>
      <c r="B53" s="36"/>
      <c r="C53" s="140"/>
      <c r="D53" s="140"/>
      <c r="E53" s="140"/>
    </row>
    <row r="54" spans="1:5" x14ac:dyDescent="0.25">
      <c r="A54" s="304">
        <f>inputPrYr!B24</f>
        <v>0</v>
      </c>
      <c r="B54" s="36"/>
      <c r="C54" s="140"/>
      <c r="D54" s="140"/>
      <c r="E54" s="140"/>
    </row>
    <row r="55" spans="1:5" x14ac:dyDescent="0.25">
      <c r="A55" s="304">
        <f>inputPrYr!B25</f>
        <v>0</v>
      </c>
      <c r="B55" s="36"/>
      <c r="C55" s="140"/>
      <c r="D55" s="140"/>
      <c r="E55" s="140"/>
    </row>
    <row r="56" spans="1:5" x14ac:dyDescent="0.25">
      <c r="A56" s="304">
        <f>inputPrYr!B29</f>
        <v>0</v>
      </c>
      <c r="B56" s="36"/>
      <c r="C56" s="140"/>
      <c r="D56" s="140"/>
      <c r="E56" s="140"/>
    </row>
    <row r="57" spans="1:5" x14ac:dyDescent="0.25">
      <c r="A57" s="304">
        <f>inputPrYr!B30</f>
        <v>0</v>
      </c>
      <c r="B57" s="36"/>
      <c r="C57" s="140"/>
      <c r="D57" s="140"/>
      <c r="E57" s="140"/>
    </row>
  </sheetData>
  <sheetProtection sheet="1"/>
  <mergeCells count="4">
    <mergeCell ref="A4:E4"/>
    <mergeCell ref="A16:B16"/>
    <mergeCell ref="A43:B43"/>
    <mergeCell ref="C44:E44"/>
  </mergeCells>
  <phoneticPr fontId="11" type="noConversion"/>
  <pageMargins left="0.75" right="0.75" top="1" bottom="1" header="0.5" footer="0.5"/>
  <pageSetup scale="83"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sqref="A1:IV65536"/>
    </sheetView>
  </sheetViews>
  <sheetFormatPr defaultRowHeight="15.75" x14ac:dyDescent="0.25"/>
  <cols>
    <col min="1" max="1" width="64.09765625" style="478" customWidth="1"/>
    <col min="2" max="16384" width="8.796875" style="478"/>
  </cols>
  <sheetData>
    <row r="1" spans="1:1" ht="16.5" x14ac:dyDescent="0.25">
      <c r="A1" s="477" t="s">
        <v>690</v>
      </c>
    </row>
    <row r="3" spans="1:1" ht="31.5" x14ac:dyDescent="0.25">
      <c r="A3" s="479" t="s">
        <v>691</v>
      </c>
    </row>
    <row r="4" spans="1:1" x14ac:dyDescent="0.25">
      <c r="A4" s="480" t="s">
        <v>692</v>
      </c>
    </row>
    <row r="7" spans="1:1" ht="31.5" x14ac:dyDescent="0.25">
      <c r="A7" s="479" t="s">
        <v>693</v>
      </c>
    </row>
    <row r="8" spans="1:1" x14ac:dyDescent="0.25">
      <c r="A8" s="480" t="s">
        <v>694</v>
      </c>
    </row>
    <row r="11" spans="1:1" x14ac:dyDescent="0.25">
      <c r="A11" s="478" t="s">
        <v>695</v>
      </c>
    </row>
    <row r="12" spans="1:1" x14ac:dyDescent="0.25">
      <c r="A12" s="480" t="s">
        <v>696</v>
      </c>
    </row>
    <row r="15" spans="1:1" x14ac:dyDescent="0.25">
      <c r="A15" s="478" t="s">
        <v>697</v>
      </c>
    </row>
    <row r="16" spans="1:1" x14ac:dyDescent="0.25">
      <c r="A16" s="480" t="s">
        <v>698</v>
      </c>
    </row>
    <row r="19" spans="1:1" x14ac:dyDescent="0.25">
      <c r="A19" s="478" t="s">
        <v>699</v>
      </c>
    </row>
    <row r="20" spans="1:1" x14ac:dyDescent="0.25">
      <c r="A20" s="480" t="s">
        <v>700</v>
      </c>
    </row>
    <row r="23" spans="1:1" x14ac:dyDescent="0.25">
      <c r="A23" s="478" t="s">
        <v>701</v>
      </c>
    </row>
    <row r="24" spans="1:1" x14ac:dyDescent="0.25">
      <c r="A24" s="480" t="s">
        <v>702</v>
      </c>
    </row>
    <row r="27" spans="1:1" x14ac:dyDescent="0.25">
      <c r="A27" s="478" t="s">
        <v>703</v>
      </c>
    </row>
    <row r="28" spans="1:1" x14ac:dyDescent="0.25">
      <c r="A28" s="480" t="s">
        <v>704</v>
      </c>
    </row>
    <row r="31" spans="1:1" x14ac:dyDescent="0.25">
      <c r="A31" s="478" t="s">
        <v>705</v>
      </c>
    </row>
    <row r="32" spans="1:1" x14ac:dyDescent="0.25">
      <c r="A32" s="480" t="s">
        <v>706</v>
      </c>
    </row>
    <row r="35" spans="1:1" x14ac:dyDescent="0.25">
      <c r="A35" s="478" t="s">
        <v>707</v>
      </c>
    </row>
    <row r="36" spans="1:1" x14ac:dyDescent="0.25">
      <c r="A36" s="480" t="s">
        <v>708</v>
      </c>
    </row>
    <row r="39" spans="1:1" x14ac:dyDescent="0.25">
      <c r="A39" s="478" t="s">
        <v>709</v>
      </c>
    </row>
    <row r="40" spans="1:1" x14ac:dyDescent="0.25">
      <c r="A40" s="480" t="s">
        <v>710</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0"/>
  <sheetViews>
    <sheetView workbookViewId="0">
      <selection activeCell="D10" sqref="D10"/>
    </sheetView>
  </sheetViews>
  <sheetFormatPr defaultRowHeight="15.75" x14ac:dyDescent="0.25"/>
  <cols>
    <col min="1" max="1" width="72.09765625" style="80" customWidth="1"/>
    <col min="2" max="16384" width="8.796875" style="80"/>
  </cols>
  <sheetData>
    <row r="1" spans="1:1" x14ac:dyDescent="0.25">
      <c r="A1" s="373" t="s">
        <v>930</v>
      </c>
    </row>
    <row r="2" spans="1:1" x14ac:dyDescent="0.25">
      <c r="A2" s="751" t="s">
        <v>931</v>
      </c>
    </row>
    <row r="4" spans="1:1" x14ac:dyDescent="0.25">
      <c r="A4" s="373" t="s">
        <v>896</v>
      </c>
    </row>
    <row r="5" spans="1:1" x14ac:dyDescent="0.25">
      <c r="A5" s="80" t="s">
        <v>897</v>
      </c>
    </row>
    <row r="6" spans="1:1" x14ac:dyDescent="0.25">
      <c r="A6" s="80" t="s">
        <v>898</v>
      </c>
    </row>
    <row r="7" spans="1:1" x14ac:dyDescent="0.25">
      <c r="A7" s="80" t="s">
        <v>899</v>
      </c>
    </row>
    <row r="8" spans="1:1" x14ac:dyDescent="0.25">
      <c r="A8" s="80" t="s">
        <v>900</v>
      </c>
    </row>
    <row r="9" spans="1:1" x14ac:dyDescent="0.25">
      <c r="A9" s="80" t="s">
        <v>901</v>
      </c>
    </row>
    <row r="10" spans="1:1" x14ac:dyDescent="0.25">
      <c r="A10" s="80" t="s">
        <v>902</v>
      </c>
    </row>
    <row r="11" spans="1:1" x14ac:dyDescent="0.25">
      <c r="A11" s="80" t="s">
        <v>903</v>
      </c>
    </row>
    <row r="12" spans="1:1" x14ac:dyDescent="0.25">
      <c r="A12" s="80" t="s">
        <v>904</v>
      </c>
    </row>
    <row r="13" spans="1:1" x14ac:dyDescent="0.25">
      <c r="A13" s="80" t="s">
        <v>905</v>
      </c>
    </row>
    <row r="14" spans="1:1" x14ac:dyDescent="0.25">
      <c r="A14" s="80" t="s">
        <v>906</v>
      </c>
    </row>
    <row r="15" spans="1:1" x14ac:dyDescent="0.25">
      <c r="A15" s="80" t="s">
        <v>907</v>
      </c>
    </row>
    <row r="16" spans="1:1" x14ac:dyDescent="0.25">
      <c r="A16" s="80" t="s">
        <v>908</v>
      </c>
    </row>
    <row r="17" spans="1:1" x14ac:dyDescent="0.25">
      <c r="A17" s="80" t="s">
        <v>909</v>
      </c>
    </row>
    <row r="18" spans="1:1" x14ac:dyDescent="0.25">
      <c r="A18" s="80" t="s">
        <v>910</v>
      </c>
    </row>
    <row r="19" spans="1:1" x14ac:dyDescent="0.25">
      <c r="A19" s="80" t="s">
        <v>911</v>
      </c>
    </row>
    <row r="20" spans="1:1" x14ac:dyDescent="0.25">
      <c r="A20" s="80" t="s">
        <v>912</v>
      </c>
    </row>
    <row r="21" spans="1:1" x14ac:dyDescent="0.25">
      <c r="A21" s="80" t="s">
        <v>913</v>
      </c>
    </row>
    <row r="22" spans="1:1" x14ac:dyDescent="0.25">
      <c r="A22" s="80" t="s">
        <v>914</v>
      </c>
    </row>
    <row r="23" spans="1:1" x14ac:dyDescent="0.25">
      <c r="A23" s="80" t="s">
        <v>915</v>
      </c>
    </row>
    <row r="24" spans="1:1" x14ac:dyDescent="0.25">
      <c r="A24" s="80" t="s">
        <v>916</v>
      </c>
    </row>
    <row r="25" spans="1:1" x14ac:dyDescent="0.25">
      <c r="A25" s="80" t="s">
        <v>917</v>
      </c>
    </row>
    <row r="26" spans="1:1" x14ac:dyDescent="0.25">
      <c r="A26" s="80" t="s">
        <v>918</v>
      </c>
    </row>
    <row r="27" spans="1:1" x14ac:dyDescent="0.25">
      <c r="A27" s="80" t="s">
        <v>919</v>
      </c>
    </row>
    <row r="28" spans="1:1" x14ac:dyDescent="0.25">
      <c r="A28" s="80" t="s">
        <v>920</v>
      </c>
    </row>
    <row r="29" spans="1:1" x14ac:dyDescent="0.25">
      <c r="A29" s="80" t="s">
        <v>921</v>
      </c>
    </row>
    <row r="30" spans="1:1" x14ac:dyDescent="0.25">
      <c r="A30" s="80" t="s">
        <v>922</v>
      </c>
    </row>
    <row r="31" spans="1:1" x14ac:dyDescent="0.25">
      <c r="A31" s="80" t="s">
        <v>923</v>
      </c>
    </row>
    <row r="32" spans="1:1" x14ac:dyDescent="0.25">
      <c r="A32" s="80" t="s">
        <v>925</v>
      </c>
    </row>
    <row r="33" spans="1:1" x14ac:dyDescent="0.25">
      <c r="A33" s="80" t="s">
        <v>924</v>
      </c>
    </row>
    <row r="35" spans="1:1" x14ac:dyDescent="0.25">
      <c r="A35" s="373" t="s">
        <v>756</v>
      </c>
    </row>
    <row r="36" spans="1:1" x14ac:dyDescent="0.25">
      <c r="A36" s="80" t="s">
        <v>757</v>
      </c>
    </row>
    <row r="38" spans="1:1" x14ac:dyDescent="0.25">
      <c r="A38" s="373" t="s">
        <v>754</v>
      </c>
    </row>
    <row r="39" spans="1:1" x14ac:dyDescent="0.25">
      <c r="A39" s="80" t="s">
        <v>755</v>
      </c>
    </row>
    <row r="41" spans="1:1" x14ac:dyDescent="0.25">
      <c r="A41" s="373" t="s">
        <v>751</v>
      </c>
    </row>
    <row r="42" spans="1:1" x14ac:dyDescent="0.25">
      <c r="A42" s="543" t="s">
        <v>752</v>
      </c>
    </row>
    <row r="44" spans="1:1" x14ac:dyDescent="0.25">
      <c r="A44" s="373" t="s">
        <v>748</v>
      </c>
    </row>
    <row r="45" spans="1:1" x14ac:dyDescent="0.25">
      <c r="A45" s="80" t="s">
        <v>749</v>
      </c>
    </row>
    <row r="46" spans="1:1" x14ac:dyDescent="0.25">
      <c r="A46" s="80" t="s">
        <v>750</v>
      </c>
    </row>
    <row r="48" spans="1:1" x14ac:dyDescent="0.25">
      <c r="A48" s="373" t="s">
        <v>723</v>
      </c>
    </row>
    <row r="49" spans="1:1" x14ac:dyDescent="0.25">
      <c r="A49" s="543" t="s">
        <v>724</v>
      </c>
    </row>
    <row r="50" spans="1:1" x14ac:dyDescent="0.25">
      <c r="A50" s="543" t="s">
        <v>725</v>
      </c>
    </row>
    <row r="51" spans="1:1" ht="31.5" x14ac:dyDescent="0.25">
      <c r="A51" s="542" t="s">
        <v>726</v>
      </c>
    </row>
    <row r="52" spans="1:1" x14ac:dyDescent="0.25">
      <c r="A52" s="543" t="s">
        <v>727</v>
      </c>
    </row>
    <row r="53" spans="1:1" x14ac:dyDescent="0.25">
      <c r="A53" s="543" t="s">
        <v>728</v>
      </c>
    </row>
    <row r="54" spans="1:1" x14ac:dyDescent="0.25">
      <c r="A54" s="543" t="s">
        <v>729</v>
      </c>
    </row>
    <row r="55" spans="1:1" x14ac:dyDescent="0.25">
      <c r="A55" s="543" t="s">
        <v>730</v>
      </c>
    </row>
    <row r="56" spans="1:1" x14ac:dyDescent="0.25">
      <c r="A56" s="543" t="s">
        <v>731</v>
      </c>
    </row>
    <row r="57" spans="1:1" x14ac:dyDescent="0.25">
      <c r="A57" s="543" t="s">
        <v>732</v>
      </c>
    </row>
    <row r="58" spans="1:1" x14ac:dyDescent="0.25">
      <c r="A58" s="543" t="s">
        <v>733</v>
      </c>
    </row>
    <row r="59" spans="1:1" x14ac:dyDescent="0.25">
      <c r="A59" s="543" t="s">
        <v>734</v>
      </c>
    </row>
    <row r="60" spans="1:1" x14ac:dyDescent="0.25">
      <c r="A60" s="543" t="s">
        <v>735</v>
      </c>
    </row>
    <row r="61" spans="1:1" x14ac:dyDescent="0.25">
      <c r="A61" s="543" t="s">
        <v>746</v>
      </c>
    </row>
    <row r="62" spans="1:1" x14ac:dyDescent="0.25">
      <c r="A62" s="543" t="s">
        <v>736</v>
      </c>
    </row>
    <row r="63" spans="1:1" x14ac:dyDescent="0.25">
      <c r="A63" s="543" t="s">
        <v>737</v>
      </c>
    </row>
    <row r="64" spans="1:1" x14ac:dyDescent="0.25">
      <c r="A64" s="543" t="s">
        <v>738</v>
      </c>
    </row>
    <row r="65" spans="1:1" x14ac:dyDescent="0.25">
      <c r="A65" s="543" t="s">
        <v>739</v>
      </c>
    </row>
    <row r="66" spans="1:1" x14ac:dyDescent="0.25">
      <c r="A66" s="543" t="s">
        <v>740</v>
      </c>
    </row>
    <row r="67" spans="1:1" x14ac:dyDescent="0.25">
      <c r="A67" s="543" t="s">
        <v>741</v>
      </c>
    </row>
    <row r="68" spans="1:1" x14ac:dyDescent="0.25">
      <c r="A68" s="543" t="s">
        <v>742</v>
      </c>
    </row>
    <row r="69" spans="1:1" x14ac:dyDescent="0.25">
      <c r="A69" s="543" t="s">
        <v>743</v>
      </c>
    </row>
    <row r="70" spans="1:1" x14ac:dyDescent="0.25">
      <c r="A70" s="543" t="s">
        <v>744</v>
      </c>
    </row>
    <row r="71" spans="1:1" x14ac:dyDescent="0.25">
      <c r="A71" s="543" t="s">
        <v>747</v>
      </c>
    </row>
    <row r="73" spans="1:1" x14ac:dyDescent="0.25">
      <c r="A73" s="373" t="s">
        <v>620</v>
      </c>
    </row>
    <row r="74" spans="1:1" ht="39" customHeight="1" x14ac:dyDescent="0.25">
      <c r="A74" s="334" t="s">
        <v>621</v>
      </c>
    </row>
    <row r="75" spans="1:1" ht="23.25" customHeight="1" x14ac:dyDescent="0.25"/>
    <row r="76" spans="1:1" x14ac:dyDescent="0.25">
      <c r="A76" s="373" t="s">
        <v>616</v>
      </c>
    </row>
    <row r="77" spans="1:1" x14ac:dyDescent="0.25">
      <c r="A77" s="80" t="s">
        <v>617</v>
      </c>
    </row>
    <row r="78" spans="1:1" x14ac:dyDescent="0.25">
      <c r="A78" s="80" t="s">
        <v>618</v>
      </c>
    </row>
    <row r="79" spans="1:1" x14ac:dyDescent="0.25">
      <c r="A79" s="80" t="s">
        <v>619</v>
      </c>
    </row>
    <row r="81" spans="1:1" x14ac:dyDescent="0.25">
      <c r="A81" s="376" t="s">
        <v>605</v>
      </c>
    </row>
    <row r="82" spans="1:1" x14ac:dyDescent="0.25">
      <c r="A82" s="80" t="s">
        <v>615</v>
      </c>
    </row>
    <row r="84" spans="1:1" x14ac:dyDescent="0.25">
      <c r="A84" s="373" t="s">
        <v>589</v>
      </c>
    </row>
    <row r="85" spans="1:1" x14ac:dyDescent="0.25">
      <c r="A85" s="374" t="s">
        <v>590</v>
      </c>
    </row>
    <row r="86" spans="1:1" x14ac:dyDescent="0.25">
      <c r="A86" s="374" t="s">
        <v>591</v>
      </c>
    </row>
    <row r="87" spans="1:1" x14ac:dyDescent="0.25">
      <c r="A87" s="374" t="s">
        <v>592</v>
      </c>
    </row>
    <row r="88" spans="1:1" x14ac:dyDescent="0.25">
      <c r="A88" s="372" t="s">
        <v>593</v>
      </c>
    </row>
    <row r="90" spans="1:1" x14ac:dyDescent="0.25">
      <c r="A90" s="346" t="s">
        <v>317</v>
      </c>
    </row>
    <row r="91" spans="1:1" x14ac:dyDescent="0.25">
      <c r="A91" s="80" t="s">
        <v>319</v>
      </c>
    </row>
    <row r="92" spans="1:1" x14ac:dyDescent="0.25">
      <c r="A92" s="80" t="s">
        <v>320</v>
      </c>
    </row>
    <row r="93" spans="1:1" x14ac:dyDescent="0.25">
      <c r="A93" s="80" t="s">
        <v>321</v>
      </c>
    </row>
    <row r="94" spans="1:1" x14ac:dyDescent="0.25">
      <c r="A94" s="80" t="s">
        <v>322</v>
      </c>
    </row>
    <row r="95" spans="1:1" x14ac:dyDescent="0.25">
      <c r="A95" s="80" t="s">
        <v>323</v>
      </c>
    </row>
    <row r="96" spans="1:1" x14ac:dyDescent="0.25">
      <c r="A96" s="80" t="s">
        <v>324</v>
      </c>
    </row>
    <row r="97" spans="1:1" x14ac:dyDescent="0.25">
      <c r="A97" s="80" t="s">
        <v>339</v>
      </c>
    </row>
    <row r="98" spans="1:1" x14ac:dyDescent="0.25">
      <c r="A98" s="80" t="s">
        <v>340</v>
      </c>
    </row>
    <row r="99" spans="1:1" x14ac:dyDescent="0.25">
      <c r="A99" s="80" t="s">
        <v>341</v>
      </c>
    </row>
    <row r="100" spans="1:1" x14ac:dyDescent="0.25">
      <c r="A100" s="80" t="s">
        <v>342</v>
      </c>
    </row>
    <row r="101" spans="1:1" x14ac:dyDescent="0.25">
      <c r="A101" s="80" t="s">
        <v>357</v>
      </c>
    </row>
    <row r="102" spans="1:1" ht="31.5" x14ac:dyDescent="0.25">
      <c r="A102" s="334" t="s">
        <v>358</v>
      </c>
    </row>
    <row r="103" spans="1:1" x14ac:dyDescent="0.25">
      <c r="A103" s="334" t="s">
        <v>367</v>
      </c>
    </row>
    <row r="104" spans="1:1" x14ac:dyDescent="0.25">
      <c r="A104" s="348" t="s">
        <v>370</v>
      </c>
    </row>
    <row r="105" spans="1:1" x14ac:dyDescent="0.25">
      <c r="A105" s="349" t="s">
        <v>371</v>
      </c>
    </row>
    <row r="107" spans="1:1" x14ac:dyDescent="0.25">
      <c r="A107" s="346" t="s">
        <v>312</v>
      </c>
    </row>
    <row r="108" spans="1:1" x14ac:dyDescent="0.25">
      <c r="A108" s="80" t="s">
        <v>313</v>
      </c>
    </row>
    <row r="109" spans="1:1" x14ac:dyDescent="0.25">
      <c r="A109" s="80" t="s">
        <v>314</v>
      </c>
    </row>
    <row r="111" spans="1:1" x14ac:dyDescent="0.25">
      <c r="A111" s="346" t="s">
        <v>310</v>
      </c>
    </row>
    <row r="112" spans="1:1" x14ac:dyDescent="0.25">
      <c r="A112" s="80" t="s">
        <v>311</v>
      </c>
    </row>
    <row r="114" spans="1:1" x14ac:dyDescent="0.25">
      <c r="A114" s="346" t="s">
        <v>308</v>
      </c>
    </row>
    <row r="115" spans="1:1" x14ac:dyDescent="0.25">
      <c r="A115" s="80" t="s">
        <v>309</v>
      </c>
    </row>
    <row r="117" spans="1:1" x14ac:dyDescent="0.25">
      <c r="A117" s="346" t="s">
        <v>305</v>
      </c>
    </row>
    <row r="118" spans="1:1" x14ac:dyDescent="0.25">
      <c r="A118" s="80" t="s">
        <v>306</v>
      </c>
    </row>
    <row r="119" spans="1:1" x14ac:dyDescent="0.25">
      <c r="A119" s="80" t="s">
        <v>307</v>
      </c>
    </row>
    <row r="121" spans="1:1" x14ac:dyDescent="0.25">
      <c r="A121" s="80" t="s">
        <v>301</v>
      </c>
    </row>
    <row r="122" spans="1:1" x14ac:dyDescent="0.25">
      <c r="A122" s="80" t="s">
        <v>302</v>
      </c>
    </row>
    <row r="123" spans="1:1" x14ac:dyDescent="0.25">
      <c r="A123" s="80" t="s">
        <v>303</v>
      </c>
    </row>
    <row r="124" spans="1:1" x14ac:dyDescent="0.25">
      <c r="A124" s="80" t="s">
        <v>304</v>
      </c>
    </row>
    <row r="126" spans="1:1" x14ac:dyDescent="0.25">
      <c r="A126" s="80" t="s">
        <v>297</v>
      </c>
    </row>
    <row r="127" spans="1:1" x14ac:dyDescent="0.25">
      <c r="A127" s="80" t="s">
        <v>298</v>
      </c>
    </row>
    <row r="128" spans="1:1" x14ac:dyDescent="0.25">
      <c r="A128" s="80" t="s">
        <v>299</v>
      </c>
    </row>
    <row r="130" spans="1:1" x14ac:dyDescent="0.25">
      <c r="A130" s="80" t="s">
        <v>295</v>
      </c>
    </row>
    <row r="131" spans="1:1" ht="34.5" customHeight="1" x14ac:dyDescent="0.25">
      <c r="A131" s="80" t="s">
        <v>296</v>
      </c>
    </row>
    <row r="133" spans="1:1" x14ac:dyDescent="0.25">
      <c r="A133" s="80" t="s">
        <v>250</v>
      </c>
    </row>
    <row r="134" spans="1:1" x14ac:dyDescent="0.25">
      <c r="A134" s="80" t="s">
        <v>251</v>
      </c>
    </row>
    <row r="135" spans="1:1" ht="31.5" x14ac:dyDescent="0.25">
      <c r="A135" s="334" t="s">
        <v>267</v>
      </c>
    </row>
    <row r="136" spans="1:1" x14ac:dyDescent="0.25">
      <c r="A136" s="80" t="s">
        <v>252</v>
      </c>
    </row>
    <row r="137" spans="1:1" x14ac:dyDescent="0.25">
      <c r="A137" s="80" t="s">
        <v>253</v>
      </c>
    </row>
    <row r="138" spans="1:1" x14ac:dyDescent="0.25">
      <c r="A138" s="80" t="s">
        <v>254</v>
      </c>
    </row>
    <row r="139" spans="1:1" x14ac:dyDescent="0.25">
      <c r="A139" s="80" t="s">
        <v>255</v>
      </c>
    </row>
    <row r="140" spans="1:1" ht="31.5" x14ac:dyDescent="0.25">
      <c r="A140" s="334" t="s">
        <v>235</v>
      </c>
    </row>
    <row r="141" spans="1:1" ht="31.5" x14ac:dyDescent="0.25">
      <c r="A141" s="334" t="s">
        <v>263</v>
      </c>
    </row>
    <row r="142" spans="1:1" ht="31.5" x14ac:dyDescent="0.25">
      <c r="A142" s="334" t="s">
        <v>256</v>
      </c>
    </row>
    <row r="143" spans="1:1" x14ac:dyDescent="0.25">
      <c r="A143" s="334" t="s">
        <v>257</v>
      </c>
    </row>
    <row r="144" spans="1:1" ht="31.5" x14ac:dyDescent="0.25">
      <c r="A144" s="334" t="s">
        <v>258</v>
      </c>
    </row>
    <row r="145" spans="1:1" ht="33.75" customHeight="1" x14ac:dyDescent="0.25">
      <c r="A145" s="80" t="s">
        <v>259</v>
      </c>
    </row>
    <row r="146" spans="1:1" ht="26.25" customHeight="1" x14ac:dyDescent="0.25">
      <c r="A146" s="80" t="s">
        <v>260</v>
      </c>
    </row>
    <row r="147" spans="1:1" ht="33.75" customHeight="1" x14ac:dyDescent="0.25">
      <c r="A147" s="80" t="s">
        <v>261</v>
      </c>
    </row>
    <row r="148" spans="1:1" ht="30.75" customHeight="1" x14ac:dyDescent="0.25">
      <c r="A148" s="80" t="s">
        <v>266</v>
      </c>
    </row>
    <row r="149" spans="1:1" ht="21" customHeight="1" x14ac:dyDescent="0.25">
      <c r="A149" s="334" t="s">
        <v>264</v>
      </c>
    </row>
    <row r="150" spans="1:1" ht="38.25" customHeight="1" x14ac:dyDescent="0.25">
      <c r="A150" s="334" t="s">
        <v>229</v>
      </c>
    </row>
    <row r="151" spans="1:1" ht="33.75" customHeight="1" x14ac:dyDescent="0.25">
      <c r="A151" s="334" t="s">
        <v>236</v>
      </c>
    </row>
    <row r="152" spans="1:1" ht="33.75" customHeight="1" x14ac:dyDescent="0.25">
      <c r="A152" s="334" t="s">
        <v>230</v>
      </c>
    </row>
    <row r="153" spans="1:1" ht="33.75" customHeight="1" x14ac:dyDescent="0.25">
      <c r="A153" s="334" t="s">
        <v>231</v>
      </c>
    </row>
    <row r="154" spans="1:1" ht="33.75" customHeight="1" x14ac:dyDescent="0.25">
      <c r="A154" s="334" t="s">
        <v>232</v>
      </c>
    </row>
    <row r="155" spans="1:1" ht="31.5" x14ac:dyDescent="0.25">
      <c r="A155" s="334" t="s">
        <v>233</v>
      </c>
    </row>
    <row r="156" spans="1:1" ht="31.5" x14ac:dyDescent="0.25">
      <c r="A156" s="334" t="s">
        <v>237</v>
      </c>
    </row>
    <row r="157" spans="1:1" ht="31.5" x14ac:dyDescent="0.25">
      <c r="A157" s="334" t="s">
        <v>234</v>
      </c>
    </row>
    <row r="158" spans="1:1" ht="31.5" x14ac:dyDescent="0.25">
      <c r="A158" s="334" t="s">
        <v>238</v>
      </c>
    </row>
    <row r="159" spans="1:1" x14ac:dyDescent="0.25">
      <c r="A159" s="334" t="s">
        <v>244</v>
      </c>
    </row>
    <row r="161" spans="1:1" x14ac:dyDescent="0.25">
      <c r="A161" s="80" t="s">
        <v>188</v>
      </c>
    </row>
    <row r="162" spans="1:1" ht="47.25" x14ac:dyDescent="0.25">
      <c r="A162" s="334" t="s">
        <v>239</v>
      </c>
    </row>
    <row r="163" spans="1:1" x14ac:dyDescent="0.25">
      <c r="A163" s="80" t="s">
        <v>189</v>
      </c>
    </row>
    <row r="164" spans="1:1" x14ac:dyDescent="0.25">
      <c r="A164" s="80" t="s">
        <v>193</v>
      </c>
    </row>
    <row r="165" spans="1:1" x14ac:dyDescent="0.25">
      <c r="A165" s="80" t="s">
        <v>194</v>
      </c>
    </row>
    <row r="166" spans="1:1" x14ac:dyDescent="0.25">
      <c r="A166" s="80" t="s">
        <v>190</v>
      </c>
    </row>
    <row r="167" spans="1:1" x14ac:dyDescent="0.25">
      <c r="A167" s="80" t="s">
        <v>191</v>
      </c>
    </row>
    <row r="168" spans="1:1" x14ac:dyDescent="0.25">
      <c r="A168" s="80" t="s">
        <v>192</v>
      </c>
    </row>
    <row r="169" spans="1:1" x14ac:dyDescent="0.25">
      <c r="A169" s="334" t="s">
        <v>195</v>
      </c>
    </row>
    <row r="170" spans="1:1" x14ac:dyDescent="0.25">
      <c r="A170" s="80" t="s">
        <v>196</v>
      </c>
    </row>
    <row r="171" spans="1:1" x14ac:dyDescent="0.25">
      <c r="A171" s="80" t="s">
        <v>197</v>
      </c>
    </row>
    <row r="172" spans="1:1" x14ac:dyDescent="0.25">
      <c r="A172" s="80" t="s">
        <v>240</v>
      </c>
    </row>
    <row r="173" spans="1:1" x14ac:dyDescent="0.25">
      <c r="A173" s="80" t="s">
        <v>198</v>
      </c>
    </row>
    <row r="174" spans="1:1" x14ac:dyDescent="0.25">
      <c r="A174" s="80" t="s">
        <v>241</v>
      </c>
    </row>
    <row r="175" spans="1:1" x14ac:dyDescent="0.25">
      <c r="A175" s="80" t="s">
        <v>199</v>
      </c>
    </row>
    <row r="176" spans="1:1" x14ac:dyDescent="0.25">
      <c r="A176" s="80" t="s">
        <v>242</v>
      </c>
    </row>
    <row r="177" spans="1:1" x14ac:dyDescent="0.25">
      <c r="A177" s="80" t="s">
        <v>200</v>
      </c>
    </row>
    <row r="178" spans="1:1" x14ac:dyDescent="0.25">
      <c r="A178" s="80" t="s">
        <v>204</v>
      </c>
    </row>
    <row r="179" spans="1:1" x14ac:dyDescent="0.25">
      <c r="A179" s="80" t="s">
        <v>243</v>
      </c>
    </row>
    <row r="180" spans="1:1" x14ac:dyDescent="0.25">
      <c r="A180" s="80" t="s">
        <v>219</v>
      </c>
    </row>
    <row r="181" spans="1:1" x14ac:dyDescent="0.25">
      <c r="A181" s="80" t="s">
        <v>220</v>
      </c>
    </row>
    <row r="182" spans="1:1" x14ac:dyDescent="0.25">
      <c r="A182" s="80" t="s">
        <v>221</v>
      </c>
    </row>
    <row r="183" spans="1:1" x14ac:dyDescent="0.25">
      <c r="A183" s="80" t="s">
        <v>205</v>
      </c>
    </row>
    <row r="184" spans="1:1" x14ac:dyDescent="0.25">
      <c r="A184" s="80" t="s">
        <v>206</v>
      </c>
    </row>
    <row r="185" spans="1:1" x14ac:dyDescent="0.25">
      <c r="A185" s="80" t="s">
        <v>207</v>
      </c>
    </row>
    <row r="186" spans="1:1" x14ac:dyDescent="0.25">
      <c r="A186" s="80" t="s">
        <v>216</v>
      </c>
    </row>
    <row r="187" spans="1:1" x14ac:dyDescent="0.25">
      <c r="A187" s="80" t="s">
        <v>217</v>
      </c>
    </row>
    <row r="188" spans="1:1" x14ac:dyDescent="0.25">
      <c r="A188" s="80" t="s">
        <v>218</v>
      </c>
    </row>
    <row r="189" spans="1:1" x14ac:dyDescent="0.25">
      <c r="A189" s="80" t="s">
        <v>228</v>
      </c>
    </row>
    <row r="190" spans="1:1" x14ac:dyDescent="0.25">
      <c r="A190" s="80" t="s">
        <v>245</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B15" sqref="B15"/>
    </sheetView>
  </sheetViews>
  <sheetFormatPr defaultRowHeight="15.75" x14ac:dyDescent="0.25"/>
  <cols>
    <col min="1" max="1" width="13.69921875" customWidth="1"/>
    <col min="2" max="2" width="16" customWidth="1"/>
  </cols>
  <sheetData>
    <row r="1" spans="1:10" x14ac:dyDescent="0.25">
      <c r="J1" s="721" t="s">
        <v>841</v>
      </c>
    </row>
    <row r="2" spans="1:10" ht="54" customHeight="1" x14ac:dyDescent="0.25">
      <c r="A2" s="765" t="s">
        <v>372</v>
      </c>
      <c r="B2" s="766"/>
      <c r="C2" s="766"/>
      <c r="D2" s="766"/>
      <c r="E2" s="766"/>
      <c r="F2" s="766"/>
      <c r="J2" s="721" t="s">
        <v>842</v>
      </c>
    </row>
    <row r="3" spans="1:10" x14ac:dyDescent="0.25">
      <c r="J3" s="721" t="s">
        <v>843</v>
      </c>
    </row>
    <row r="4" spans="1:10" x14ac:dyDescent="0.25">
      <c r="A4" s="478" t="s">
        <v>839</v>
      </c>
      <c r="B4" s="359" t="s">
        <v>932</v>
      </c>
      <c r="C4" s="720"/>
      <c r="J4" s="721" t="s">
        <v>844</v>
      </c>
    </row>
    <row r="5" spans="1:10" x14ac:dyDescent="0.25">
      <c r="A5" s="478"/>
      <c r="B5" s="720"/>
      <c r="J5" s="721" t="s">
        <v>845</v>
      </c>
    </row>
    <row r="6" spans="1:10" x14ac:dyDescent="0.25">
      <c r="A6" s="478" t="s">
        <v>840</v>
      </c>
      <c r="B6" s="359"/>
      <c r="J6" s="721" t="s">
        <v>846</v>
      </c>
    </row>
    <row r="7" spans="1:10" x14ac:dyDescent="0.25">
      <c r="A7" s="356"/>
      <c r="B7" s="356"/>
      <c r="C7" s="356"/>
      <c r="D7" s="358"/>
      <c r="E7" s="356"/>
      <c r="F7" s="356"/>
      <c r="J7" s="721" t="s">
        <v>847</v>
      </c>
    </row>
    <row r="8" spans="1:10" x14ac:dyDescent="0.25">
      <c r="A8" s="357" t="s">
        <v>373</v>
      </c>
      <c r="B8" s="359" t="s">
        <v>937</v>
      </c>
      <c r="C8" s="360"/>
      <c r="D8" s="357" t="s">
        <v>838</v>
      </c>
      <c r="E8" s="356"/>
      <c r="F8" s="356"/>
      <c r="J8" s="721" t="s">
        <v>848</v>
      </c>
    </row>
    <row r="9" spans="1:10" x14ac:dyDescent="0.25">
      <c r="A9" s="357"/>
      <c r="B9" s="361"/>
      <c r="C9" s="362"/>
      <c r="D9" s="357" t="str">
        <f ca="1">IF(B8="","",CONCATENATE("Latest date for notice to be published in your newspaper: ",G19," ",G23,", ",G24))</f>
        <v>Latest date for notice to be published in your newspaper: July 27, 2012</v>
      </c>
      <c r="E9" s="356"/>
      <c r="F9" s="356"/>
      <c r="J9" s="721" t="s">
        <v>849</v>
      </c>
    </row>
    <row r="10" spans="1:10" x14ac:dyDescent="0.25">
      <c r="A10" s="357" t="s">
        <v>374</v>
      </c>
      <c r="B10" s="359" t="s">
        <v>938</v>
      </c>
      <c r="C10" s="363"/>
      <c r="D10" s="357"/>
      <c r="E10" s="356"/>
      <c r="F10" s="356"/>
      <c r="J10" s="721" t="s">
        <v>850</v>
      </c>
    </row>
    <row r="11" spans="1:10" x14ac:dyDescent="0.25">
      <c r="A11" s="357"/>
      <c r="B11" s="357"/>
      <c r="C11" s="357"/>
      <c r="D11" s="357"/>
      <c r="E11" s="356"/>
      <c r="F11" s="356"/>
      <c r="J11" s="721" t="s">
        <v>851</v>
      </c>
    </row>
    <row r="12" spans="1:10" x14ac:dyDescent="0.25">
      <c r="A12" s="357" t="s">
        <v>375</v>
      </c>
      <c r="B12" s="364" t="s">
        <v>939</v>
      </c>
      <c r="C12" s="364"/>
      <c r="D12" s="364"/>
      <c r="E12" s="365"/>
      <c r="F12" s="356"/>
      <c r="J12" s="721" t="s">
        <v>852</v>
      </c>
    </row>
    <row r="13" spans="1:10" x14ac:dyDescent="0.25">
      <c r="A13" s="357"/>
      <c r="B13" s="357"/>
      <c r="C13" s="357"/>
      <c r="D13" s="357"/>
      <c r="E13" s="356"/>
      <c r="F13" s="356"/>
    </row>
    <row r="14" spans="1:10" x14ac:dyDescent="0.25">
      <c r="A14" s="357"/>
      <c r="B14" s="357"/>
      <c r="C14" s="357"/>
      <c r="D14" s="357"/>
      <c r="E14" s="356"/>
      <c r="F14" s="356"/>
    </row>
    <row r="15" spans="1:10" x14ac:dyDescent="0.25">
      <c r="A15" s="357" t="s">
        <v>376</v>
      </c>
      <c r="B15" s="364" t="s">
        <v>940</v>
      </c>
      <c r="C15" s="364"/>
      <c r="D15" s="364"/>
      <c r="E15" s="365"/>
      <c r="F15" s="356"/>
    </row>
    <row r="18" spans="1:7" x14ac:dyDescent="0.25">
      <c r="A18" s="767" t="s">
        <v>377</v>
      </c>
      <c r="B18" s="767"/>
      <c r="C18" s="357"/>
      <c r="D18" s="357"/>
      <c r="E18" s="357"/>
      <c r="F18" s="356"/>
    </row>
    <row r="19" spans="1:7" x14ac:dyDescent="0.25">
      <c r="A19" s="357"/>
      <c r="B19" s="357"/>
      <c r="C19" s="357"/>
      <c r="D19" s="357"/>
      <c r="E19" s="357"/>
      <c r="F19" s="356"/>
      <c r="G19" s="721" t="str">
        <f ca="1">IF(B8="","",INDIRECT(G20))</f>
        <v>July</v>
      </c>
    </row>
    <row r="20" spans="1:7" x14ac:dyDescent="0.25">
      <c r="A20" s="357" t="s">
        <v>373</v>
      </c>
      <c r="B20" s="361" t="s">
        <v>378</v>
      </c>
      <c r="C20" s="357"/>
      <c r="D20" s="357"/>
      <c r="E20" s="357"/>
      <c r="G20" s="722" t="str">
        <f>IF(B8="","",CONCATENATE("J",G22))</f>
        <v>J7</v>
      </c>
    </row>
    <row r="21" spans="1:7" x14ac:dyDescent="0.25">
      <c r="A21" s="357"/>
      <c r="B21" s="357"/>
      <c r="C21" s="357"/>
      <c r="D21" s="357"/>
      <c r="E21" s="357"/>
      <c r="G21" s="723">
        <f>B8-10</f>
        <v>41117</v>
      </c>
    </row>
    <row r="22" spans="1:7" x14ac:dyDescent="0.25">
      <c r="A22" s="357" t="s">
        <v>374</v>
      </c>
      <c r="B22" s="357" t="s">
        <v>379</v>
      </c>
      <c r="C22" s="357"/>
      <c r="D22" s="357"/>
      <c r="E22" s="357"/>
      <c r="G22" s="724">
        <f>IF(B8="","",MONTH(G21))</f>
        <v>7</v>
      </c>
    </row>
    <row r="23" spans="1:7" x14ac:dyDescent="0.25">
      <c r="A23" s="357"/>
      <c r="B23" s="357"/>
      <c r="C23" s="357"/>
      <c r="D23" s="357"/>
      <c r="E23" s="357"/>
      <c r="G23" s="725">
        <f>IF(B8="","",DAY(G21))</f>
        <v>27</v>
      </c>
    </row>
    <row r="24" spans="1:7" x14ac:dyDescent="0.25">
      <c r="A24" s="357" t="s">
        <v>375</v>
      </c>
      <c r="B24" s="357" t="s">
        <v>381</v>
      </c>
      <c r="C24" s="357"/>
      <c r="D24" s="357"/>
      <c r="E24" s="357"/>
      <c r="G24" s="726">
        <f>IF(B8="","",YEAR(G21))</f>
        <v>2012</v>
      </c>
    </row>
    <row r="25" spans="1:7" x14ac:dyDescent="0.25">
      <c r="A25" s="357"/>
      <c r="B25" s="357"/>
      <c r="C25" s="357"/>
      <c r="D25" s="357"/>
      <c r="E25" s="357"/>
    </row>
    <row r="26" spans="1:7" x14ac:dyDescent="0.25">
      <c r="A26" s="357" t="s">
        <v>376</v>
      </c>
      <c r="B26" s="357" t="s">
        <v>380</v>
      </c>
      <c r="C26" s="357"/>
      <c r="D26" s="357"/>
      <c r="E26" s="357"/>
    </row>
  </sheetData>
  <sheetProtection sheet="1"/>
  <mergeCells count="2">
    <mergeCell ref="A2:F2"/>
    <mergeCell ref="A18:B18"/>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4"/>
  <sheetViews>
    <sheetView tabSelected="1" topLeftCell="B19" zoomScaleNormal="100" workbookViewId="0">
      <selection activeCell="E40" sqref="E40"/>
    </sheetView>
  </sheetViews>
  <sheetFormatPr defaultRowHeight="15.75" x14ac:dyDescent="0.25"/>
  <cols>
    <col min="1" max="1" width="8.796875" style="80"/>
    <col min="2" max="2" width="20.69921875" style="80" customWidth="1"/>
    <col min="3" max="3" width="9.69921875" style="80" customWidth="1"/>
    <col min="4" max="4" width="5.69921875" style="80" customWidth="1"/>
    <col min="5" max="5" width="15.69921875" style="80" customWidth="1"/>
    <col min="6" max="6" width="12.69921875" style="80" customWidth="1"/>
    <col min="7" max="7" width="10.69921875" style="80" customWidth="1"/>
    <col min="8" max="16384" width="8.796875" style="80"/>
  </cols>
  <sheetData>
    <row r="1" spans="2:8" s="14" customFormat="1" x14ac:dyDescent="0.25">
      <c r="B1" s="770" t="s">
        <v>70</v>
      </c>
      <c r="C1" s="770"/>
      <c r="D1" s="770"/>
      <c r="E1" s="770"/>
      <c r="F1" s="770"/>
      <c r="G1" s="770"/>
      <c r="H1" s="14">
        <f>inputPrYr!D5</f>
        <v>2013</v>
      </c>
    </row>
    <row r="2" spans="2:8" s="14" customFormat="1" x14ac:dyDescent="0.25">
      <c r="C2" s="145"/>
      <c r="D2" s="145"/>
      <c r="E2" s="145"/>
      <c r="F2" s="145"/>
      <c r="G2" s="62"/>
    </row>
    <row r="3" spans="2:8" s="14" customFormat="1" x14ac:dyDescent="0.25">
      <c r="B3" s="779" t="str">
        <f>CONCATENATE("To the Clerk of ",inputPrYr!D3,", State of Kansas")</f>
        <v>To the Clerk of Osborne County, State of Kansas</v>
      </c>
      <c r="C3" s="778"/>
      <c r="D3" s="778"/>
      <c r="E3" s="778"/>
      <c r="F3" s="778"/>
      <c r="G3" s="778"/>
      <c r="H3" s="778"/>
    </row>
    <row r="4" spans="2:8" s="14" customFormat="1" x14ac:dyDescent="0.25">
      <c r="B4" s="779" t="s">
        <v>152</v>
      </c>
      <c r="C4" s="787"/>
      <c r="D4" s="787"/>
      <c r="E4" s="787"/>
      <c r="F4" s="787"/>
      <c r="G4" s="787"/>
    </row>
    <row r="5" spans="2:8" s="14" customFormat="1" x14ac:dyDescent="0.25">
      <c r="B5" s="788" t="str">
        <f>inputPrYr!D2</f>
        <v>Delhi Township</v>
      </c>
      <c r="C5" s="787"/>
      <c r="D5" s="787"/>
      <c r="E5" s="787"/>
      <c r="F5" s="787"/>
      <c r="G5" s="787"/>
    </row>
    <row r="6" spans="2:8" s="14" customFormat="1" x14ac:dyDescent="0.25">
      <c r="B6" s="777" t="s">
        <v>150</v>
      </c>
      <c r="C6" s="778"/>
      <c r="D6" s="778"/>
      <c r="E6" s="778"/>
      <c r="F6" s="778"/>
      <c r="G6" s="778"/>
    </row>
    <row r="7" spans="2:8" s="14" customFormat="1" ht="15.75" customHeight="1" x14ac:dyDescent="0.25">
      <c r="B7" s="779" t="s">
        <v>151</v>
      </c>
      <c r="C7" s="780"/>
      <c r="D7" s="780"/>
      <c r="E7" s="780"/>
      <c r="F7" s="780"/>
      <c r="G7" s="780"/>
    </row>
    <row r="8" spans="2:8" s="14" customFormat="1" ht="15.75" customHeight="1" x14ac:dyDescent="0.25">
      <c r="B8" s="779" t="str">
        <f>CONCATENATE("maximum expenditures for the various funds for the year ",H1,"; and (3) the")</f>
        <v>maximum expenditures for the various funds for the year 2013; and (3) the</v>
      </c>
      <c r="C8" s="787"/>
      <c r="D8" s="787"/>
      <c r="E8" s="787"/>
      <c r="F8" s="787"/>
      <c r="G8" s="787"/>
    </row>
    <row r="9" spans="2:8" s="14" customFormat="1" ht="15.75" customHeight="1" x14ac:dyDescent="0.25">
      <c r="B9" s="779" t="str">
        <f>CONCATENATE("Amount(s) of ",H1-1," Ad Valorem Tax are within statutory limitations for the ",H1," Budget.")</f>
        <v>Amount(s) of 2012 Ad Valorem Tax are within statutory limitations for the 2013 Budget.</v>
      </c>
      <c r="C9" s="787"/>
      <c r="D9" s="787"/>
      <c r="E9" s="787"/>
      <c r="F9" s="787"/>
      <c r="G9" s="787"/>
    </row>
    <row r="10" spans="2:8" s="14" customFormat="1" ht="15.75" customHeight="1" x14ac:dyDescent="0.25">
      <c r="E10" s="66"/>
      <c r="F10" s="66"/>
      <c r="G10" s="66"/>
    </row>
    <row r="11" spans="2:8" s="14" customFormat="1" x14ac:dyDescent="0.25">
      <c r="D11" s="19"/>
      <c r="E11" s="774" t="str">
        <f>CONCATENATE("",H1," Adopted Budget")</f>
        <v>2013 Adopted Budget</v>
      </c>
      <c r="F11" s="775"/>
      <c r="G11" s="776"/>
    </row>
    <row r="12" spans="2:8" s="14" customFormat="1" x14ac:dyDescent="0.25">
      <c r="B12" s="22"/>
      <c r="D12" s="66"/>
      <c r="E12" s="255" t="s">
        <v>278</v>
      </c>
      <c r="F12" s="771" t="str">
        <f>CONCATENATE("Amount of ",H1-1," Ad Valorem Tax")</f>
        <v>Amount of 2012 Ad Valorem Tax</v>
      </c>
      <c r="G12" s="23" t="s">
        <v>279</v>
      </c>
    </row>
    <row r="13" spans="2:8" s="14" customFormat="1" x14ac:dyDescent="0.25">
      <c r="D13" s="23" t="s">
        <v>280</v>
      </c>
      <c r="E13" s="528" t="s">
        <v>209</v>
      </c>
      <c r="F13" s="772"/>
      <c r="G13" s="156" t="s">
        <v>281</v>
      </c>
    </row>
    <row r="14" spans="2:8" s="14" customFormat="1" x14ac:dyDescent="0.25">
      <c r="B14" s="71" t="s">
        <v>282</v>
      </c>
      <c r="C14" s="20"/>
      <c r="D14" s="26" t="s">
        <v>283</v>
      </c>
      <c r="E14" s="529" t="s">
        <v>720</v>
      </c>
      <c r="F14" s="773"/>
      <c r="G14" s="26" t="s">
        <v>285</v>
      </c>
    </row>
    <row r="15" spans="2:8" s="14" customFormat="1" x14ac:dyDescent="0.25">
      <c r="B15" s="27" t="str">
        <f>CONCATENATE("Computation to Determine Limit for ",H1,"")</f>
        <v>Computation to Determine Limit for 2013</v>
      </c>
      <c r="C15" s="28"/>
      <c r="D15" s="23">
        <v>2</v>
      </c>
      <c r="E15" s="19"/>
      <c r="F15" s="19"/>
      <c r="G15" s="256"/>
    </row>
    <row r="16" spans="2:8" s="14" customFormat="1" x14ac:dyDescent="0.25">
      <c r="B16" s="27" t="s">
        <v>836</v>
      </c>
      <c r="C16" s="28"/>
      <c r="D16" s="161">
        <v>3</v>
      </c>
      <c r="E16" s="19"/>
      <c r="F16" s="19"/>
      <c r="G16" s="257"/>
    </row>
    <row r="17" spans="2:7" s="14" customFormat="1" x14ac:dyDescent="0.25">
      <c r="B17" s="64" t="s">
        <v>169</v>
      </c>
      <c r="C17" s="28"/>
      <c r="D17" s="161">
        <v>4</v>
      </c>
      <c r="E17" s="19"/>
      <c r="F17" s="19"/>
      <c r="G17" s="257"/>
    </row>
    <row r="18" spans="2:7" s="14" customFormat="1" x14ac:dyDescent="0.25">
      <c r="B18" s="64" t="s">
        <v>141</v>
      </c>
      <c r="C18" s="28"/>
      <c r="D18" s="161">
        <v>5</v>
      </c>
      <c r="E18" s="19"/>
      <c r="F18" s="19"/>
      <c r="G18" s="257"/>
    </row>
    <row r="19" spans="2:7" s="14" customFormat="1" x14ac:dyDescent="0.25">
      <c r="B19" s="64" t="str">
        <f>IF(inputPrYr!E18="","","Computation to Determine State Library Grant")</f>
        <v/>
      </c>
      <c r="C19" s="28"/>
      <c r="D19" s="161" t="str">
        <f>IF(inputPrYr!D18="","",'Library Grant'!F40)</f>
        <v/>
      </c>
      <c r="E19" s="19"/>
      <c r="F19" s="19"/>
      <c r="G19" s="257"/>
    </row>
    <row r="20" spans="2:7" s="14" customFormat="1" x14ac:dyDescent="0.25">
      <c r="B20" s="258" t="s">
        <v>286</v>
      </c>
      <c r="C20" s="146" t="s">
        <v>287</v>
      </c>
      <c r="D20" s="179"/>
      <c r="G20" s="259"/>
    </row>
    <row r="21" spans="2:7" s="14" customFormat="1" x14ac:dyDescent="0.25">
      <c r="B21" s="85" t="str">
        <f>inputPrYr!B16</f>
        <v>General</v>
      </c>
      <c r="C21" s="260" t="str">
        <f>inputPrYr!C16</f>
        <v>79-1962</v>
      </c>
      <c r="D21" s="261">
        <f>IF(gen!C61&gt;0,gen!C61,"  ")</f>
        <v>6</v>
      </c>
      <c r="E21" s="732">
        <f>IF(gen!$E$50&lt;&gt;0,gen!$E$50,"  ")</f>
        <v>1000</v>
      </c>
      <c r="F21" s="732">
        <f>IF(gen!$E$57&lt;&gt;0,gen!$E$57,0)</f>
        <v>578</v>
      </c>
      <c r="G21" s="733">
        <f>IF(AND(gen!E57=0,$C$40&gt;=0)," ",IF(AND(F21&gt;0,$C$40=0)," ",IF(AND(F21&gt;0,$C$40&gt;0),ROUND(F21/$C$40*1000,3))))</f>
        <v>0.57099999999999995</v>
      </c>
    </row>
    <row r="22" spans="2:7" s="14" customFormat="1" x14ac:dyDescent="0.25">
      <c r="B22" s="85" t="s">
        <v>300</v>
      </c>
      <c r="C22" s="260" t="str">
        <f>inputPrYr!C17</f>
        <v>10-113</v>
      </c>
      <c r="D22" s="261" t="str">
        <f>IF('DebtSvs-Library'!C83&gt;0,'DebtSvs-Library'!C83,"  ")</f>
        <v xml:space="preserve">  </v>
      </c>
      <c r="E22" s="732" t="str">
        <f>IF('DebtSvs-Library'!E33&lt;&gt;0,'DebtSvs-Library'!E33,"  ")</f>
        <v xml:space="preserve">  </v>
      </c>
      <c r="F22" s="732" t="str">
        <f>IF('DebtSvs-Library'!E40&lt;&gt;0,'DebtSvs-Library'!E40,"  ")</f>
        <v xml:space="preserve">  </v>
      </c>
      <c r="G22" s="733" t="str">
        <f>IF(AND('DebtSvs-Library'!E40=0,$C$40&gt;=0)," ",IF(AND(F22&gt;0,$C$40=0)," ",IF(AND(F22&gt;0,$C$40&gt;0),ROUND(F22/$C$40*1000,3))))</f>
        <v xml:space="preserve"> </v>
      </c>
    </row>
    <row r="23" spans="2:7" s="14" customFormat="1" x14ac:dyDescent="0.25">
      <c r="B23" s="85" t="str">
        <f>inputPrYr!B18</f>
        <v>Library</v>
      </c>
      <c r="C23" s="260" t="str">
        <f>inputPrYr!C18</f>
        <v>12-1220</v>
      </c>
      <c r="D23" s="261" t="str">
        <f>IF('DebtSvs-Library'!C83&gt;0,'DebtSvs-Library'!C83,"  ")</f>
        <v xml:space="preserve">  </v>
      </c>
      <c r="E23" s="732" t="str">
        <f>IF('DebtSvs-Library'!E73&lt;&gt;0,'DebtSvs-Library'!E73,"  ")</f>
        <v xml:space="preserve">  </v>
      </c>
      <c r="F23" s="732" t="str">
        <f>IF('DebtSvs-Library'!E80&lt;&gt;0,'DebtSvs-Library'!E80,"  ")</f>
        <v xml:space="preserve">  </v>
      </c>
      <c r="G23" s="733" t="str">
        <f>IF(AND('DebtSvs-Library'!E80=0,$C$40&gt;=0)," ",IF(AND(F23&gt;0,$C$40=0)," ",IF(AND(F23&gt;0,$C$40&gt;0),ROUND(F23/$C$40*1000,3))))</f>
        <v xml:space="preserve"> </v>
      </c>
    </row>
    <row r="24" spans="2:7" s="14" customFormat="1" x14ac:dyDescent="0.25">
      <c r="B24" s="85" t="str">
        <f>IF(inputPrYr!$B19&gt;"  ",inputPrYr!$B19,"  ")</f>
        <v>Road</v>
      </c>
      <c r="C24" s="260" t="str">
        <f>IF(inputPrYr!C19&gt;0,inputPrYr!C19,"  ")</f>
        <v>68-518c</v>
      </c>
      <c r="D24" s="261" t="str">
        <f>IF(road!C67&gt;0,road!C67,"  ")</f>
        <v xml:space="preserve">  </v>
      </c>
      <c r="E24" s="732">
        <f>IF(road!$E$43&lt;&gt;0,road!$E$43,"  ")</f>
        <v>15330</v>
      </c>
      <c r="F24" s="732">
        <f>IF(road!$E$50&lt;&gt;0,road!$E$50,"  ")</f>
        <v>13406</v>
      </c>
      <c r="G24" s="733">
        <f>IF(AND(road!E50=0,$C$40&gt;=0)," ",IF(AND(F24&gt;0,$C$40=0)," ",IF(AND(F24&gt;0,$C$40&gt;0),ROUND(F24/$C$40*1000,3))))</f>
        <v>13.244</v>
      </c>
    </row>
    <row r="25" spans="2:7" s="14" customFormat="1" x14ac:dyDescent="0.25">
      <c r="B25" s="85" t="str">
        <f>IF(inputPrYr!$B20&gt;"  ",inputPrYr!$B20,"  ")</f>
        <v>Cemetery</v>
      </c>
      <c r="C25" s="260" t="str">
        <f>IF(inputPrYr!C20&gt;0,inputPrYr!C20,"  ")</f>
        <v xml:space="preserve">  </v>
      </c>
      <c r="D25" s="261" t="str">
        <f>IF(levypage9!C81&gt;0,levypage9!C81,"  ")</f>
        <v xml:space="preserve">  </v>
      </c>
      <c r="E25" s="732">
        <f>IF(levypage9!$E$33&lt;&gt;0,levypage9!$E$33,"  ")</f>
        <v>1200</v>
      </c>
      <c r="F25" s="732">
        <f>IF(levypage9!$E$40&lt;&gt;0,levypage9!$E$40,"  ")</f>
        <v>1160</v>
      </c>
      <c r="G25" s="733">
        <f>IF(AND(levypage9!E40=0,$C$40&gt;=0)," ",IF(AND(F25&gt;0,$C$40=0)," ",IF(AND(F25&gt;0,$C$40&gt;0),ROUND(F25/$C$40*1000,3))))</f>
        <v>1.1459999999999999</v>
      </c>
    </row>
    <row r="26" spans="2:7" s="14" customFormat="1" x14ac:dyDescent="0.25">
      <c r="B26" s="85" t="str">
        <f>IF(inputPrYr!$B21&gt;"  ",inputPrYr!$B21,"  ")</f>
        <v xml:space="preserve">  </v>
      </c>
      <c r="C26" s="260" t="str">
        <f>IF(inputPrYr!C21&gt;0,inputPrYr!C21,"  ")</f>
        <v xml:space="preserve">  </v>
      </c>
      <c r="D26" s="261" t="str">
        <f>IF(levypage9!C81&gt;0,levypage9!C81,"  ")</f>
        <v xml:space="preserve">  </v>
      </c>
      <c r="E26" s="732" t="str">
        <f>IF(levypage9!$E$73&lt;&gt;0,levypage9!$E$73,"  ")</f>
        <v xml:space="preserve">  </v>
      </c>
      <c r="F26" s="732" t="str">
        <f>IF(levypage9!$E$80&lt;&gt;0,levypage9!$E$80,"  ")</f>
        <v xml:space="preserve">  </v>
      </c>
      <c r="G26" s="733" t="str">
        <f>IF(AND(levypage9!E80=0,$C$40&gt;=0)," ",IF(AND(F26&gt;0,$C$40=0)," ",IF(AND(F26&gt;0,$C$40&gt;0),ROUND(F26/$C$40*1000,3))))</f>
        <v xml:space="preserve"> </v>
      </c>
    </row>
    <row r="27" spans="2:7" s="14" customFormat="1" x14ac:dyDescent="0.25">
      <c r="B27" s="85" t="str">
        <f>IF(inputPrYr!$B22&gt;"  ",inputPrYr!$B22,"  ")</f>
        <v xml:space="preserve">  </v>
      </c>
      <c r="C27" s="260" t="str">
        <f>IF(inputPrYr!C22&gt;0,inputPrYr!C22,"  ")</f>
        <v xml:space="preserve">  </v>
      </c>
      <c r="D27" s="261" t="str">
        <f>IF(levypage10!C81&gt;0,levypage10!C81,"  ")</f>
        <v xml:space="preserve">  </v>
      </c>
      <c r="E27" s="732" t="str">
        <f>IF(levypage10!$E$33&lt;&gt;0,levypage10!$E$33,"  ")</f>
        <v xml:space="preserve">  </v>
      </c>
      <c r="F27" s="732" t="str">
        <f>IF(levypage10!$E$40&lt;&gt;0,levypage10!$E$40,"  ")</f>
        <v xml:space="preserve">  </v>
      </c>
      <c r="G27" s="733" t="str">
        <f>IF(AND(levypage10!$E$40=0,$C$40&gt;=0)," ",IF(AND(F27&gt;0,$C$40=0)," ",IF(AND(F27&gt;0,$C$40&gt;0),ROUND(F27/$C$40*1000,3))))</f>
        <v xml:space="preserve"> </v>
      </c>
    </row>
    <row r="28" spans="2:7" s="14" customFormat="1" x14ac:dyDescent="0.25">
      <c r="B28" s="85" t="str">
        <f>IF(inputPrYr!$B23&gt;"  ",inputPrYr!$B23,"  ")</f>
        <v xml:space="preserve">  </v>
      </c>
      <c r="C28" s="260" t="str">
        <f>IF(inputPrYr!C23&gt;0,inputPrYr!C23,"  ")</f>
        <v xml:space="preserve">  </v>
      </c>
      <c r="D28" s="261" t="str">
        <f>IF(levypage10!C81&gt;0,levypage10!C81,"  ")</f>
        <v xml:space="preserve">  </v>
      </c>
      <c r="E28" s="732" t="str">
        <f>IF(levypage10!$E$73&lt;&gt;0,levypage10!$E$73,"  ")</f>
        <v xml:space="preserve">  </v>
      </c>
      <c r="F28" s="732" t="str">
        <f>IF(levypage10!$E$80&lt;&gt;0,levypage10!$E$80,"  ")</f>
        <v xml:space="preserve">  </v>
      </c>
      <c r="G28" s="733" t="str">
        <f>IF(AND(levypage10!$E$80=0,$C$40&gt;=0)," ",IF(AND(F28&gt;0,$C$40=0)," ",IF(AND(F28&gt;0,$C$40&gt;0),ROUND(F28/$C$40*1000,3))))</f>
        <v xml:space="preserve"> </v>
      </c>
    </row>
    <row r="29" spans="2:7" s="14" customFormat="1" x14ac:dyDescent="0.25">
      <c r="B29" s="85" t="str">
        <f>IF(inputPrYr!$B24&gt;"  ",inputPrYr!$B24,"  ")</f>
        <v xml:space="preserve">  </v>
      </c>
      <c r="C29" s="260" t="str">
        <f>IF(inputPrYr!C24&gt;0,inputPrYr!C24,"  ")</f>
        <v xml:space="preserve">  </v>
      </c>
      <c r="D29" s="261" t="str">
        <f>IF(levypage11!C81&gt;0,levypage11!C81,"  ")</f>
        <v xml:space="preserve">  </v>
      </c>
      <c r="E29" s="732" t="str">
        <f>IF(levypage11!$E$33&lt;&gt;0,levypage11!$E$33,"  ")</f>
        <v xml:space="preserve">  </v>
      </c>
      <c r="F29" s="732" t="str">
        <f>IF(levypage11!$E$40&lt;&gt;0,levypage11!$E$40,"  ")</f>
        <v xml:space="preserve">  </v>
      </c>
      <c r="G29" s="733" t="str">
        <f>IF(AND(levypage11!$E$40=0,$C$40&gt;=0)," ",IF(AND(F29&gt;0,$C$40=0)," ",IF(AND(F29&gt;0,$C$40&gt;0),ROUND(F29/$C$40*1000,3))))</f>
        <v xml:space="preserve"> </v>
      </c>
    </row>
    <row r="30" spans="2:7" s="14" customFormat="1" x14ac:dyDescent="0.25">
      <c r="B30" s="85" t="str">
        <f>IF(inputPrYr!$B25&gt;"  ",inputPrYr!$B25,"  ")</f>
        <v xml:space="preserve">  </v>
      </c>
      <c r="C30" s="260" t="str">
        <f>IF(inputPrYr!C25&gt;0,inputPrYr!C25,"  ")</f>
        <v xml:space="preserve">  </v>
      </c>
      <c r="D30" s="261" t="str">
        <f>IF(levypage11!C81&gt;0,levypage11!C81,"  ")</f>
        <v xml:space="preserve">  </v>
      </c>
      <c r="E30" s="732" t="str">
        <f>IF(levypage11!$E$73&lt;&gt;0,levypage11!$E$73,"  ")</f>
        <v xml:space="preserve">  </v>
      </c>
      <c r="F30" s="732" t="str">
        <f>IF(levypage11!$E$80&lt;&gt;0,levypage11!$E$80,"  ")</f>
        <v xml:space="preserve">  </v>
      </c>
      <c r="G30" s="733" t="str">
        <f>IF(AND(levypage11!$E$80=0,$C$40&gt;=0)," ",IF(AND(F30&gt;0,$C$40=0)," ",IF(AND(F30&gt;0,$C$40&gt;0),ROUND(F30/$C$40*1000,3))))</f>
        <v xml:space="preserve"> </v>
      </c>
    </row>
    <row r="31" spans="2:7" s="14" customFormat="1" x14ac:dyDescent="0.25">
      <c r="B31" s="262" t="str">
        <f>IF(inputPrYr!$B29&gt;"  ",inputPrYr!$B29,"  ")</f>
        <v xml:space="preserve">  </v>
      </c>
      <c r="C31" s="263"/>
      <c r="D31" s="264" t="str">
        <f>IF(nolevypage12!$C$65&gt;0,nolevypage12!$C$65,"  ")</f>
        <v xml:space="preserve">  </v>
      </c>
      <c r="E31" s="732" t="str">
        <f>IF(nolevypage12!$E$28&lt;&gt;0,nolevypage12!$E$28,"  ")</f>
        <v xml:space="preserve">  </v>
      </c>
      <c r="F31" s="732"/>
      <c r="G31" s="733"/>
    </row>
    <row r="32" spans="2:7" s="14" customFormat="1" x14ac:dyDescent="0.25">
      <c r="B32" s="265" t="str">
        <f>IF(inputPrYr!$B30&gt;"  ",inputPrYr!$B30,"  ")</f>
        <v xml:space="preserve">  </v>
      </c>
      <c r="C32" s="25"/>
      <c r="D32" s="264" t="str">
        <f>IF(nolevypage12!$C$65&gt;0,nolevypage12!$C$65,"  ")</f>
        <v xml:space="preserve">  </v>
      </c>
      <c r="E32" s="732" t="str">
        <f>IF(nolevypage12!$E$59&lt;&gt;0,nolevypage12!$E$59,"  ")</f>
        <v xml:space="preserve">  </v>
      </c>
      <c r="F32" s="732"/>
      <c r="G32" s="733"/>
    </row>
    <row r="33" spans="2:8" s="14" customFormat="1" x14ac:dyDescent="0.25">
      <c r="B33" s="262" t="str">
        <f>IF((inputPrYr!$B34&gt;"  "),(nonbud!$A3),"  ")</f>
        <v xml:space="preserve">  </v>
      </c>
      <c r="C33" s="25"/>
      <c r="D33" s="264" t="str">
        <f>IF(nonbud!$F$33&gt;0,nonbud!$F$33,"  ")</f>
        <v xml:space="preserve">  </v>
      </c>
      <c r="E33" s="732"/>
      <c r="F33" s="732"/>
      <c r="G33" s="733"/>
    </row>
    <row r="34" spans="2:8" s="14" customFormat="1" x14ac:dyDescent="0.25">
      <c r="B34" s="27" t="s">
        <v>288</v>
      </c>
      <c r="C34" s="263"/>
      <c r="D34" s="264" t="str">
        <f>IF(road!C67&gt;0,road!C67,"  ")</f>
        <v xml:space="preserve">  </v>
      </c>
      <c r="E34" s="236"/>
      <c r="F34" s="236"/>
      <c r="G34" s="733"/>
    </row>
    <row r="35" spans="2:8" s="14" customFormat="1" ht="16.5" thickBot="1" x14ac:dyDescent="0.3">
      <c r="B35" s="266" t="s">
        <v>289</v>
      </c>
      <c r="C35" s="267"/>
      <c r="D35" s="159" t="s">
        <v>290</v>
      </c>
      <c r="E35" s="734">
        <f>SUM(E21:E30)</f>
        <v>17530</v>
      </c>
      <c r="F35" s="734">
        <f>SUM(F21:F30)</f>
        <v>15144</v>
      </c>
      <c r="G35" s="735">
        <f>IF(SUM(G21:G30)&gt;0,SUM(G21:G30),"")</f>
        <v>14.960999999999999</v>
      </c>
    </row>
    <row r="36" spans="2:8" s="14" customFormat="1" ht="16.5" thickTop="1" x14ac:dyDescent="0.25">
      <c r="B36" s="27" t="s">
        <v>168</v>
      </c>
      <c r="C36" s="259"/>
      <c r="D36" s="264">
        <f>summ!D49</f>
        <v>0</v>
      </c>
    </row>
    <row r="37" spans="2:8" s="14" customFormat="1" x14ac:dyDescent="0.25">
      <c r="B37" s="27" t="s">
        <v>215</v>
      </c>
      <c r="C37" s="28"/>
      <c r="D37" s="264" t="str">
        <f>IF(nhood!C38&gt;0,nhood!C38,"")</f>
        <v/>
      </c>
      <c r="E37" s="268" t="s">
        <v>157</v>
      </c>
      <c r="F37" s="269" t="str">
        <f>IF(F35&gt;computation!J34,"Yes","No")</f>
        <v>No</v>
      </c>
    </row>
    <row r="38" spans="2:8" s="14" customFormat="1" x14ac:dyDescent="0.25">
      <c r="B38" s="27" t="s">
        <v>156</v>
      </c>
      <c r="C38" s="28"/>
      <c r="D38" s="264" t="str">
        <f>IF(Resolution!D50&gt;0,Resolution!D50,"")</f>
        <v/>
      </c>
      <c r="E38" s="270"/>
      <c r="F38" s="271"/>
    </row>
    <row r="39" spans="2:8" s="14" customFormat="1" x14ac:dyDescent="0.25">
      <c r="B39" s="64" t="s">
        <v>97</v>
      </c>
      <c r="C39" s="781" t="s">
        <v>124</v>
      </c>
      <c r="D39" s="782"/>
      <c r="E39" s="272"/>
      <c r="G39" s="22" t="s">
        <v>291</v>
      </c>
    </row>
    <row r="40" spans="2:8" s="14" customFormat="1" x14ac:dyDescent="0.25">
      <c r="B40" s="27" t="s">
        <v>98</v>
      </c>
      <c r="C40" s="783">
        <v>1012258</v>
      </c>
      <c r="D40" s="784"/>
      <c r="E40" s="273"/>
      <c r="G40" s="22"/>
    </row>
    <row r="41" spans="2:8" s="14" customFormat="1" x14ac:dyDescent="0.25">
      <c r="B41" s="274"/>
      <c r="C41" s="785" t="str">
        <f>CONCATENATE("Nov. 1, ",H1-1," Valuation")</f>
        <v>Nov. 1, 2012 Valuation</v>
      </c>
      <c r="D41" s="786"/>
      <c r="E41" s="272"/>
      <c r="G41" s="22"/>
    </row>
    <row r="42" spans="2:8" s="14" customFormat="1" x14ac:dyDescent="0.25">
      <c r="B42" s="274" t="s">
        <v>292</v>
      </c>
      <c r="E42" s="19"/>
      <c r="G42" s="22"/>
    </row>
    <row r="43" spans="2:8" s="14" customFormat="1" x14ac:dyDescent="0.25">
      <c r="B43" s="275" t="s">
        <v>941</v>
      </c>
      <c r="C43" s="275"/>
      <c r="E43" s="736" t="s">
        <v>853</v>
      </c>
      <c r="F43" s="736"/>
      <c r="G43" s="736"/>
    </row>
    <row r="44" spans="2:8" s="14" customFormat="1" x14ac:dyDescent="0.25">
      <c r="B44" s="276" t="s">
        <v>942</v>
      </c>
      <c r="C44" s="276"/>
      <c r="E44" s="737"/>
      <c r="F44" s="737"/>
      <c r="G44" s="737"/>
    </row>
    <row r="45" spans="2:8" s="14" customFormat="1" x14ac:dyDescent="0.25">
      <c r="B45" s="274" t="s">
        <v>145</v>
      </c>
      <c r="E45" s="736" t="s">
        <v>853</v>
      </c>
      <c r="F45" s="736"/>
      <c r="G45" s="736"/>
    </row>
    <row r="46" spans="2:8" s="14" customFormat="1" x14ac:dyDescent="0.25">
      <c r="B46" s="275" t="s">
        <v>943</v>
      </c>
      <c r="C46" s="275"/>
      <c r="D46" s="22"/>
      <c r="E46" s="736"/>
      <c r="F46" s="736"/>
      <c r="G46" s="736"/>
    </row>
    <row r="47" spans="2:8" s="14" customFormat="1" x14ac:dyDescent="0.25">
      <c r="B47" s="276" t="s">
        <v>944</v>
      </c>
      <c r="C47" s="276"/>
      <c r="D47" s="22"/>
      <c r="E47" s="736" t="s">
        <v>853</v>
      </c>
      <c r="F47" s="738"/>
      <c r="G47" s="738"/>
    </row>
    <row r="48" spans="2:8" x14ac:dyDescent="0.25">
      <c r="B48" s="274" t="s">
        <v>837</v>
      </c>
      <c r="C48" s="14"/>
      <c r="D48" s="22"/>
      <c r="E48" s="739"/>
      <c r="F48" s="736"/>
      <c r="G48" s="736"/>
      <c r="H48" s="90"/>
    </row>
    <row r="49" spans="2:8" x14ac:dyDescent="0.25">
      <c r="B49" s="275"/>
      <c r="C49" s="275"/>
      <c r="D49" s="22"/>
      <c r="E49" s="736" t="s">
        <v>853</v>
      </c>
      <c r="F49" s="738"/>
      <c r="G49" s="738"/>
      <c r="H49" s="90"/>
    </row>
    <row r="50" spans="2:8" x14ac:dyDescent="0.25">
      <c r="B50" s="66"/>
      <c r="C50" s="14"/>
      <c r="D50" s="22"/>
      <c r="E50" s="739"/>
      <c r="F50" s="736"/>
      <c r="G50" s="736"/>
      <c r="H50" s="90"/>
    </row>
    <row r="51" spans="2:8" x14ac:dyDescent="0.25">
      <c r="B51" s="537" t="s">
        <v>149</v>
      </c>
      <c r="C51" s="279">
        <f>H1-1</f>
        <v>2012</v>
      </c>
      <c r="D51" s="22"/>
      <c r="E51" s="736" t="s">
        <v>853</v>
      </c>
      <c r="F51" s="738"/>
      <c r="G51" s="738"/>
      <c r="H51" s="90"/>
    </row>
    <row r="52" spans="2:8" x14ac:dyDescent="0.25">
      <c r="B52" s="14"/>
      <c r="C52" s="14"/>
      <c r="D52" s="14"/>
      <c r="E52" s="736"/>
      <c r="F52" s="739"/>
      <c r="G52" s="736"/>
      <c r="H52" s="90"/>
    </row>
    <row r="53" spans="2:8" x14ac:dyDescent="0.25">
      <c r="B53" s="527"/>
      <c r="C53" s="14"/>
      <c r="D53" s="14"/>
      <c r="E53" s="736" t="s">
        <v>853</v>
      </c>
      <c r="F53" s="736"/>
      <c r="G53" s="736"/>
      <c r="H53" s="90"/>
    </row>
    <row r="54" spans="2:8" x14ac:dyDescent="0.25">
      <c r="B54" s="49" t="s">
        <v>294</v>
      </c>
      <c r="C54" s="14"/>
      <c r="D54" s="14"/>
      <c r="E54" s="768" t="s">
        <v>293</v>
      </c>
      <c r="F54" s="769"/>
      <c r="G54" s="769"/>
    </row>
    <row r="55" spans="2:8" x14ac:dyDescent="0.25">
      <c r="B55" s="14"/>
      <c r="C55" s="14"/>
      <c r="D55" s="14"/>
      <c r="E55" s="14"/>
      <c r="F55" s="14"/>
      <c r="G55" s="14"/>
    </row>
    <row r="56" spans="2:8" x14ac:dyDescent="0.25">
      <c r="B56" s="14"/>
      <c r="C56" s="14"/>
      <c r="D56" s="14"/>
      <c r="E56" s="14"/>
      <c r="F56" s="14"/>
      <c r="G56" s="14"/>
    </row>
    <row r="57" spans="2:8" x14ac:dyDescent="0.25">
      <c r="B57" s="14"/>
      <c r="C57" s="14"/>
      <c r="D57" s="14"/>
      <c r="E57" s="14"/>
      <c r="F57" s="14"/>
      <c r="G57" s="14"/>
    </row>
    <row r="58" spans="2:8" x14ac:dyDescent="0.25">
      <c r="B58" s="278" t="s">
        <v>0</v>
      </c>
      <c r="C58" s="277"/>
      <c r="D58" s="277"/>
      <c r="E58" s="277"/>
      <c r="F58" s="394"/>
      <c r="G58" s="14"/>
    </row>
    <row r="59" spans="2:8" x14ac:dyDescent="0.25">
      <c r="B59" s="278" t="s">
        <v>1</v>
      </c>
      <c r="C59" s="277"/>
      <c r="D59" s="277"/>
      <c r="E59" s="277"/>
      <c r="F59" s="394"/>
      <c r="G59" s="14"/>
    </row>
    <row r="60" spans="2:8" x14ac:dyDescent="0.25">
      <c r="B60" s="278"/>
      <c r="C60" s="277"/>
      <c r="D60" s="277"/>
      <c r="E60" s="277"/>
      <c r="F60" s="394"/>
      <c r="G60" s="14"/>
    </row>
    <row r="61" spans="2:8" x14ac:dyDescent="0.25">
      <c r="B61" s="14"/>
      <c r="C61" s="14"/>
      <c r="D61" s="14"/>
      <c r="E61" s="14"/>
      <c r="F61" s="14"/>
      <c r="G61" s="14"/>
    </row>
    <row r="62" spans="2:8" x14ac:dyDescent="0.25">
      <c r="B62" s="544"/>
      <c r="C62" s="545"/>
      <c r="D62" s="545"/>
      <c r="E62" s="545"/>
      <c r="F62" s="545"/>
      <c r="G62" s="545"/>
    </row>
    <row r="63" spans="2:8" x14ac:dyDescent="0.25">
      <c r="B63" s="544"/>
      <c r="C63" s="545"/>
      <c r="D63" s="545"/>
      <c r="E63" s="545"/>
      <c r="F63" s="545"/>
      <c r="G63" s="545"/>
    </row>
    <row r="64" spans="2:8" x14ac:dyDescent="0.25">
      <c r="B64" s="544"/>
      <c r="C64" s="545"/>
      <c r="D64" s="545"/>
      <c r="E64" s="546"/>
      <c r="F64" s="547"/>
      <c r="G64" s="545"/>
    </row>
  </sheetData>
  <sheetProtection sheet="1"/>
  <mergeCells count="14">
    <mergeCell ref="E54:G54"/>
    <mergeCell ref="B1:G1"/>
    <mergeCell ref="F12:F14"/>
    <mergeCell ref="E11:G11"/>
    <mergeCell ref="B6:G6"/>
    <mergeCell ref="B7:G7"/>
    <mergeCell ref="B3:H3"/>
    <mergeCell ref="C39:D39"/>
    <mergeCell ref="C40:D40"/>
    <mergeCell ref="C41:D41"/>
    <mergeCell ref="B8:G8"/>
    <mergeCell ref="B9:G9"/>
    <mergeCell ref="B5:G5"/>
    <mergeCell ref="B4:G4"/>
  </mergeCells>
  <phoneticPr fontId="0" type="noConversion"/>
  <conditionalFormatting sqref="F21">
    <cfRule type="cellIs" dxfId="128" priority="1" stopIfTrue="1" operator="equal">
      <formula>0</formula>
    </cfRule>
  </conditionalFormatting>
  <pageMargins left="0.4" right="0.4" top="0.83" bottom="0.85" header="0.3" footer="0.6"/>
  <pageSetup scale="79" orientation="portrait" blackAndWhite="1" horizontalDpi="4294967292" verticalDpi="96" r:id="rId1"/>
  <headerFooter alignWithMargins="0">
    <oddHeader xml:space="preserve">&amp;RState of Kansas
Township
</oddHeader>
    <oddFooter>&amp;CPage No. 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opLeftCell="A7" zoomScale="80" workbookViewId="0">
      <selection activeCell="J5" sqref="J5"/>
    </sheetView>
  </sheetViews>
  <sheetFormatPr defaultRowHeight="15.75" x14ac:dyDescent="0.25"/>
  <cols>
    <col min="1" max="2" width="3" style="80" customWidth="1"/>
    <col min="3" max="3" width="28.19921875" style="80" customWidth="1"/>
    <col min="4" max="4" width="2.09765625" style="80" customWidth="1"/>
    <col min="5" max="5" width="15.69921875" style="80" customWidth="1"/>
    <col min="6" max="6" width="1.796875" style="80" customWidth="1"/>
    <col min="7" max="7" width="15.69921875" style="80" customWidth="1"/>
    <col min="8" max="8" width="1.69921875" style="80" customWidth="1"/>
    <col min="9" max="9" width="1.59765625" style="80" customWidth="1"/>
    <col min="10" max="10" width="15.69921875" style="80" customWidth="1"/>
    <col min="11" max="16384" width="8.796875" style="80"/>
  </cols>
  <sheetData>
    <row r="1" spans="1:10" x14ac:dyDescent="0.25">
      <c r="A1" s="14"/>
      <c r="B1" s="14"/>
      <c r="C1" s="13" t="str">
        <f>inputPrYr!D2</f>
        <v>Delhi Township</v>
      </c>
      <c r="D1" s="14"/>
      <c r="E1" s="14"/>
      <c r="F1" s="14"/>
      <c r="G1" s="14"/>
      <c r="H1" s="14"/>
      <c r="I1" s="14"/>
      <c r="J1" s="14">
        <f>inputPrYr!D5</f>
        <v>2013</v>
      </c>
    </row>
    <row r="2" spans="1:10" x14ac:dyDescent="0.25">
      <c r="A2" s="14"/>
      <c r="B2" s="14"/>
      <c r="C2" s="14"/>
      <c r="D2" s="14"/>
      <c r="E2" s="14"/>
      <c r="F2" s="14"/>
      <c r="G2" s="14"/>
      <c r="H2" s="14"/>
      <c r="I2" s="14"/>
      <c r="J2" s="14"/>
    </row>
    <row r="3" spans="1:10" x14ac:dyDescent="0.25">
      <c r="A3" s="790" t="str">
        <f>CONCATENATE("Computation to Determine Limit for ",J1,"")</f>
        <v>Computation to Determine Limit for 2013</v>
      </c>
      <c r="B3" s="770"/>
      <c r="C3" s="770"/>
      <c r="D3" s="770"/>
      <c r="E3" s="770"/>
      <c r="F3" s="770"/>
      <c r="G3" s="770"/>
      <c r="H3" s="770"/>
      <c r="I3" s="770"/>
      <c r="J3" s="770"/>
    </row>
    <row r="4" spans="1:10" x14ac:dyDescent="0.25">
      <c r="A4" s="14"/>
      <c r="B4" s="14"/>
      <c r="C4" s="14"/>
      <c r="D4" s="14"/>
      <c r="E4" s="770"/>
      <c r="F4" s="770"/>
      <c r="G4" s="770"/>
      <c r="H4" s="125"/>
      <c r="I4" s="14"/>
      <c r="J4" s="244" t="s">
        <v>79</v>
      </c>
    </row>
    <row r="5" spans="1:10" x14ac:dyDescent="0.25">
      <c r="A5" s="245" t="s">
        <v>80</v>
      </c>
      <c r="B5" s="14" t="str">
        <f>CONCATENATE("Total Tax Levy Amount in ",J1-1,"")</f>
        <v>Total Tax Levy Amount in 2012</v>
      </c>
      <c r="C5" s="14"/>
      <c r="D5" s="14"/>
      <c r="E5" s="55"/>
      <c r="F5" s="55"/>
      <c r="G5" s="55"/>
      <c r="H5" s="246" t="s">
        <v>15</v>
      </c>
      <c r="I5" s="55" t="s">
        <v>2</v>
      </c>
      <c r="J5" s="247">
        <f>inputPrYr!E26</f>
        <v>15118</v>
      </c>
    </row>
    <row r="6" spans="1:10" x14ac:dyDescent="0.25">
      <c r="A6" s="245" t="s">
        <v>81</v>
      </c>
      <c r="B6" s="14" t="str">
        <f>CONCATENATE("Debt Service Levy in ",J1-1,"")</f>
        <v>Debt Service Levy in 2012</v>
      </c>
      <c r="C6" s="14"/>
      <c r="D6" s="14"/>
      <c r="E6" s="55"/>
      <c r="F6" s="55"/>
      <c r="G6" s="55"/>
      <c r="H6" s="246" t="s">
        <v>82</v>
      </c>
      <c r="I6" s="55" t="s">
        <v>2</v>
      </c>
      <c r="J6" s="248">
        <f>inputPrYr!E17</f>
        <v>0</v>
      </c>
    </row>
    <row r="7" spans="1:10" x14ac:dyDescent="0.25">
      <c r="A7" s="245" t="s">
        <v>83</v>
      </c>
      <c r="B7" s="17" t="s">
        <v>107</v>
      </c>
      <c r="C7" s="14"/>
      <c r="D7" s="14"/>
      <c r="E7" s="55"/>
      <c r="F7" s="55"/>
      <c r="G7" s="55"/>
      <c r="H7" s="55"/>
      <c r="I7" s="55" t="s">
        <v>2</v>
      </c>
      <c r="J7" s="249">
        <f>J5-J6</f>
        <v>15118</v>
      </c>
    </row>
    <row r="8" spans="1:10" x14ac:dyDescent="0.25">
      <c r="A8" s="14"/>
      <c r="B8" s="14"/>
      <c r="C8" s="14"/>
      <c r="D8" s="14"/>
      <c r="E8" s="55"/>
      <c r="F8" s="55"/>
      <c r="G8" s="55"/>
      <c r="H8" s="55"/>
      <c r="I8" s="55"/>
      <c r="J8" s="55"/>
    </row>
    <row r="9" spans="1:10" x14ac:dyDescent="0.25">
      <c r="A9" s="14"/>
      <c r="B9" s="17" t="str">
        <f>CONCATENATE("",J1-1," Valuation Information for Valuation Adjustments:")</f>
        <v>2012 Valuation Information for Valuation Adjustments:</v>
      </c>
      <c r="C9" s="14"/>
      <c r="D9" s="14"/>
      <c r="E9" s="55"/>
      <c r="F9" s="55"/>
      <c r="G9" s="55"/>
      <c r="H9" s="55"/>
      <c r="I9" s="55"/>
      <c r="J9" s="55"/>
    </row>
    <row r="10" spans="1:10" x14ac:dyDescent="0.25">
      <c r="A10" s="14"/>
      <c r="B10" s="14"/>
      <c r="C10" s="17"/>
      <c r="D10" s="14"/>
      <c r="E10" s="55"/>
      <c r="F10" s="55"/>
      <c r="G10" s="55"/>
      <c r="H10" s="55"/>
      <c r="I10" s="55"/>
      <c r="J10" s="55"/>
    </row>
    <row r="11" spans="1:10" x14ac:dyDescent="0.25">
      <c r="A11" s="245" t="s">
        <v>84</v>
      </c>
      <c r="B11" s="17" t="str">
        <f>CONCATENATE("New Improvements for ",J1-1,":")</f>
        <v>New Improvements for 2012:</v>
      </c>
      <c r="C11" s="14"/>
      <c r="D11" s="14"/>
      <c r="E11" s="246"/>
      <c r="F11" s="246" t="s">
        <v>15</v>
      </c>
      <c r="G11" s="247">
        <f>inputOth!E8</f>
        <v>965</v>
      </c>
      <c r="H11" s="53"/>
      <c r="I11" s="55"/>
      <c r="J11" s="55"/>
    </row>
    <row r="12" spans="1:10" x14ac:dyDescent="0.25">
      <c r="A12" s="245"/>
      <c r="B12" s="245"/>
      <c r="C12" s="14"/>
      <c r="D12" s="14"/>
      <c r="E12" s="246"/>
      <c r="F12" s="246"/>
      <c r="G12" s="53"/>
      <c r="H12" s="53"/>
      <c r="I12" s="55"/>
      <c r="J12" s="55"/>
    </row>
    <row r="13" spans="1:10" x14ac:dyDescent="0.25">
      <c r="A13" s="245" t="s">
        <v>85</v>
      </c>
      <c r="B13" s="17" t="str">
        <f>CONCATENATE("Increase in Personal Property for ",J1-1,":")</f>
        <v>Increase in Personal Property for 2012:</v>
      </c>
      <c r="C13" s="14"/>
      <c r="D13" s="14"/>
      <c r="E13" s="246"/>
      <c r="F13" s="246"/>
      <c r="G13" s="53"/>
      <c r="H13" s="53"/>
      <c r="I13" s="55"/>
      <c r="J13" s="55"/>
    </row>
    <row r="14" spans="1:10" x14ac:dyDescent="0.25">
      <c r="A14" s="14"/>
      <c r="B14" s="14" t="s">
        <v>86</v>
      </c>
      <c r="C14" s="14" t="str">
        <f>CONCATENATE("Personal Property ",J1-1,"")</f>
        <v>Personal Property 2012</v>
      </c>
      <c r="D14" s="245" t="s">
        <v>15</v>
      </c>
      <c r="E14" s="247">
        <f>inputOth!E9</f>
        <v>30397</v>
      </c>
      <c r="F14" s="246"/>
      <c r="G14" s="55"/>
      <c r="H14" s="55"/>
      <c r="I14" s="53"/>
      <c r="J14" s="55"/>
    </row>
    <row r="15" spans="1:10" x14ac:dyDescent="0.25">
      <c r="A15" s="245"/>
      <c r="B15" s="14" t="s">
        <v>87</v>
      </c>
      <c r="C15" s="14" t="str">
        <f>CONCATENATE("Personal Property ",J1-2,"")</f>
        <v>Personal Property 2011</v>
      </c>
      <c r="D15" s="245" t="s">
        <v>82</v>
      </c>
      <c r="E15" s="249">
        <f>inputOth!E11</f>
        <v>29875</v>
      </c>
      <c r="F15" s="246"/>
      <c r="G15" s="53"/>
      <c r="H15" s="53"/>
      <c r="I15" s="55"/>
      <c r="J15" s="55"/>
    </row>
    <row r="16" spans="1:10" x14ac:dyDescent="0.25">
      <c r="A16" s="245"/>
      <c r="B16" s="14" t="s">
        <v>88</v>
      </c>
      <c r="C16" s="14" t="s">
        <v>108</v>
      </c>
      <c r="D16" s="14"/>
      <c r="E16" s="55"/>
      <c r="F16" s="55" t="s">
        <v>15</v>
      </c>
      <c r="G16" s="247">
        <f>IF(E14&gt;E15,E14-E15,0)</f>
        <v>522</v>
      </c>
      <c r="H16" s="53"/>
      <c r="I16" s="55"/>
      <c r="J16" s="55"/>
    </row>
    <row r="17" spans="1:10" x14ac:dyDescent="0.25">
      <c r="A17" s="245"/>
      <c r="B17" s="245"/>
      <c r="C17" s="14"/>
      <c r="D17" s="14"/>
      <c r="E17" s="55"/>
      <c r="F17" s="55"/>
      <c r="G17" s="53" t="s">
        <v>96</v>
      </c>
      <c r="H17" s="53"/>
      <c r="I17" s="55"/>
      <c r="J17" s="55"/>
    </row>
    <row r="18" spans="1:10" x14ac:dyDescent="0.25">
      <c r="A18" s="245" t="s">
        <v>89</v>
      </c>
      <c r="B18" s="17" t="str">
        <f>CONCATENATE("Valuation of Property that Changed in Use during ",J1-1,":")</f>
        <v>Valuation of Property that Changed in Use during 2012:</v>
      </c>
      <c r="C18" s="14"/>
      <c r="D18" s="14"/>
      <c r="E18" s="55"/>
      <c r="F18" s="246" t="s">
        <v>15</v>
      </c>
      <c r="G18" s="247">
        <f>inputOth!E10</f>
        <v>261</v>
      </c>
      <c r="H18" s="55"/>
      <c r="I18" s="55"/>
      <c r="J18" s="55"/>
    </row>
    <row r="19" spans="1:10" x14ac:dyDescent="0.25">
      <c r="A19" s="14" t="s">
        <v>278</v>
      </c>
      <c r="B19" s="14"/>
      <c r="C19" s="14"/>
      <c r="D19" s="245"/>
      <c r="E19" s="53"/>
      <c r="F19" s="53"/>
      <c r="G19" s="53"/>
      <c r="H19" s="55"/>
      <c r="I19" s="55"/>
      <c r="J19" s="55"/>
    </row>
    <row r="20" spans="1:10" x14ac:dyDescent="0.25">
      <c r="A20" s="245" t="s">
        <v>90</v>
      </c>
      <c r="B20" s="17" t="s">
        <v>109</v>
      </c>
      <c r="C20" s="14"/>
      <c r="D20" s="14"/>
      <c r="E20" s="55"/>
      <c r="F20" s="55"/>
      <c r="G20" s="247">
        <f>G11+G16+G18</f>
        <v>1748</v>
      </c>
      <c r="H20" s="53"/>
      <c r="I20" s="55"/>
      <c r="J20" s="55"/>
    </row>
    <row r="21" spans="1:10" x14ac:dyDescent="0.25">
      <c r="A21" s="245"/>
      <c r="B21" s="245"/>
      <c r="C21" s="17"/>
      <c r="D21" s="14"/>
      <c r="E21" s="55"/>
      <c r="F21" s="55"/>
      <c r="G21" s="53"/>
      <c r="H21" s="53"/>
      <c r="I21" s="55"/>
      <c r="J21" s="55"/>
    </row>
    <row r="22" spans="1:10" x14ac:dyDescent="0.25">
      <c r="A22" s="245" t="s">
        <v>91</v>
      </c>
      <c r="B22" s="14" t="str">
        <f>CONCATENATE("Total Estimated Valuation July 1,",J1-1,"")</f>
        <v>Total Estimated Valuation July 1,2012</v>
      </c>
      <c r="C22" s="14"/>
      <c r="D22" s="14"/>
      <c r="E22" s="247">
        <f>inputOth!E7</f>
        <v>1010758</v>
      </c>
      <c r="F22" s="55"/>
      <c r="G22" s="55"/>
      <c r="H22" s="55"/>
      <c r="I22" s="246"/>
      <c r="J22" s="55"/>
    </row>
    <row r="23" spans="1:10" x14ac:dyDescent="0.25">
      <c r="A23" s="245"/>
      <c r="B23" s="245"/>
      <c r="C23" s="14"/>
      <c r="D23" s="14"/>
      <c r="E23" s="53"/>
      <c r="F23" s="55"/>
      <c r="G23" s="55"/>
      <c r="H23" s="55"/>
      <c r="I23" s="246"/>
      <c r="J23" s="55"/>
    </row>
    <row r="24" spans="1:10" x14ac:dyDescent="0.25">
      <c r="A24" s="245" t="s">
        <v>92</v>
      </c>
      <c r="B24" s="17" t="s">
        <v>110</v>
      </c>
      <c r="C24" s="14"/>
      <c r="D24" s="14"/>
      <c r="E24" s="55"/>
      <c r="F24" s="55"/>
      <c r="G24" s="247">
        <f>E22-G20</f>
        <v>1009010</v>
      </c>
      <c r="H24" s="53"/>
      <c r="I24" s="246"/>
      <c r="J24" s="55"/>
    </row>
    <row r="25" spans="1:10" x14ac:dyDescent="0.25">
      <c r="A25" s="245"/>
      <c r="B25" s="245"/>
      <c r="C25" s="17"/>
      <c r="D25" s="14"/>
      <c r="E25" s="14"/>
      <c r="F25" s="14"/>
      <c r="G25" s="250"/>
      <c r="H25" s="19"/>
      <c r="I25" s="245"/>
      <c r="J25" s="14"/>
    </row>
    <row r="26" spans="1:10" x14ac:dyDescent="0.25">
      <c r="A26" s="245" t="s">
        <v>93</v>
      </c>
      <c r="B26" s="14" t="s">
        <v>111</v>
      </c>
      <c r="C26" s="14"/>
      <c r="D26" s="14"/>
      <c r="E26" s="14"/>
      <c r="F26" s="14"/>
      <c r="G26" s="251">
        <f>IF(G20&gt;0,G20/G24,0)</f>
        <v>1.7323911556872578E-3</v>
      </c>
      <c r="H26" s="19"/>
      <c r="I26" s="14"/>
      <c r="J26" s="14"/>
    </row>
    <row r="27" spans="1:10" x14ac:dyDescent="0.25">
      <c r="A27" s="245"/>
      <c r="B27" s="245"/>
      <c r="C27" s="14"/>
      <c r="D27" s="14"/>
      <c r="E27" s="14"/>
      <c r="F27" s="14"/>
      <c r="G27" s="19"/>
      <c r="H27" s="19"/>
      <c r="I27" s="14"/>
      <c r="J27" s="14"/>
    </row>
    <row r="28" spans="1:10" x14ac:dyDescent="0.25">
      <c r="A28" s="245" t="s">
        <v>94</v>
      </c>
      <c r="B28" s="14" t="s">
        <v>112</v>
      </c>
      <c r="C28" s="14"/>
      <c r="D28" s="14"/>
      <c r="E28" s="14"/>
      <c r="F28" s="14"/>
      <c r="G28" s="19"/>
      <c r="H28" s="252" t="s">
        <v>15</v>
      </c>
      <c r="I28" s="14" t="s">
        <v>2</v>
      </c>
      <c r="J28" s="247">
        <f>ROUND(G26*J7,0)</f>
        <v>26</v>
      </c>
    </row>
    <row r="29" spans="1:10" x14ac:dyDescent="0.25">
      <c r="A29" s="245"/>
      <c r="B29" s="245"/>
      <c r="C29" s="14"/>
      <c r="D29" s="14"/>
      <c r="E29" s="14"/>
      <c r="F29" s="14"/>
      <c r="G29" s="19"/>
      <c r="H29" s="252"/>
      <c r="I29" s="14"/>
      <c r="J29" s="53"/>
    </row>
    <row r="30" spans="1:10" ht="16.5" thickBot="1" x14ac:dyDescent="0.3">
      <c r="A30" s="245" t="s">
        <v>95</v>
      </c>
      <c r="B30" s="17" t="s">
        <v>116</v>
      </c>
      <c r="C30" s="14"/>
      <c r="D30" s="14"/>
      <c r="E30" s="14"/>
      <c r="F30" s="14"/>
      <c r="G30" s="14"/>
      <c r="H30" s="14"/>
      <c r="I30" s="14" t="s">
        <v>2</v>
      </c>
      <c r="J30" s="253">
        <f>J7+J28</f>
        <v>15144</v>
      </c>
    </row>
    <row r="31" spans="1:10" ht="16.5" thickTop="1" x14ac:dyDescent="0.25">
      <c r="A31" s="14"/>
      <c r="B31" s="14"/>
      <c r="C31" s="14"/>
      <c r="D31" s="14"/>
      <c r="E31" s="14"/>
      <c r="F31" s="14"/>
      <c r="G31" s="14"/>
      <c r="H31" s="14"/>
      <c r="I31" s="14"/>
      <c r="J31" s="14"/>
    </row>
    <row r="32" spans="1:10" x14ac:dyDescent="0.25">
      <c r="A32" s="245" t="s">
        <v>114</v>
      </c>
      <c r="B32" s="17" t="str">
        <f>CONCATENATE("Debt Service Levy in this ",J1,"")</f>
        <v>Debt Service Levy in this 2013</v>
      </c>
      <c r="C32" s="14"/>
      <c r="D32" s="14"/>
      <c r="E32" s="14"/>
      <c r="F32" s="14"/>
      <c r="G32" s="14"/>
      <c r="H32" s="14"/>
      <c r="I32" s="14"/>
      <c r="J32" s="247">
        <f>'DebtSvs-Library'!E40</f>
        <v>0</v>
      </c>
    </row>
    <row r="33" spans="1:10" x14ac:dyDescent="0.25">
      <c r="A33" s="245"/>
      <c r="B33" s="17"/>
      <c r="C33" s="14"/>
      <c r="D33" s="14"/>
      <c r="E33" s="14"/>
      <c r="F33" s="14"/>
      <c r="G33" s="14"/>
      <c r="H33" s="14"/>
      <c r="I33" s="14"/>
      <c r="J33" s="19"/>
    </row>
    <row r="34" spans="1:10" ht="16.5" thickBot="1" x14ac:dyDescent="0.3">
      <c r="A34" s="245" t="s">
        <v>115</v>
      </c>
      <c r="B34" s="17" t="s">
        <v>117</v>
      </c>
      <c r="C34" s="14"/>
      <c r="D34" s="14"/>
      <c r="E34" s="14"/>
      <c r="F34" s="14"/>
      <c r="G34" s="14"/>
      <c r="H34" s="14"/>
      <c r="I34" s="14"/>
      <c r="J34" s="253">
        <f>J30+J32</f>
        <v>15144</v>
      </c>
    </row>
    <row r="35" spans="1:10" ht="16.5" thickTop="1" x14ac:dyDescent="0.25">
      <c r="A35" s="14"/>
      <c r="B35" s="14"/>
      <c r="C35" s="14"/>
      <c r="D35" s="14"/>
      <c r="E35" s="14"/>
      <c r="F35" s="14"/>
      <c r="G35" s="14"/>
      <c r="H35" s="14"/>
      <c r="I35" s="14"/>
      <c r="J35" s="14"/>
    </row>
    <row r="36" spans="1:10" s="254" customFormat="1" ht="18.75" x14ac:dyDescent="0.25">
      <c r="A36" s="789" t="str">
        <f>CONCATENATE("If the ",J1," budget includes tax levies exceeding the total on line 14, you must")</f>
        <v>If the 2013 budget includes tax levies exceeding the total on line 14, you must</v>
      </c>
      <c r="B36" s="789"/>
      <c r="C36" s="789"/>
      <c r="D36" s="789"/>
      <c r="E36" s="789"/>
      <c r="F36" s="789"/>
      <c r="G36" s="789"/>
      <c r="H36" s="789"/>
      <c r="I36" s="789"/>
      <c r="J36" s="789"/>
    </row>
    <row r="37" spans="1:10" s="254" customFormat="1" ht="18.75" x14ac:dyDescent="0.25">
      <c r="A37" s="789" t="s">
        <v>113</v>
      </c>
      <c r="B37" s="789"/>
      <c r="C37" s="789"/>
      <c r="D37" s="789"/>
      <c r="E37" s="789"/>
      <c r="F37" s="789"/>
      <c r="G37" s="789"/>
      <c r="H37" s="789"/>
      <c r="I37" s="789"/>
      <c r="J37" s="789"/>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&amp;CPage No. 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85" workbookViewId="0">
      <selection activeCell="J17" sqref="J17"/>
    </sheetView>
  </sheetViews>
  <sheetFormatPr defaultRowHeight="15.75" x14ac:dyDescent="0.25"/>
  <cols>
    <col min="1" max="1" width="20.69921875" style="90" customWidth="1"/>
    <col min="2" max="2" width="17.796875" style="80" customWidth="1"/>
    <col min="3" max="3" width="8.69921875" style="80" hidden="1" customWidth="1"/>
    <col min="4" max="4" width="17.3984375" style="80" customWidth="1"/>
    <col min="5" max="5" width="0.19921875" style="80" customWidth="1"/>
    <col min="6" max="6" width="9.765625E-2" style="80" hidden="1" customWidth="1"/>
    <col min="7" max="7" width="13.69921875" style="80" customWidth="1"/>
    <col min="8" max="8" width="12.3984375" style="80" hidden="1" customWidth="1"/>
    <col min="9" max="10" width="13.69921875" style="80" customWidth="1"/>
    <col min="11" max="11" width="15.19921875" style="80" customWidth="1"/>
    <col min="12" max="12" width="6.296875" style="80" customWidth="1"/>
    <col min="13" max="16384" width="8.796875" style="80"/>
  </cols>
  <sheetData>
    <row r="1" spans="2:13" x14ac:dyDescent="0.25">
      <c r="B1" s="13" t="str">
        <f>inputPrYr!D2</f>
        <v>Delhi Township</v>
      </c>
      <c r="C1" s="14"/>
      <c r="D1" s="14"/>
      <c r="E1" s="14"/>
      <c r="F1" s="14"/>
      <c r="G1" s="14"/>
      <c r="H1" s="14"/>
      <c r="I1" s="14"/>
      <c r="J1" s="15">
        <f>inputPrYr!D5</f>
        <v>2013</v>
      </c>
      <c r="K1" s="15"/>
      <c r="L1" s="90"/>
    </row>
    <row r="2" spans="2:13" x14ac:dyDescent="0.25">
      <c r="B2" s="13" t="str">
        <f>inputPrYr!D3</f>
        <v>Osborne County</v>
      </c>
      <c r="C2" s="14"/>
      <c r="D2" s="14"/>
      <c r="E2" s="14"/>
      <c r="F2" s="14"/>
      <c r="G2" s="14"/>
      <c r="H2" s="14"/>
      <c r="I2" s="14"/>
      <c r="J2" s="52"/>
      <c r="K2" s="52"/>
      <c r="L2" s="90"/>
    </row>
    <row r="3" spans="2:13" x14ac:dyDescent="0.25">
      <c r="B3" s="13"/>
      <c r="C3" s="14"/>
      <c r="D3" s="14"/>
      <c r="E3" s="14"/>
      <c r="F3" s="14"/>
      <c r="G3" s="14"/>
      <c r="H3" s="14"/>
      <c r="I3" s="14"/>
      <c r="J3" s="52"/>
      <c r="K3" s="52"/>
      <c r="L3" s="90"/>
    </row>
    <row r="4" spans="2:13" x14ac:dyDescent="0.25">
      <c r="B4" s="13"/>
      <c r="C4" s="14"/>
      <c r="D4" s="14"/>
      <c r="E4" s="14"/>
      <c r="F4" s="14"/>
      <c r="G4" s="14"/>
      <c r="H4" s="14"/>
      <c r="I4" s="14"/>
      <c r="J4" s="52"/>
      <c r="K4" s="52"/>
      <c r="L4" s="90"/>
    </row>
    <row r="5" spans="2:13" x14ac:dyDescent="0.25">
      <c r="B5" s="14"/>
      <c r="C5" s="14"/>
      <c r="D5" s="14"/>
      <c r="E5" s="14"/>
      <c r="F5" s="14"/>
      <c r="G5" s="14"/>
      <c r="H5" s="14"/>
      <c r="I5" s="14"/>
      <c r="J5" s="14"/>
      <c r="K5" s="14"/>
      <c r="L5" s="90"/>
    </row>
    <row r="6" spans="2:13" x14ac:dyDescent="0.25">
      <c r="B6" s="796" t="s">
        <v>769</v>
      </c>
      <c r="C6" s="769"/>
      <c r="D6" s="769"/>
      <c r="E6" s="769"/>
      <c r="F6" s="769"/>
      <c r="G6" s="769"/>
      <c r="H6" s="769"/>
      <c r="I6" s="769"/>
      <c r="J6" s="769"/>
      <c r="K6" s="14"/>
      <c r="L6" s="14"/>
    </row>
    <row r="7" spans="2:13" x14ac:dyDescent="0.25">
      <c r="B7" s="230"/>
      <c r="C7" s="12"/>
      <c r="D7" s="140"/>
      <c r="E7" s="140"/>
      <c r="F7" s="140"/>
      <c r="G7" s="140"/>
      <c r="H7" s="140"/>
      <c r="I7" s="140"/>
      <c r="J7" s="140"/>
      <c r="K7" s="140"/>
      <c r="L7" s="140"/>
    </row>
    <row r="8" spans="2:13" x14ac:dyDescent="0.25">
      <c r="B8" s="14"/>
      <c r="C8" s="231"/>
      <c r="D8" s="231"/>
      <c r="E8" s="231"/>
      <c r="F8" s="231"/>
      <c r="G8" s="232"/>
      <c r="H8" s="145"/>
      <c r="I8" s="145"/>
      <c r="J8" s="14"/>
      <c r="K8" s="19"/>
      <c r="L8" s="560"/>
    </row>
    <row r="9" spans="2:13" ht="21" customHeight="1" x14ac:dyDescent="0.25">
      <c r="B9" s="214" t="s">
        <v>767</v>
      </c>
      <c r="C9" s="171"/>
      <c r="D9" s="562" t="s">
        <v>768</v>
      </c>
      <c r="E9" s="791" t="str">
        <f>CONCATENATE("Budget Tax Levy Rate for ",J1-1,"")</f>
        <v>Budget Tax Levy Rate for 2012</v>
      </c>
      <c r="F9" s="233"/>
      <c r="G9" s="793" t="str">
        <f>CONCATENATE("Allocation for Proposed Year ",J1,"")</f>
        <v>Allocation for Proposed Year 2013</v>
      </c>
      <c r="H9" s="794"/>
      <c r="I9" s="794"/>
      <c r="J9" s="795"/>
      <c r="K9" s="90"/>
      <c r="L9" s="90"/>
      <c r="M9" s="559"/>
    </row>
    <row r="10" spans="2:13" ht="15.75" customHeight="1" x14ac:dyDescent="0.25">
      <c r="B10" s="561" t="str">
        <f>CONCATENATE("for ",J1-1,"")</f>
        <v>for 2012</v>
      </c>
      <c r="C10" s="177"/>
      <c r="D10" s="91" t="str">
        <f>CONCATENATE("Amount for ",J1,"")</f>
        <v>Amount for 2013</v>
      </c>
      <c r="E10" s="792"/>
      <c r="F10" s="25"/>
      <c r="G10" s="26" t="s">
        <v>77</v>
      </c>
      <c r="H10" s="26"/>
      <c r="I10" s="26" t="s">
        <v>78</v>
      </c>
      <c r="J10" s="161" t="s">
        <v>121</v>
      </c>
      <c r="K10" s="90"/>
      <c r="L10" s="90"/>
      <c r="M10" s="559"/>
    </row>
    <row r="11" spans="2:13" x14ac:dyDescent="0.25">
      <c r="B11" s="85" t="str">
        <f>inputPrYr!B16</f>
        <v>General</v>
      </c>
      <c r="C11" s="234"/>
      <c r="D11" s="161">
        <f>IF(inputPrYr!E16&gt;0,inputPrYr!E16,"  ")</f>
        <v>1851</v>
      </c>
      <c r="E11" s="131">
        <f>IF(inputOth!D17&gt;0,inputOth!D17,"  ")</f>
        <v>1.9059999999999999</v>
      </c>
      <c r="F11" s="727"/>
      <c r="G11" s="161">
        <f>IF(inputPrYr!E16=0,0,G23-SUM(G12:G20))</f>
        <v>48</v>
      </c>
      <c r="H11" s="728"/>
      <c r="I11" s="161">
        <f>IF(inputPrYr!E16=0,0,I25-SUM(I12:I20))</f>
        <v>0</v>
      </c>
      <c r="J11" s="161">
        <f>IF(inputPrYr!E16=0,0,J27-SUM(J12:J20))</f>
        <v>27</v>
      </c>
      <c r="K11" s="90"/>
      <c r="L11" s="90"/>
      <c r="M11" s="559"/>
    </row>
    <row r="12" spans="2:13" x14ac:dyDescent="0.25">
      <c r="B12" s="85" t="str">
        <f>inputPrYr!B17</f>
        <v>Debt Service</v>
      </c>
      <c r="C12" s="234"/>
      <c r="D12" s="161">
        <f>IF(inputPrYr!E17&gt;=0,inputPrYr!E17,"  ")</f>
        <v>0</v>
      </c>
      <c r="E12" s="131" t="str">
        <f>IF(inputOth!D18&gt;0,inputOth!D18,"  ")</f>
        <v xml:space="preserve">  </v>
      </c>
      <c r="F12" s="727"/>
      <c r="G12" s="161">
        <f>IF(inputPrYr!E17=0,0,ROUND(D12*$G$30,0))</f>
        <v>0</v>
      </c>
      <c r="H12" s="728"/>
      <c r="I12" s="161">
        <f>IF(inputPrYr!$E$17=0,0,ROUND($D$12*$I$32,0))</f>
        <v>0</v>
      </c>
      <c r="J12" s="161">
        <f>IF(inputPrYr!E17=0,0,ROUND($D12*$J$34,0))</f>
        <v>0</v>
      </c>
      <c r="K12" s="90"/>
      <c r="L12" s="90"/>
      <c r="M12" s="559"/>
    </row>
    <row r="13" spans="2:13" x14ac:dyDescent="0.25">
      <c r="B13" s="85" t="str">
        <f>inputPrYr!B18</f>
        <v>Library</v>
      </c>
      <c r="C13" s="234"/>
      <c r="D13" s="161">
        <f>IF(inputPrYr!E18&gt;=0,inputPrYr!E18,"  ")</f>
        <v>0</v>
      </c>
      <c r="E13" s="131"/>
      <c r="F13" s="727"/>
      <c r="G13" s="161">
        <f>IF(inputPrYr!E18=0,0,ROUND(D13*$G$30,0))</f>
        <v>0</v>
      </c>
      <c r="H13" s="728"/>
      <c r="I13" s="161">
        <f>IF(inputPrYr!$E$18=0,0,ROUND($D$13*$I$32,0))</f>
        <v>0</v>
      </c>
      <c r="J13" s="161">
        <f>IF(inputPrYr!E18=0,0,ROUND($D13*$J$34,0))</f>
        <v>0</v>
      </c>
      <c r="K13" s="90"/>
      <c r="L13" s="90"/>
      <c r="M13" s="559"/>
    </row>
    <row r="14" spans="2:13" x14ac:dyDescent="0.25">
      <c r="B14" s="85" t="str">
        <f>IF(inputPrYr!$B19&gt;"  ",inputPrYr!$B19,"  ")</f>
        <v>Road</v>
      </c>
      <c r="C14" s="234"/>
      <c r="D14" s="161">
        <f>IF(inputPrYr!E19&gt;=0,inputPrYr!E19,"  ")</f>
        <v>12288</v>
      </c>
      <c r="E14" s="131">
        <f>IF(inputOth!D20&gt;0,inputOth!D20,"  ")</f>
        <v>12.651</v>
      </c>
      <c r="F14" s="727"/>
      <c r="G14" s="161">
        <f>IF(inputPrYr!E19=0,0,ROUND(D14*$G$30,0))</f>
        <v>317</v>
      </c>
      <c r="H14" s="728"/>
      <c r="I14" s="161">
        <f>IF(inputPrYr!$E$19=0,0,ROUND($D$14*$I$32,0))</f>
        <v>0</v>
      </c>
      <c r="J14" s="161">
        <f>IF(inputPrYr!E19=0,0,ROUND($D14*$J$34,0))</f>
        <v>183</v>
      </c>
      <c r="K14" s="90"/>
      <c r="L14" s="90"/>
      <c r="M14" s="559"/>
    </row>
    <row r="15" spans="2:13" x14ac:dyDescent="0.25">
      <c r="B15" s="85" t="str">
        <f>IF(inputPrYr!$B20&gt;"  ",inputPrYr!$B20,"  ")</f>
        <v>Cemetery</v>
      </c>
      <c r="C15" s="234"/>
      <c r="D15" s="161">
        <f>IF(inputPrYr!E20&gt;=0,inputPrYr!E20,"  ")</f>
        <v>979</v>
      </c>
      <c r="E15" s="131">
        <f>IF(inputOth!D21&gt;0,inputOth!D21,"  ")</f>
        <v>1.008</v>
      </c>
      <c r="F15" s="727"/>
      <c r="G15" s="161">
        <f>IF(inputPrYr!E20=0,0,ROUND(D15*$G$30,0))</f>
        <v>25</v>
      </c>
      <c r="H15" s="728"/>
      <c r="I15" s="161">
        <f>IF(inputPrYr!$E$20=0,0,ROUND($D$15*$I$32,0))</f>
        <v>0</v>
      </c>
      <c r="J15" s="161">
        <f>IF(inputPrYr!E20=0,0,ROUND($D15*$J$34,0))</f>
        <v>15</v>
      </c>
      <c r="K15" s="90"/>
      <c r="L15" s="90"/>
      <c r="M15" s="559"/>
    </row>
    <row r="16" spans="2:13" x14ac:dyDescent="0.25">
      <c r="B16" s="85" t="str">
        <f>IF(inputPrYr!$B21&gt;"  ",inputPrYr!$B21,"  ")</f>
        <v xml:space="preserve">  </v>
      </c>
      <c r="C16" s="234"/>
      <c r="D16" s="161">
        <f>IF(inputPrYr!E21&gt;=0,inputPrYr!E21,"  ")</f>
        <v>0</v>
      </c>
      <c r="E16" s="131" t="str">
        <f>IF(inputOth!D22&gt;0,inputOth!D22,"  ")</f>
        <v xml:space="preserve">  </v>
      </c>
      <c r="F16" s="727"/>
      <c r="G16" s="161">
        <f>IF(inputPrYr!E21=0,0,ROUND(D16*$G$30,0))</f>
        <v>0</v>
      </c>
      <c r="H16" s="728"/>
      <c r="I16" s="161">
        <f>IF(inputPrYr!$E$21=0,0,ROUND($D$16*$I$32,0))</f>
        <v>0</v>
      </c>
      <c r="J16" s="161">
        <f>IF(inputPrYr!E21=0,0,ROUND($D16*$J$34,0))</f>
        <v>0</v>
      </c>
      <c r="K16" s="90"/>
      <c r="L16" s="90"/>
      <c r="M16" s="559"/>
    </row>
    <row r="17" spans="2:13" x14ac:dyDescent="0.25">
      <c r="B17" s="85" t="str">
        <f>IF(inputPrYr!$B22&gt;"  ",inputPrYr!$B22,"  ")</f>
        <v xml:space="preserve">  </v>
      </c>
      <c r="C17" s="234"/>
      <c r="D17" s="161">
        <f>IF(inputPrYr!E22&gt;=0,inputPrYr!E22,"  ")</f>
        <v>0</v>
      </c>
      <c r="E17" s="131" t="str">
        <f>IF(inputOth!D23&gt;0,inputOth!D23,"  ")</f>
        <v xml:space="preserve">  </v>
      </c>
      <c r="F17" s="727"/>
      <c r="G17" s="161">
        <f>IF(inputPrYr!E22=0,0,ROUND(D17*$G$30,0))</f>
        <v>0</v>
      </c>
      <c r="H17" s="728"/>
      <c r="I17" s="161">
        <f>IF(inputPrYr!$E$22=0,0,ROUND($D$17*$I$32,0))</f>
        <v>0</v>
      </c>
      <c r="J17" s="161">
        <f>IF(inputPrYr!E22=0,0,ROUND($D17*$J$34,0))</f>
        <v>0</v>
      </c>
      <c r="K17" s="90"/>
      <c r="L17" s="90"/>
      <c r="M17" s="559"/>
    </row>
    <row r="18" spans="2:13" x14ac:dyDescent="0.25">
      <c r="B18" s="85" t="str">
        <f>IF(inputPrYr!$B23&gt;"  ",inputPrYr!$B23,"  ")</f>
        <v xml:space="preserve">  </v>
      </c>
      <c r="C18" s="234"/>
      <c r="D18" s="161">
        <f>IF(inputPrYr!E23&gt;=0,inputPrYr!E23,"  ")</f>
        <v>0</v>
      </c>
      <c r="E18" s="131" t="str">
        <f>IF(inputOth!D24&gt;0,inputOth!D24,"  ")</f>
        <v xml:space="preserve">  </v>
      </c>
      <c r="F18" s="727"/>
      <c r="G18" s="161">
        <f>IF(inputPrYr!E23=0,0,ROUND(D18*$G$30,0))</f>
        <v>0</v>
      </c>
      <c r="H18" s="728"/>
      <c r="I18" s="161">
        <f>IF(inputPrYr!$E$23=0,0,ROUND($D$18*$I$32,0))</f>
        <v>0</v>
      </c>
      <c r="J18" s="161">
        <f>IF(inputPrYr!E23=0,0,ROUND($D18*$J$34,0))</f>
        <v>0</v>
      </c>
      <c r="K18" s="90"/>
      <c r="L18" s="90"/>
      <c r="M18" s="559"/>
    </row>
    <row r="19" spans="2:13" x14ac:dyDescent="0.25">
      <c r="B19" s="85" t="str">
        <f>IF(inputPrYr!$B24&gt;"  ",inputPrYr!$B24,"  ")</f>
        <v xml:space="preserve">  </v>
      </c>
      <c r="C19" s="234"/>
      <c r="D19" s="161">
        <f>IF(inputPrYr!E24&gt;=0,inputPrYr!E24,"  ")</f>
        <v>0</v>
      </c>
      <c r="E19" s="131" t="str">
        <f>IF(inputOth!D25&gt;0,inputOth!D25,"  ")</f>
        <v xml:space="preserve">  </v>
      </c>
      <c r="F19" s="727"/>
      <c r="G19" s="161">
        <f>IF(inputPrYr!E24=0,0,ROUND(D19*$G$30,0))</f>
        <v>0</v>
      </c>
      <c r="H19" s="728"/>
      <c r="I19" s="161">
        <f>IF(inputPrYr!$E$24=0,0,ROUND($D$19*$I$32,0))</f>
        <v>0</v>
      </c>
      <c r="J19" s="161">
        <f>IF(inputPrYr!E24=0,0,ROUND($D19*$J$34,0))</f>
        <v>0</v>
      </c>
      <c r="K19" s="90"/>
      <c r="L19" s="90"/>
      <c r="M19" s="559"/>
    </row>
    <row r="20" spans="2:13" x14ac:dyDescent="0.25">
      <c r="B20" s="85" t="str">
        <f>IF(inputPrYr!$B25&gt;"  ",inputPrYr!$B25,"  ")</f>
        <v xml:space="preserve">  </v>
      </c>
      <c r="C20" s="234"/>
      <c r="D20" s="161">
        <f>IF(inputPrYr!E25&gt;=0,inputPrYr!E25,"  ")</f>
        <v>0</v>
      </c>
      <c r="E20" s="131" t="str">
        <f>IF(inputOth!D26&gt;0,inputOth!D26,"  ")</f>
        <v xml:space="preserve">  </v>
      </c>
      <c r="F20" s="727"/>
      <c r="G20" s="161">
        <f>IF(inputPrYr!E25=0,0,ROUND(D20*$G$30,0))</f>
        <v>0</v>
      </c>
      <c r="H20" s="728"/>
      <c r="I20" s="161">
        <f>IF(inputPrYr!$E$25=0,0,ROUND($D$20*$I$32,0))</f>
        <v>0</v>
      </c>
      <c r="J20" s="161">
        <f>IF(inputPrYr!E25=0,0,ROUND($D20*$J$34,0))</f>
        <v>0</v>
      </c>
      <c r="K20" s="90"/>
      <c r="L20" s="90"/>
      <c r="M20" s="559"/>
    </row>
    <row r="21" spans="2:13" ht="16.5" thickBot="1" x14ac:dyDescent="0.3">
      <c r="B21" s="72" t="s">
        <v>276</v>
      </c>
      <c r="C21" s="237"/>
      <c r="D21" s="729">
        <f>SUM(D11:D20)</f>
        <v>15118</v>
      </c>
      <c r="E21" s="730">
        <f>SUM(E11:E20)</f>
        <v>15.565000000000001</v>
      </c>
      <c r="F21" s="731"/>
      <c r="G21" s="729">
        <f>SUM(G11:G20)</f>
        <v>390</v>
      </c>
      <c r="H21" s="729"/>
      <c r="I21" s="729">
        <f>SUM(I11:I20)</f>
        <v>0</v>
      </c>
      <c r="J21" s="729">
        <f>SUM(J11:J20)</f>
        <v>225</v>
      </c>
      <c r="K21" s="90"/>
      <c r="L21" s="90"/>
      <c r="M21" s="559"/>
    </row>
    <row r="22" spans="2:13" ht="16.5" thickTop="1" x14ac:dyDescent="0.25">
      <c r="B22" s="14"/>
      <c r="C22" s="14"/>
      <c r="D22" s="14"/>
      <c r="E22" s="14"/>
      <c r="F22" s="14"/>
      <c r="G22" s="14"/>
      <c r="H22" s="14"/>
      <c r="I22" s="14"/>
      <c r="J22" s="14"/>
      <c r="K22" s="14"/>
      <c r="L22" s="90"/>
    </row>
    <row r="23" spans="2:13" x14ac:dyDescent="0.25">
      <c r="B23" s="22" t="s">
        <v>5</v>
      </c>
      <c r="C23" s="61"/>
      <c r="D23" s="14"/>
      <c r="E23" s="14"/>
      <c r="F23" s="14"/>
      <c r="G23" s="79">
        <f>inputOth!E32</f>
        <v>390</v>
      </c>
      <c r="H23" s="14"/>
      <c r="I23" s="14"/>
      <c r="J23" s="14"/>
      <c r="K23" s="14"/>
      <c r="L23" s="90"/>
    </row>
    <row r="24" spans="2:13" x14ac:dyDescent="0.25">
      <c r="B24" s="14"/>
      <c r="C24" s="14"/>
      <c r="D24" s="14"/>
      <c r="E24" s="14"/>
      <c r="F24" s="14"/>
      <c r="G24" s="14"/>
      <c r="H24" s="14"/>
      <c r="I24" s="14"/>
      <c r="J24" s="14"/>
      <c r="K24" s="14"/>
      <c r="L24" s="90"/>
    </row>
    <row r="25" spans="2:13" x14ac:dyDescent="0.25">
      <c r="B25" s="22" t="s">
        <v>6</v>
      </c>
      <c r="C25" s="14"/>
      <c r="D25" s="14"/>
      <c r="E25" s="14"/>
      <c r="F25" s="14"/>
      <c r="G25" s="14"/>
      <c r="H25" s="79">
        <f>inputPrYr!E75</f>
        <v>0</v>
      </c>
      <c r="I25" s="79">
        <f>inputOth!E33</f>
        <v>0</v>
      </c>
      <c r="J25" s="14"/>
      <c r="K25" s="14"/>
      <c r="L25" s="90"/>
    </row>
    <row r="26" spans="2:13" x14ac:dyDescent="0.25">
      <c r="B26" s="14"/>
      <c r="C26" s="14"/>
      <c r="D26" s="14"/>
      <c r="E26" s="14"/>
      <c r="F26" s="14"/>
      <c r="G26" s="14"/>
      <c r="H26" s="14"/>
      <c r="I26" s="14"/>
      <c r="J26" s="14"/>
      <c r="K26" s="14"/>
      <c r="L26" s="90"/>
    </row>
    <row r="27" spans="2:13" x14ac:dyDescent="0.25">
      <c r="B27" s="22" t="s">
        <v>75</v>
      </c>
      <c r="C27" s="14"/>
      <c r="D27" s="14"/>
      <c r="E27" s="14"/>
      <c r="F27" s="14"/>
      <c r="G27" s="14"/>
      <c r="H27" s="14"/>
      <c r="I27" s="14"/>
      <c r="J27" s="79">
        <f>inputOth!E34</f>
        <v>225</v>
      </c>
      <c r="K27" s="24"/>
      <c r="L27" s="90"/>
    </row>
    <row r="28" spans="2:13" x14ac:dyDescent="0.25">
      <c r="B28" s="14"/>
      <c r="C28" s="14"/>
      <c r="D28" s="14"/>
      <c r="E28" s="14"/>
      <c r="F28" s="14"/>
      <c r="G28" s="14"/>
      <c r="H28" s="14"/>
      <c r="I28" s="14"/>
      <c r="J28" s="14"/>
      <c r="K28" s="14"/>
      <c r="L28" s="90"/>
    </row>
    <row r="29" spans="2:13" x14ac:dyDescent="0.25">
      <c r="B29" s="14"/>
      <c r="C29" s="14"/>
      <c r="D29" s="14"/>
      <c r="E29" s="14"/>
      <c r="F29" s="14"/>
      <c r="G29" s="14"/>
      <c r="H29" s="14"/>
      <c r="I29" s="14"/>
      <c r="J29" s="14"/>
      <c r="K29" s="24"/>
      <c r="L29" s="90"/>
    </row>
    <row r="30" spans="2:13" x14ac:dyDescent="0.25">
      <c r="B30" s="22" t="s">
        <v>7</v>
      </c>
      <c r="C30" s="14"/>
      <c r="D30" s="14"/>
      <c r="E30" s="14"/>
      <c r="F30" s="14"/>
      <c r="G30" s="238">
        <f>IF(D21=0,0,G23/D21)</f>
        <v>2.5797063103585129E-2</v>
      </c>
      <c r="H30" s="14"/>
      <c r="I30" s="14"/>
      <c r="J30" s="14"/>
      <c r="K30" s="14"/>
      <c r="L30" s="90"/>
    </row>
    <row r="31" spans="2:13" x14ac:dyDescent="0.25">
      <c r="B31" s="14"/>
      <c r="C31" s="239"/>
      <c r="D31" s="14"/>
      <c r="E31" s="14"/>
      <c r="F31" s="14"/>
      <c r="G31" s="14"/>
      <c r="H31" s="14"/>
      <c r="I31" s="14"/>
      <c r="J31" s="14"/>
      <c r="K31" s="14"/>
      <c r="L31" s="90"/>
    </row>
    <row r="32" spans="2:13" x14ac:dyDescent="0.25">
      <c r="B32" s="22"/>
      <c r="C32" s="14"/>
      <c r="D32" s="22" t="s">
        <v>8</v>
      </c>
      <c r="E32" s="14"/>
      <c r="F32" s="14"/>
      <c r="G32" s="14"/>
      <c r="H32" s="240">
        <f>IF(D21=0,0,H25/D21)</f>
        <v>0</v>
      </c>
      <c r="I32" s="241">
        <f>IF(D21=0,0,I25/D21)</f>
        <v>0</v>
      </c>
      <c r="J32" s="14"/>
      <c r="K32" s="14"/>
      <c r="L32" s="90"/>
    </row>
    <row r="33" spans="2:12" x14ac:dyDescent="0.25">
      <c r="B33" s="14"/>
      <c r="C33" s="14"/>
      <c r="D33" s="14"/>
      <c r="E33" s="14"/>
      <c r="F33" s="14"/>
      <c r="G33" s="14"/>
      <c r="H33" s="14"/>
      <c r="I33" s="14"/>
      <c r="J33" s="14"/>
      <c r="K33" s="14"/>
      <c r="L33" s="90"/>
    </row>
    <row r="34" spans="2:12" x14ac:dyDescent="0.25">
      <c r="B34" s="22"/>
      <c r="C34" s="14"/>
      <c r="D34" s="14"/>
      <c r="E34" s="14"/>
      <c r="F34" s="14"/>
      <c r="G34" s="22" t="s">
        <v>76</v>
      </c>
      <c r="H34" s="14"/>
      <c r="I34" s="14"/>
      <c r="J34" s="238">
        <f>IF(D21=0,0,J27/D21)</f>
        <v>1.4882921021299114E-2</v>
      </c>
      <c r="K34" s="242"/>
      <c r="L34" s="90"/>
    </row>
    <row r="35" spans="2:12" x14ac:dyDescent="0.25">
      <c r="B35" s="90"/>
      <c r="C35" s="90"/>
      <c r="D35" s="90"/>
      <c r="E35" s="90"/>
      <c r="F35" s="90"/>
      <c r="G35" s="90"/>
      <c r="H35" s="90"/>
      <c r="I35" s="90"/>
      <c r="J35" s="90"/>
      <c r="K35" s="90"/>
      <c r="L35" s="90"/>
    </row>
    <row r="36" spans="2:12" x14ac:dyDescent="0.25">
      <c r="B36" s="90"/>
      <c r="C36" s="90"/>
      <c r="D36" s="90"/>
      <c r="E36" s="90"/>
      <c r="F36" s="90"/>
      <c r="G36" s="90"/>
      <c r="H36" s="90"/>
      <c r="I36" s="90"/>
      <c r="J36" s="90"/>
      <c r="K36" s="90"/>
      <c r="L36" s="90"/>
    </row>
    <row r="40" spans="2:12" x14ac:dyDescent="0.25">
      <c r="B40" s="243"/>
      <c r="C40" s="243"/>
      <c r="D40" s="243"/>
      <c r="E40" s="243"/>
      <c r="F40" s="243"/>
      <c r="G40" s="243"/>
      <c r="H40" s="243"/>
      <c r="I40" s="16"/>
    </row>
  </sheetData>
  <sheetProtection sheet="1"/>
  <mergeCells count="3">
    <mergeCell ref="E9:E10"/>
    <mergeCell ref="G9:J9"/>
    <mergeCell ref="B6:J6"/>
  </mergeCells>
  <phoneticPr fontId="0" type="noConversion"/>
  <pageMargins left="0.4" right="0.4" top="0.83" bottom="0.85" header="0.3" footer="0.6"/>
  <pageSetup scale="85" orientation="landscape" blackAndWhite="1" horizontalDpi="4294967292" verticalDpi="300" r:id="rId1"/>
  <headerFooter alignWithMargins="0">
    <oddHeader xml:space="preserve">&amp;RState of Kansas
Township
</oddHeader>
    <oddFooter>&amp;CPage No. 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workbookViewId="0">
      <selection activeCell="C23" sqref="C22:E23"/>
    </sheetView>
  </sheetViews>
  <sheetFormatPr defaultRowHeight="15.75" x14ac:dyDescent="0.25"/>
  <cols>
    <col min="1" max="2" width="16" style="16" customWidth="1"/>
    <col min="3" max="6" width="11.5" style="16" customWidth="1"/>
    <col min="7" max="16384" width="8.796875" style="16"/>
  </cols>
  <sheetData>
    <row r="1" spans="1:6" x14ac:dyDescent="0.25">
      <c r="A1" s="13"/>
      <c r="B1" s="14"/>
      <c r="C1" s="14"/>
      <c r="D1" s="14"/>
      <c r="E1" s="52"/>
      <c r="F1" s="14">
        <f>inputPrYr!D5</f>
        <v>2013</v>
      </c>
    </row>
    <row r="2" spans="1:6" x14ac:dyDescent="0.25">
      <c r="A2" s="88" t="str">
        <f>inputPrYr!D2</f>
        <v>Delhi Township</v>
      </c>
      <c r="B2" s="88"/>
      <c r="C2" s="14"/>
      <c r="D2" s="14"/>
      <c r="E2" s="52"/>
      <c r="F2" s="14"/>
    </row>
    <row r="3" spans="1:6" x14ac:dyDescent="0.25">
      <c r="A3" s="13"/>
      <c r="B3" s="88"/>
      <c r="C3" s="14"/>
      <c r="D3" s="14"/>
      <c r="E3" s="52"/>
      <c r="F3" s="14"/>
    </row>
    <row r="4" spans="1:6" x14ac:dyDescent="0.25">
      <c r="A4" s="13"/>
      <c r="B4" s="14"/>
      <c r="C4" s="14"/>
      <c r="D4" s="14"/>
      <c r="E4" s="52"/>
      <c r="F4" s="14"/>
    </row>
    <row r="5" spans="1:6" ht="15" customHeight="1" x14ac:dyDescent="0.25">
      <c r="A5" s="770" t="s">
        <v>169</v>
      </c>
      <c r="B5" s="770"/>
      <c r="C5" s="770"/>
      <c r="D5" s="770"/>
      <c r="E5" s="770"/>
      <c r="F5" s="770"/>
    </row>
    <row r="6" spans="1:6" ht="14.25" customHeight="1" x14ac:dyDescent="0.25">
      <c r="A6" s="125"/>
      <c r="B6" s="213"/>
      <c r="C6" s="213"/>
      <c r="D6" s="213"/>
      <c r="E6" s="213"/>
      <c r="F6" s="213"/>
    </row>
    <row r="7" spans="1:6" ht="15" customHeight="1" x14ac:dyDescent="0.25">
      <c r="A7" s="214" t="s">
        <v>284</v>
      </c>
      <c r="B7" s="214" t="s">
        <v>611</v>
      </c>
      <c r="C7" s="215" t="s">
        <v>32</v>
      </c>
      <c r="D7" s="215" t="s">
        <v>170</v>
      </c>
      <c r="E7" s="214" t="s">
        <v>171</v>
      </c>
      <c r="F7" s="214" t="s">
        <v>172</v>
      </c>
    </row>
    <row r="8" spans="1:6" ht="15" customHeight="1" x14ac:dyDescent="0.25">
      <c r="A8" s="216" t="s">
        <v>612</v>
      </c>
      <c r="B8" s="216" t="s">
        <v>613</v>
      </c>
      <c r="C8" s="217" t="s">
        <v>173</v>
      </c>
      <c r="D8" s="217" t="s">
        <v>173</v>
      </c>
      <c r="E8" s="217" t="s">
        <v>173</v>
      </c>
      <c r="F8" s="217" t="s">
        <v>174</v>
      </c>
    </row>
    <row r="9" spans="1:6" s="220" customFormat="1" ht="15" customHeight="1" thickBot="1" x14ac:dyDescent="0.3">
      <c r="A9" s="218" t="s">
        <v>175</v>
      </c>
      <c r="B9" s="219" t="s">
        <v>176</v>
      </c>
      <c r="C9" s="219">
        <f>F1-2</f>
        <v>2011</v>
      </c>
      <c r="D9" s="219">
        <f>F1-1</f>
        <v>2012</v>
      </c>
      <c r="E9" s="219">
        <f>F1</f>
        <v>2013</v>
      </c>
      <c r="F9" s="219" t="s">
        <v>271</v>
      </c>
    </row>
    <row r="10" spans="1:6" ht="15" customHeight="1" thickTop="1" x14ac:dyDescent="0.25">
      <c r="A10" s="221"/>
      <c r="B10" s="221"/>
      <c r="C10" s="222"/>
      <c r="D10" s="222"/>
      <c r="E10" s="222"/>
      <c r="F10" s="221"/>
    </row>
    <row r="11" spans="1:6" ht="15" customHeight="1" x14ac:dyDescent="0.25">
      <c r="A11" s="73" t="s">
        <v>249</v>
      </c>
      <c r="B11" s="73" t="s">
        <v>288</v>
      </c>
      <c r="C11" s="223">
        <f>gen!$C$43</f>
        <v>0</v>
      </c>
      <c r="D11" s="223">
        <f>gen!$D$43</f>
        <v>0</v>
      </c>
      <c r="E11" s="223">
        <f>gen!$E$43</f>
        <v>0</v>
      </c>
      <c r="F11" s="73" t="str">
        <f>IF(C11+D11+E11&gt;0,"80-1406b","")</f>
        <v/>
      </c>
    </row>
    <row r="12" spans="1:6" ht="15" customHeight="1" x14ac:dyDescent="0.25">
      <c r="A12" s="73" t="s">
        <v>249</v>
      </c>
      <c r="B12" s="73" t="s">
        <v>288</v>
      </c>
      <c r="C12" s="223">
        <f>gen!$C$45</f>
        <v>100</v>
      </c>
      <c r="D12" s="223">
        <f>gen!$D$45</f>
        <v>0</v>
      </c>
      <c r="E12" s="223">
        <f>gen!$E$45</f>
        <v>0</v>
      </c>
      <c r="F12" s="73" t="str">
        <f>IF(C12+D12+E12&gt;0,"80-122","")</f>
        <v>80-122</v>
      </c>
    </row>
    <row r="13" spans="1:6" ht="15" customHeight="1" x14ac:dyDescent="0.25">
      <c r="A13" s="73" t="s">
        <v>275</v>
      </c>
      <c r="B13" s="73" t="s">
        <v>288</v>
      </c>
      <c r="C13" s="223">
        <f>road!$C$38</f>
        <v>350</v>
      </c>
      <c r="D13" s="223">
        <f>road!$D$38</f>
        <v>0</v>
      </c>
      <c r="E13" s="223">
        <f>road!$E$38</f>
        <v>0</v>
      </c>
      <c r="F13" s="73" t="str">
        <f>IF(C13+D13+E13&gt;0,"68-141g","")</f>
        <v>68-141g</v>
      </c>
    </row>
    <row r="14" spans="1:6" ht="15" customHeight="1" x14ac:dyDescent="0.25">
      <c r="A14" s="224"/>
      <c r="B14" s="224"/>
      <c r="C14" s="225"/>
      <c r="D14" s="225"/>
      <c r="E14" s="225"/>
      <c r="F14" s="224"/>
    </row>
    <row r="15" spans="1:6" ht="15" customHeight="1" x14ac:dyDescent="0.25">
      <c r="A15" s="224"/>
      <c r="B15" s="224"/>
      <c r="C15" s="225"/>
      <c r="D15" s="225"/>
      <c r="E15" s="225"/>
      <c r="F15" s="224"/>
    </row>
    <row r="16" spans="1:6" ht="15" customHeight="1" x14ac:dyDescent="0.25">
      <c r="A16" s="224"/>
      <c r="B16" s="224"/>
      <c r="C16" s="225"/>
      <c r="D16" s="225"/>
      <c r="E16" s="225"/>
      <c r="F16" s="224"/>
    </row>
    <row r="17" spans="1:6" ht="15" customHeight="1" x14ac:dyDescent="0.25">
      <c r="A17" s="224"/>
      <c r="B17" s="224"/>
      <c r="C17" s="225"/>
      <c r="D17" s="225"/>
      <c r="E17" s="225"/>
      <c r="F17" s="224"/>
    </row>
    <row r="18" spans="1:6" ht="15" customHeight="1" x14ac:dyDescent="0.25">
      <c r="A18" s="224"/>
      <c r="B18" s="224"/>
      <c r="C18" s="225"/>
      <c r="D18" s="225"/>
      <c r="E18" s="225"/>
      <c r="F18" s="224"/>
    </row>
    <row r="19" spans="1:6" ht="15" customHeight="1" x14ac:dyDescent="0.25">
      <c r="A19" s="224"/>
      <c r="B19" s="226"/>
      <c r="C19" s="225"/>
      <c r="D19" s="225"/>
      <c r="E19" s="225"/>
      <c r="F19" s="224"/>
    </row>
    <row r="20" spans="1:6" ht="15" customHeight="1" x14ac:dyDescent="0.25">
      <c r="A20" s="224"/>
      <c r="B20" s="224"/>
      <c r="C20" s="225"/>
      <c r="D20" s="225"/>
      <c r="E20" s="225"/>
      <c r="F20" s="224"/>
    </row>
    <row r="21" spans="1:6" ht="15" customHeight="1" x14ac:dyDescent="0.25">
      <c r="A21" s="224"/>
      <c r="B21" s="224"/>
      <c r="C21" s="225"/>
      <c r="D21" s="225"/>
      <c r="E21" s="225"/>
      <c r="F21" s="224"/>
    </row>
    <row r="22" spans="1:6" ht="15" customHeight="1" x14ac:dyDescent="0.25">
      <c r="A22" s="224"/>
      <c r="B22" s="224"/>
      <c r="C22" s="225"/>
      <c r="D22" s="225"/>
      <c r="E22" s="225"/>
      <c r="F22" s="224"/>
    </row>
    <row r="23" spans="1:6" ht="15" customHeight="1" x14ac:dyDescent="0.25">
      <c r="A23" s="224"/>
      <c r="B23" s="224"/>
      <c r="C23" s="225"/>
      <c r="D23" s="225"/>
      <c r="E23" s="225"/>
      <c r="F23" s="224"/>
    </row>
    <row r="24" spans="1:6" ht="15" customHeight="1" x14ac:dyDescent="0.25">
      <c r="A24" s="224"/>
      <c r="B24" s="224"/>
      <c r="C24" s="225"/>
      <c r="D24" s="225"/>
      <c r="E24" s="225"/>
      <c r="F24" s="224"/>
    </row>
    <row r="25" spans="1:6" ht="15" customHeight="1" x14ac:dyDescent="0.25">
      <c r="A25" s="224"/>
      <c r="B25" s="224"/>
      <c r="C25" s="225"/>
      <c r="D25" s="225"/>
      <c r="E25" s="225"/>
      <c r="F25" s="224"/>
    </row>
    <row r="26" spans="1:6" ht="15" customHeight="1" x14ac:dyDescent="0.25">
      <c r="A26" s="224"/>
      <c r="B26" s="224"/>
      <c r="C26" s="225"/>
      <c r="D26" s="225"/>
      <c r="E26" s="225"/>
      <c r="F26" s="224"/>
    </row>
    <row r="27" spans="1:6" x14ac:dyDescent="0.25">
      <c r="A27" s="129"/>
      <c r="B27" s="227" t="s">
        <v>276</v>
      </c>
      <c r="C27" s="228">
        <f>SUM(C10:C26)</f>
        <v>450</v>
      </c>
      <c r="D27" s="228">
        <f>SUM(D10:D26)</f>
        <v>0</v>
      </c>
      <c r="E27" s="228">
        <f>SUM(E10:E26)</f>
        <v>0</v>
      </c>
      <c r="F27" s="129"/>
    </row>
    <row r="28" spans="1:6" x14ac:dyDescent="0.25">
      <c r="A28" s="129"/>
      <c r="B28" s="227" t="s">
        <v>610</v>
      </c>
      <c r="C28" s="129"/>
      <c r="D28" s="224"/>
      <c r="E28" s="224"/>
      <c r="F28" s="129"/>
    </row>
    <row r="29" spans="1:6" x14ac:dyDescent="0.25">
      <c r="A29" s="129"/>
      <c r="B29" s="179" t="s">
        <v>177</v>
      </c>
      <c r="C29" s="229">
        <f>C27</f>
        <v>450</v>
      </c>
      <c r="D29" s="229">
        <f>SUM(D27-D28)</f>
        <v>0</v>
      </c>
      <c r="E29" s="229">
        <f>SUM(E27-E28)</f>
        <v>0</v>
      </c>
      <c r="F29" s="129"/>
    </row>
    <row r="30" spans="1:6" x14ac:dyDescent="0.25">
      <c r="A30" s="129"/>
      <c r="B30" s="14"/>
      <c r="C30" s="14"/>
      <c r="D30" s="14"/>
      <c r="E30" s="14"/>
      <c r="F30" s="129"/>
    </row>
    <row r="31" spans="1:6" x14ac:dyDescent="0.25">
      <c r="A31" s="129"/>
      <c r="B31" s="14"/>
      <c r="C31" s="14"/>
      <c r="D31" s="14"/>
      <c r="E31" s="14"/>
      <c r="F31" s="129"/>
    </row>
    <row r="32" spans="1:6" x14ac:dyDescent="0.25">
      <c r="A32" s="377" t="s">
        <v>614</v>
      </c>
      <c r="B32" s="378" t="str">
        <f>CONCATENATE("Adjustments are required only if the transfer is being made in ",D9," and/or ",E9," from a non-budgeted fund.")</f>
        <v>Adjustments are required only if the transfer is being made in 2012 and/or 2013 from a non-budgeted fund.</v>
      </c>
      <c r="C32" s="14"/>
      <c r="D32" s="14"/>
      <c r="E32" s="14"/>
      <c r="F32" s="129"/>
    </row>
  </sheetData>
  <sheetProtection sheet="1"/>
  <mergeCells count="1">
    <mergeCell ref="A5:F5"/>
  </mergeCells>
  <phoneticPr fontId="11" type="noConversion"/>
  <pageMargins left="0.75" right="0.75" top="1" bottom="1" header="0.5" footer="0.5"/>
  <pageSetup scale="89" orientation="portrait" blackAndWhite="1" r:id="rId1"/>
  <headerFooter alignWithMargins="0">
    <oddHeader>&amp;RState of Kansas
Township</oddHeader>
    <oddFooter>&amp;CPage No. 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zoomScaleNormal="100" workbookViewId="0">
      <selection activeCell="B30" sqref="B30"/>
    </sheetView>
  </sheetViews>
  <sheetFormatPr defaultColWidth="62.3984375" defaultRowHeight="15.75" x14ac:dyDescent="0.25"/>
  <cols>
    <col min="1" max="16384" width="62.3984375" style="12"/>
  </cols>
  <sheetData>
    <row r="1" spans="1:1" ht="18.75" x14ac:dyDescent="0.25">
      <c r="A1" s="212" t="s">
        <v>318</v>
      </c>
    </row>
    <row r="2" spans="1:1" x14ac:dyDescent="0.25">
      <c r="A2" s="80"/>
    </row>
    <row r="3" spans="1:1" ht="51" customHeight="1" x14ac:dyDescent="0.25">
      <c r="A3" s="396" t="s">
        <v>711</v>
      </c>
    </row>
    <row r="4" spans="1:1" ht="17.25" customHeight="1" x14ac:dyDescent="0.2">
      <c r="A4" s="396"/>
    </row>
    <row r="5" spans="1:1" x14ac:dyDescent="0.25">
      <c r="A5" s="80"/>
    </row>
    <row r="6" spans="1:1" ht="52.5" customHeight="1" x14ac:dyDescent="0.25">
      <c r="A6" s="164" t="s">
        <v>359</v>
      </c>
    </row>
    <row r="7" spans="1:1" x14ac:dyDescent="0.25">
      <c r="A7" s="80"/>
    </row>
    <row r="8" spans="1:1" x14ac:dyDescent="0.25">
      <c r="A8" s="80"/>
    </row>
    <row r="9" spans="1:1" ht="70.5" customHeight="1" x14ac:dyDescent="0.25">
      <c r="A9" s="164" t="s">
        <v>360</v>
      </c>
    </row>
    <row r="10" spans="1:1" x14ac:dyDescent="0.25">
      <c r="A10" s="165"/>
    </row>
    <row r="11" spans="1:1" x14ac:dyDescent="0.25">
      <c r="A11" s="165"/>
    </row>
    <row r="12" spans="1:1" ht="63" x14ac:dyDescent="0.25">
      <c r="A12" s="485" t="s">
        <v>712</v>
      </c>
    </row>
    <row r="13" spans="1:1" x14ac:dyDescent="0.25">
      <c r="A13" s="165"/>
    </row>
    <row r="14" spans="1:1" x14ac:dyDescent="0.25">
      <c r="A14" s="165"/>
    </row>
    <row r="15" spans="1:1" ht="63" x14ac:dyDescent="0.25">
      <c r="A15" s="485" t="s">
        <v>713</v>
      </c>
    </row>
    <row r="16" spans="1:1" x14ac:dyDescent="0.25">
      <c r="A16" s="165"/>
    </row>
    <row r="17" spans="1:1" x14ac:dyDescent="0.25">
      <c r="A17" s="80"/>
    </row>
    <row r="18" spans="1:1" ht="56.25" customHeight="1" x14ac:dyDescent="0.25">
      <c r="A18" s="164" t="s">
        <v>361</v>
      </c>
    </row>
    <row r="19" spans="1:1" x14ac:dyDescent="0.25">
      <c r="A19" s="165"/>
    </row>
    <row r="20" spans="1:1" x14ac:dyDescent="0.25">
      <c r="A20" s="165"/>
    </row>
    <row r="21" spans="1:1" ht="87.75" customHeight="1" x14ac:dyDescent="0.25">
      <c r="A21" s="164" t="s">
        <v>362</v>
      </c>
    </row>
    <row r="22" spans="1:1" x14ac:dyDescent="0.25">
      <c r="A22" s="165"/>
    </row>
    <row r="23" spans="1:1" x14ac:dyDescent="0.25">
      <c r="A23" s="80"/>
    </row>
    <row r="24" spans="1:1" ht="54.75" customHeight="1" x14ac:dyDescent="0.25">
      <c r="A24" s="164" t="s">
        <v>363</v>
      </c>
    </row>
    <row r="25" spans="1:1" x14ac:dyDescent="0.25">
      <c r="A25" s="80"/>
    </row>
    <row r="26" spans="1:1" ht="15.75" customHeight="1" x14ac:dyDescent="0.25">
      <c r="A26" s="80"/>
    </row>
    <row r="27" spans="1:1" ht="69" customHeight="1" x14ac:dyDescent="0.25">
      <c r="A27" s="164" t="s">
        <v>364</v>
      </c>
    </row>
    <row r="28" spans="1:1" ht="15.75" customHeight="1" x14ac:dyDescent="0.25">
      <c r="A28" s="164"/>
    </row>
    <row r="29" spans="1:1" ht="15.75" customHeight="1" x14ac:dyDescent="0.25">
      <c r="A29" s="164"/>
    </row>
    <row r="30" spans="1:1" ht="87" customHeight="1" x14ac:dyDescent="0.25">
      <c r="A30" s="164" t="s">
        <v>766</v>
      </c>
    </row>
    <row r="31" spans="1:1" x14ac:dyDescent="0.25">
      <c r="A31" s="80"/>
    </row>
    <row r="32" spans="1:1" x14ac:dyDescent="0.25">
      <c r="A32" s="209"/>
    </row>
    <row r="33" spans="1:1" ht="47.25" customHeight="1" x14ac:dyDescent="0.25">
      <c r="A33" s="210" t="s">
        <v>365</v>
      </c>
    </row>
    <row r="34" spans="1:1" x14ac:dyDescent="0.25">
      <c r="A34" s="211"/>
    </row>
    <row r="35" spans="1:1" x14ac:dyDescent="0.25">
      <c r="A35" s="209"/>
    </row>
  </sheetData>
  <sheetProtection sheet="1"/>
  <pageMargins left="0.7" right="0.7" top="0.75" bottom="0.75" header="0.3" footer="0.3"/>
  <pageSetup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9</vt:i4>
      </vt:variant>
    </vt:vector>
  </HeadingPairs>
  <TitlesOfParts>
    <vt:vector size="40" baseType="lpstr">
      <vt:lpstr>instructions</vt:lpstr>
      <vt:lpstr>inputPrYr</vt:lpstr>
      <vt:lpstr>inputOth</vt:lpstr>
      <vt:lpstr>inputBudSum</vt:lpstr>
      <vt:lpstr>cert</vt:lpstr>
      <vt:lpstr>computation</vt:lpstr>
      <vt:lpstr>mvalloc</vt:lpstr>
      <vt:lpstr>transfer</vt:lpstr>
      <vt:lpstr>TransferStatutes</vt:lpstr>
      <vt:lpstr>debt-lease</vt:lpstr>
      <vt:lpstr>Library Grant</vt:lpstr>
      <vt:lpstr>gen</vt:lpstr>
      <vt:lpstr>DebtSvs-Library</vt:lpstr>
      <vt:lpstr>road</vt:lpstr>
      <vt:lpstr>levypage9</vt:lpstr>
      <vt:lpstr>levypage10</vt:lpstr>
      <vt:lpstr>levypage11</vt:lpstr>
      <vt:lpstr>nolevypage12</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'DebtSvs-Library'!Print_Area</vt:lpstr>
      <vt:lpstr>gen!Print_Area</vt:lpstr>
      <vt:lpstr>inputPrYr!Print_Area</vt:lpstr>
      <vt:lpstr>levypage10!Print_Area</vt:lpstr>
      <vt:lpstr>levypage11!Print_Area</vt:lpstr>
      <vt:lpstr>levypage9!Print_Area</vt:lpstr>
      <vt:lpstr>'Library Grant'!Print_Area</vt:lpstr>
      <vt:lpstr>road!Print_Area</vt:lpstr>
      <vt:lpstr>summ!Print_Area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vienna</cp:lastModifiedBy>
  <cp:lastPrinted>2012-07-10T15:47:20Z</cp:lastPrinted>
  <dcterms:created xsi:type="dcterms:W3CDTF">1998-08-26T16:30:41Z</dcterms:created>
  <dcterms:modified xsi:type="dcterms:W3CDTF">2012-12-05T17:00:48Z</dcterms:modified>
</cp:coreProperties>
</file>