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10" l="1"/>
  <c r="D8" i="10"/>
  <c r="D48" i="9"/>
  <c r="D8" i="9"/>
  <c r="D48" i="8"/>
  <c r="D8" i="8"/>
  <c r="D8" i="7"/>
  <c r="D48" i="35"/>
  <c r="D8" i="35"/>
  <c r="D8"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E14" i="34"/>
  <c r="B8" i="34"/>
  <c r="B7" i="34"/>
  <c r="B5" i="34"/>
  <c r="D60" i="35"/>
  <c r="D59" i="35" s="1"/>
  <c r="B5" i="35"/>
  <c r="E1" i="35"/>
  <c r="B1" i="35"/>
  <c r="D73" i="35"/>
  <c r="E20" i="12"/>
  <c r="C73" i="35"/>
  <c r="C20" i="12"/>
  <c r="C60" i="35"/>
  <c r="C61" i="35"/>
  <c r="C74" i="35" s="1"/>
  <c r="D33" i="35"/>
  <c r="E19" i="12" s="1"/>
  <c r="C33" i="35"/>
  <c r="C19" i="12" s="1"/>
  <c r="C20" i="35"/>
  <c r="C21" i="35" s="1"/>
  <c r="D20" i="35"/>
  <c r="D19" i="35" s="1"/>
  <c r="H79" i="35"/>
  <c r="B78" i="34"/>
  <c r="B89" i="34"/>
  <c r="B2" i="4"/>
  <c r="J148" i="32"/>
  <c r="H134" i="32"/>
  <c r="C137" i="32"/>
  <c r="J137" i="32" s="1"/>
  <c r="H120" i="32"/>
  <c r="C123" i="32" s="1"/>
  <c r="F117" i="32"/>
  <c r="H117" i="32" s="1"/>
  <c r="F123" i="32" s="1"/>
  <c r="H114" i="32"/>
  <c r="C103" i="32"/>
  <c r="H100" i="32"/>
  <c r="H94" i="32"/>
  <c r="F97" i="32" s="1"/>
  <c r="H97" i="32" s="1"/>
  <c r="F103" i="32" s="1"/>
  <c r="H80" i="32"/>
  <c r="C83" i="32" s="1"/>
  <c r="F77" i="32"/>
  <c r="H77" i="32" s="1"/>
  <c r="F83" i="32" s="1"/>
  <c r="H74" i="32"/>
  <c r="H48" i="32"/>
  <c r="F50" i="32" s="1"/>
  <c r="J50" i="32" s="1"/>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D39" i="10"/>
  <c r="D79" i="10"/>
  <c r="D39" i="9"/>
  <c r="D79" i="9"/>
  <c r="D39" i="8"/>
  <c r="D79" i="8"/>
  <c r="D49" i="7"/>
  <c r="D56" i="6"/>
  <c r="C75" i="10"/>
  <c r="D75" i="10"/>
  <c r="C35" i="10"/>
  <c r="D35" i="10"/>
  <c r="C75" i="9"/>
  <c r="D75" i="9"/>
  <c r="C35" i="9"/>
  <c r="D35" i="9"/>
  <c r="C75" i="8"/>
  <c r="D75" i="8"/>
  <c r="C35" i="8"/>
  <c r="D35" i="8"/>
  <c r="C45" i="7"/>
  <c r="D45" i="7"/>
  <c r="C52" i="6"/>
  <c r="D52" i="6"/>
  <c r="D26"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s="1"/>
  <c r="A1" i="24"/>
  <c r="J28" i="24"/>
  <c r="H28" i="24"/>
  <c r="F28" i="24"/>
  <c r="D28" i="24"/>
  <c r="B28" i="24"/>
  <c r="J17" i="24"/>
  <c r="J18" i="24" s="1"/>
  <c r="J29" i="24" s="1"/>
  <c r="H17" i="24"/>
  <c r="H18" i="24" s="1"/>
  <c r="H29" i="24" s="1"/>
  <c r="F17" i="24"/>
  <c r="F18" i="24" s="1"/>
  <c r="F29" i="24" s="1"/>
  <c r="D17" i="24"/>
  <c r="D18" i="24" s="1"/>
  <c r="D29" i="24" s="1"/>
  <c r="B17" i="24"/>
  <c r="B18" i="24" s="1"/>
  <c r="K7" i="24"/>
  <c r="E14" i="2"/>
  <c r="G15" i="2" s="1"/>
  <c r="D14" i="2"/>
  <c r="D14" i="4"/>
  <c r="D20" i="4"/>
  <c r="D19" i="4"/>
  <c r="D18" i="4"/>
  <c r="D17" i="4"/>
  <c r="D16" i="4"/>
  <c r="D15" i="4"/>
  <c r="D12" i="4"/>
  <c r="E12" i="21"/>
  <c r="D12" i="21"/>
  <c r="C12" i="21"/>
  <c r="D11" i="4"/>
  <c r="J6" i="14"/>
  <c r="A26" i="2"/>
  <c r="D43" i="7"/>
  <c r="C43" i="7"/>
  <c r="C74" i="7" s="1"/>
  <c r="D23" i="7"/>
  <c r="E13" i="7"/>
  <c r="C26" i="6"/>
  <c r="C27" i="6" s="1"/>
  <c r="C44" i="6"/>
  <c r="E13" i="6"/>
  <c r="E14" i="6"/>
  <c r="E26" i="2"/>
  <c r="G23" i="4"/>
  <c r="I25" i="4"/>
  <c r="J27" i="4"/>
  <c r="D20" i="10"/>
  <c r="C20" i="10"/>
  <c r="C33" i="10"/>
  <c r="G38" i="10" s="1"/>
  <c r="D33" i="10"/>
  <c r="D60" i="10"/>
  <c r="C60" i="10"/>
  <c r="C61" i="10"/>
  <c r="C73" i="10"/>
  <c r="G78" i="10"/>
  <c r="D73" i="10"/>
  <c r="D72" i="10"/>
  <c r="D20" i="9"/>
  <c r="C20" i="9"/>
  <c r="C33" i="9"/>
  <c r="G38" i="9" s="1"/>
  <c r="D33" i="9"/>
  <c r="C73" i="9"/>
  <c r="G78" i="9"/>
  <c r="C60" i="9"/>
  <c r="C59" i="9"/>
  <c r="D60" i="9"/>
  <c r="D73" i="9"/>
  <c r="D60" i="8"/>
  <c r="C20" i="8"/>
  <c r="C21" i="8"/>
  <c r="C33" i="8"/>
  <c r="D20" i="8"/>
  <c r="D33" i="8"/>
  <c r="C73" i="8"/>
  <c r="C60" i="8"/>
  <c r="D11" i="21"/>
  <c r="E13" i="21"/>
  <c r="D13" i="21"/>
  <c r="D27" i="21"/>
  <c r="D29" i="21" s="1"/>
  <c r="E33" i="12" s="1"/>
  <c r="C13" i="21"/>
  <c r="C11" i="21"/>
  <c r="C23" i="7"/>
  <c r="C24" i="7" s="1"/>
  <c r="D73" i="8"/>
  <c r="D72" i="8"/>
  <c r="E1" i="10"/>
  <c r="H38" i="10"/>
  <c r="B35" i="10"/>
  <c r="E1" i="9"/>
  <c r="C40" i="9" s="1"/>
  <c r="E1" i="8"/>
  <c r="H38" i="8" s="1"/>
  <c r="C80" i="8"/>
  <c r="E1" i="7"/>
  <c r="H55" i="7" s="1"/>
  <c r="E1" i="6"/>
  <c r="H62" i="6" s="1"/>
  <c r="D28" i="17"/>
  <c r="C28" i="17"/>
  <c r="C27" i="17" s="1"/>
  <c r="D59" i="17"/>
  <c r="E29" i="12" s="1"/>
  <c r="C59" i="17"/>
  <c r="E1" i="17"/>
  <c r="B30" i="17" s="1"/>
  <c r="C30" i="17"/>
  <c r="D61" i="17"/>
  <c r="C61" i="17"/>
  <c r="D30" i="17"/>
  <c r="D31" i="17" s="1"/>
  <c r="D31" i="2"/>
  <c r="A31" i="2"/>
  <c r="A55" i="2"/>
  <c r="A54" i="2"/>
  <c r="D40" i="2"/>
  <c r="G11" i="14"/>
  <c r="E14" i="14"/>
  <c r="E15" i="14"/>
  <c r="G18" i="14"/>
  <c r="E22" i="14"/>
  <c r="E1" i="20"/>
  <c r="A39" i="20"/>
  <c r="D37" i="3"/>
  <c r="D38" i="3"/>
  <c r="D6" i="22"/>
  <c r="E6" i="22"/>
  <c r="D7" i="22"/>
  <c r="E7" i="22"/>
  <c r="E30" i="35" s="1"/>
  <c r="D14" i="22"/>
  <c r="E14" i="22"/>
  <c r="E30" i="10" s="1"/>
  <c r="E33" i="10" s="1"/>
  <c r="D15" i="22"/>
  <c r="E15" i="22"/>
  <c r="E70" i="10"/>
  <c r="E73" i="10" s="1"/>
  <c r="D9" i="22"/>
  <c r="E9" i="22"/>
  <c r="D10" i="22"/>
  <c r="E10" i="22"/>
  <c r="E30" i="8" s="1"/>
  <c r="E33" i="8" s="1"/>
  <c r="D11" i="22"/>
  <c r="E11" i="22"/>
  <c r="E70" i="8"/>
  <c r="E73" i="8" s="1"/>
  <c r="D12" i="22"/>
  <c r="E12" i="22"/>
  <c r="E30" i="9" s="1"/>
  <c r="E33" i="9" s="1"/>
  <c r="D13" i="22"/>
  <c r="E13" i="22"/>
  <c r="E70" i="9"/>
  <c r="E73" i="9" s="1"/>
  <c r="J1" i="14"/>
  <c r="D21" i="22"/>
  <c r="D23" i="22"/>
  <c r="D25" i="22"/>
  <c r="E46" i="17"/>
  <c r="E45" i="17"/>
  <c r="D46" i="17"/>
  <c r="D45" i="17"/>
  <c r="C46" i="17"/>
  <c r="C45" i="17"/>
  <c r="E59" i="17"/>
  <c r="E58" i="17"/>
  <c r="C25" i="6"/>
  <c r="D32" i="8"/>
  <c r="C32" i="9"/>
  <c r="C72" i="10"/>
  <c r="C59" i="10"/>
  <c r="C32" i="10"/>
  <c r="E28" i="17"/>
  <c r="E15" i="17"/>
  <c r="E14" i="17" s="1"/>
  <c r="D15" i="17"/>
  <c r="D14" i="17" s="1"/>
  <c r="C15" i="17"/>
  <c r="C14" i="17" s="1"/>
  <c r="F1" i="22"/>
  <c r="A1" i="22"/>
  <c r="B15" i="22"/>
  <c r="B14" i="22"/>
  <c r="B13" i="22"/>
  <c r="B12" i="22"/>
  <c r="B11" i="22"/>
  <c r="B10" i="22"/>
  <c r="B9" i="22"/>
  <c r="B7" i="22"/>
  <c r="B6" i="22"/>
  <c r="C16" i="22"/>
  <c r="E16" i="4"/>
  <c r="C47" i="17"/>
  <c r="C60" i="17" s="1"/>
  <c r="A57" i="20"/>
  <c r="A56" i="20"/>
  <c r="A55" i="20"/>
  <c r="A54" i="20"/>
  <c r="A53" i="20"/>
  <c r="A52" i="20"/>
  <c r="A51" i="20"/>
  <c r="A50" i="20"/>
  <c r="A49" i="20"/>
  <c r="A47" i="20"/>
  <c r="A46" i="20"/>
  <c r="E12" i="4"/>
  <c r="E14" i="4"/>
  <c r="E15" i="4"/>
  <c r="E17" i="4"/>
  <c r="E18" i="4"/>
  <c r="E19" i="4"/>
  <c r="E20" i="4"/>
  <c r="E11" i="4"/>
  <c r="J1" i="4"/>
  <c r="G37" i="12"/>
  <c r="G27" i="34" s="1"/>
  <c r="G29" i="12"/>
  <c r="E28" i="12"/>
  <c r="D27" i="20"/>
  <c r="F27" i="12"/>
  <c r="G84" i="10" s="1"/>
  <c r="F26" i="12"/>
  <c r="G44" i="10" s="1"/>
  <c r="F25" i="12"/>
  <c r="G84" i="9" s="1"/>
  <c r="F24" i="12"/>
  <c r="G44" i="9" s="1"/>
  <c r="F23" i="12"/>
  <c r="G84" i="8" s="1"/>
  <c r="F22" i="12"/>
  <c r="G44" i="8" s="1"/>
  <c r="F21" i="12"/>
  <c r="G54" i="7" s="1"/>
  <c r="F19" i="12"/>
  <c r="G44" i="35" s="1"/>
  <c r="F18" i="12"/>
  <c r="G61" i="6" s="1"/>
  <c r="C37" i="12"/>
  <c r="A26" i="20"/>
  <c r="A25" i="20"/>
  <c r="A24" i="20"/>
  <c r="A23" i="20"/>
  <c r="A22" i="20"/>
  <c r="A21" i="20"/>
  <c r="A20" i="20"/>
  <c r="A18" i="20"/>
  <c r="A17" i="20"/>
  <c r="H25" i="4"/>
  <c r="F15" i="13"/>
  <c r="G41" i="12"/>
  <c r="F1" i="21"/>
  <c r="D9" i="21"/>
  <c r="A2" i="21"/>
  <c r="E37" i="12"/>
  <c r="E27" i="34" s="1"/>
  <c r="H1" i="3"/>
  <c r="A52" i="2"/>
  <c r="E42" i="12"/>
  <c r="E41" i="12"/>
  <c r="C42" i="12"/>
  <c r="C43" i="12"/>
  <c r="C41" i="12"/>
  <c r="E40" i="12"/>
  <c r="C40" i="12"/>
  <c r="E58" i="2"/>
  <c r="D58" i="2"/>
  <c r="A8" i="20"/>
  <c r="A2" i="20"/>
  <c r="A1" i="20"/>
  <c r="A41" i="2"/>
  <c r="A13" i="2"/>
  <c r="A7" i="16"/>
  <c r="A11" i="16"/>
  <c r="A26" i="16"/>
  <c r="A30" i="16"/>
  <c r="F11" i="13"/>
  <c r="G40" i="12"/>
  <c r="G43" i="12" s="1"/>
  <c r="L15" i="13"/>
  <c r="K15" i="13"/>
  <c r="J15" i="13"/>
  <c r="I15" i="13"/>
  <c r="L11" i="13"/>
  <c r="L16" i="13" s="1"/>
  <c r="K11" i="13"/>
  <c r="K16" i="13" s="1"/>
  <c r="J11" i="13"/>
  <c r="J16" i="13" s="1"/>
  <c r="I11" i="13"/>
  <c r="I16" i="13"/>
  <c r="I1" i="12"/>
  <c r="K43" i="12" s="1"/>
  <c r="D19" i="12"/>
  <c r="B12" i="4"/>
  <c r="L1" i="13"/>
  <c r="G23" i="13" s="1"/>
  <c r="B43" i="2"/>
  <c r="C22" i="3"/>
  <c r="B3" i="3"/>
  <c r="A36" i="14"/>
  <c r="B22" i="14"/>
  <c r="C14" i="14"/>
  <c r="B6" i="14"/>
  <c r="A3" i="14"/>
  <c r="D33" i="16"/>
  <c r="A21" i="16"/>
  <c r="A6" i="16"/>
  <c r="C28"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32" i="12" s="1"/>
  <c r="D18" i="12"/>
  <c r="C35" i="12"/>
  <c r="B18" i="12"/>
  <c r="B6" i="12"/>
  <c r="B5" i="12"/>
  <c r="C24" i="12"/>
  <c r="E27" i="12"/>
  <c r="C27" i="12"/>
  <c r="C26" i="12"/>
  <c r="E26" i="12"/>
  <c r="E23" i="12"/>
  <c r="C22" i="12"/>
  <c r="E22" i="12"/>
  <c r="B1" i="8"/>
  <c r="B45" i="8"/>
  <c r="B5" i="8"/>
  <c r="B45" i="9"/>
  <c r="B5" i="9"/>
  <c r="B1" i="9"/>
  <c r="B45" i="10"/>
  <c r="B5" i="10"/>
  <c r="B1" i="10"/>
  <c r="A11" i="20"/>
  <c r="B44" i="20"/>
  <c r="A12" i="20"/>
  <c r="A6" i="20"/>
  <c r="A29" i="20"/>
  <c r="A10" i="20"/>
  <c r="A7" i="20"/>
  <c r="A15" i="20"/>
  <c r="B61" i="17"/>
  <c r="C40" i="10"/>
  <c r="B75" i="10"/>
  <c r="C61" i="8"/>
  <c r="C74" i="8" s="1"/>
  <c r="C59" i="8"/>
  <c r="E35" i="12"/>
  <c r="J5" i="14"/>
  <c r="J7" i="14" s="1"/>
  <c r="C40" i="8"/>
  <c r="B75" i="8"/>
  <c r="C27" i="21"/>
  <c r="C29" i="21" s="1"/>
  <c r="C33" i="12" s="1"/>
  <c r="C61" i="9"/>
  <c r="C74" i="9"/>
  <c r="D32" i="10"/>
  <c r="B8" i="3"/>
  <c r="I6" i="13"/>
  <c r="I23" i="13"/>
  <c r="F16" i="13"/>
  <c r="A31" i="20"/>
  <c r="A13" i="20"/>
  <c r="C44" i="20"/>
  <c r="A9" i="20"/>
  <c r="C80" i="10"/>
  <c r="E14" i="12"/>
  <c r="G39" i="12"/>
  <c r="E9" i="21"/>
  <c r="B35" i="8"/>
  <c r="B45" i="7"/>
  <c r="B52" i="6"/>
  <c r="F7" i="13"/>
  <c r="C9" i="21"/>
  <c r="B3" i="22"/>
  <c r="B13" i="14"/>
  <c r="K6" i="13"/>
  <c r="B35" i="9"/>
  <c r="E32" i="3"/>
  <c r="J30" i="24"/>
  <c r="H30" i="24"/>
  <c r="F30" i="24"/>
  <c r="D30" i="24"/>
  <c r="K28" i="24"/>
  <c r="C30" i="12"/>
  <c r="H23" i="13"/>
  <c r="E39" i="12"/>
  <c r="B11" i="12"/>
  <c r="B29" i="24"/>
  <c r="B30" i="24" s="1"/>
  <c r="K18" i="24"/>
  <c r="K17" i="24"/>
  <c r="D58" i="17"/>
  <c r="E31" i="3"/>
  <c r="D27" i="17"/>
  <c r="C25" i="12"/>
  <c r="D42" i="7"/>
  <c r="C5" i="22"/>
  <c r="F12" i="21"/>
  <c r="E11" i="21"/>
  <c r="E27" i="21"/>
  <c r="E29" i="21" s="1"/>
  <c r="G33" i="12" s="1"/>
  <c r="D44" i="6"/>
  <c r="D62" i="17"/>
  <c r="C62" i="17"/>
  <c r="C31" i="17"/>
  <c r="C63" i="17"/>
  <c r="D37" i="17"/>
  <c r="D47" i="17"/>
  <c r="D60" i="17" s="1"/>
  <c r="C72" i="9"/>
  <c r="C80" i="9"/>
  <c r="F11" i="21"/>
  <c r="D94" i="10"/>
  <c r="C94" i="10"/>
  <c r="D92" i="10"/>
  <c r="C92" i="10"/>
  <c r="B37" i="10" s="1"/>
  <c r="D94" i="9"/>
  <c r="C94" i="9"/>
  <c r="D92" i="9"/>
  <c r="C92" i="9"/>
  <c r="B37" i="9" s="1"/>
  <c r="D94" i="8"/>
  <c r="C94" i="8"/>
  <c r="D92" i="8"/>
  <c r="C92" i="8"/>
  <c r="C21" i="12"/>
  <c r="C42" i="7"/>
  <c r="D74" i="7"/>
  <c r="D21" i="4"/>
  <c r="G13" i="4"/>
  <c r="E50" i="35" s="1"/>
  <c r="G17" i="34" s="1"/>
  <c r="C22" i="7"/>
  <c r="G18" i="4"/>
  <c r="E50" i="9" s="1"/>
  <c r="G20" i="4"/>
  <c r="E50" i="10" s="1"/>
  <c r="G19" i="4"/>
  <c r="E10" i="10" s="1"/>
  <c r="G15" i="4"/>
  <c r="E10" i="8" s="1"/>
  <c r="G17" i="4"/>
  <c r="E10" i="9" s="1"/>
  <c r="G16" i="4"/>
  <c r="E50" i="8" s="1"/>
  <c r="C39" i="12"/>
  <c r="C57" i="6"/>
  <c r="C50" i="7"/>
  <c r="K27" i="12"/>
  <c r="K40" i="12"/>
  <c r="K28" i="12"/>
  <c r="K32" i="12"/>
  <c r="K41" i="12"/>
  <c r="K29" i="24"/>
  <c r="C63" i="7"/>
  <c r="C65" i="7" s="1"/>
  <c r="K30" i="24"/>
  <c r="A43" i="20"/>
  <c r="D58" i="7"/>
  <c r="C51" i="3"/>
  <c r="D25" i="6"/>
  <c r="G22" i="31"/>
  <c r="G20" i="31" s="1"/>
  <c r="G24" i="31"/>
  <c r="B15" i="3"/>
  <c r="B9" i="3"/>
  <c r="E21" i="4"/>
  <c r="D19" i="10"/>
  <c r="B77" i="9"/>
  <c r="D16" i="22"/>
  <c r="G16" i="14"/>
  <c r="G20" i="14" s="1"/>
  <c r="C95" i="35"/>
  <c r="D59" i="10"/>
  <c r="B32" i="21"/>
  <c r="E15" i="34"/>
  <c r="D59" i="8"/>
  <c r="D19" i="9"/>
  <c r="D19" i="8"/>
  <c r="D59" i="9"/>
  <c r="D22" i="7"/>
  <c r="C93" i="35"/>
  <c r="D5" i="35"/>
  <c r="C19" i="35"/>
  <c r="C32" i="35"/>
  <c r="B35" i="35"/>
  <c r="H35" i="35"/>
  <c r="H36" i="35"/>
  <c r="H38" i="35"/>
  <c r="H39" i="35"/>
  <c r="H43" i="35"/>
  <c r="H44" i="35"/>
  <c r="C45" i="35"/>
  <c r="E45" i="35"/>
  <c r="H45" i="35"/>
  <c r="H46" i="35"/>
  <c r="G64" i="35"/>
  <c r="G68" i="35"/>
  <c r="G71" i="35"/>
  <c r="D72" i="35"/>
  <c r="H73" i="35"/>
  <c r="H74" i="35"/>
  <c r="G78" i="35"/>
  <c r="C80" i="35"/>
  <c r="H83" i="35"/>
  <c r="H84" i="35"/>
  <c r="H85" i="35"/>
  <c r="H86" i="35"/>
  <c r="C5" i="35"/>
  <c r="E5" i="35"/>
  <c r="G24" i="35"/>
  <c r="G28" i="35"/>
  <c r="G31" i="35"/>
  <c r="H33" i="35"/>
  <c r="H34" i="35"/>
  <c r="G38" i="35"/>
  <c r="C40" i="35"/>
  <c r="D45" i="35"/>
  <c r="B75" i="35"/>
  <c r="H75" i="35"/>
  <c r="H76" i="35"/>
  <c r="H78" i="35"/>
  <c r="B47" i="34"/>
  <c r="B84" i="34"/>
  <c r="B91" i="34"/>
  <c r="B46" i="34"/>
  <c r="H32" i="4"/>
  <c r="J34" i="4"/>
  <c r="J14" i="4" s="1"/>
  <c r="J19" i="4"/>
  <c r="E12" i="10" s="1"/>
  <c r="G9" i="4"/>
  <c r="D10" i="4"/>
  <c r="I32" i="4"/>
  <c r="I13" i="4"/>
  <c r="J83" i="32"/>
  <c r="J123" i="32"/>
  <c r="J103" i="32"/>
  <c r="I19" i="4"/>
  <c r="E11" i="10" s="1"/>
  <c r="I20" i="4"/>
  <c r="E51" i="10" s="1"/>
  <c r="I17" i="4"/>
  <c r="E11" i="9" s="1"/>
  <c r="I18" i="4"/>
  <c r="E51" i="9" s="1"/>
  <c r="I15" i="4"/>
  <c r="E11" i="8" s="1"/>
  <c r="I16" i="4"/>
  <c r="E51" i="8" s="1"/>
  <c r="I12" i="4"/>
  <c r="E11" i="35" s="1"/>
  <c r="I14" i="4"/>
  <c r="E11" i="7" s="1"/>
  <c r="B5" i="22"/>
  <c r="D5" i="6"/>
  <c r="G41" i="6"/>
  <c r="G48" i="6"/>
  <c r="H51" i="6"/>
  <c r="H53" i="6"/>
  <c r="H56" i="6"/>
  <c r="H61" i="6"/>
  <c r="H63" i="6"/>
  <c r="G38" i="7"/>
  <c r="H43" i="7"/>
  <c r="H45" i="7"/>
  <c r="H48" i="7"/>
  <c r="H53" i="7"/>
  <c r="H56" i="7"/>
  <c r="G24" i="8"/>
  <c r="G31" i="8"/>
  <c r="H34" i="8"/>
  <c r="H36" i="8"/>
  <c r="H43" i="8"/>
  <c r="H45" i="8"/>
  <c r="G64" i="8"/>
  <c r="G71" i="8"/>
  <c r="H74" i="8"/>
  <c r="H76" i="8"/>
  <c r="H79" i="8"/>
  <c r="H84" i="8"/>
  <c r="H86" i="8"/>
  <c r="G28" i="9"/>
  <c r="H33" i="9"/>
  <c r="H35" i="9"/>
  <c r="H39" i="9"/>
  <c r="H44" i="9"/>
  <c r="H46" i="9"/>
  <c r="G68" i="9"/>
  <c r="H73" i="9"/>
  <c r="H75" i="9"/>
  <c r="H78" i="9"/>
  <c r="H83" i="9"/>
  <c r="H85" i="9"/>
  <c r="G24" i="10"/>
  <c r="G31" i="10"/>
  <c r="H34" i="10"/>
  <c r="H36" i="10"/>
  <c r="H43" i="10"/>
  <c r="H45" i="10"/>
  <c r="G64" i="10"/>
  <c r="G71" i="10"/>
  <c r="H74" i="10"/>
  <c r="H76" i="10"/>
  <c r="H79" i="10"/>
  <c r="H84" i="10"/>
  <c r="H86" i="10"/>
  <c r="H38" i="9"/>
  <c r="C5" i="6"/>
  <c r="E5" i="6"/>
  <c r="G45" i="6"/>
  <c r="H50" i="6"/>
  <c r="H52" i="6"/>
  <c r="H55" i="6"/>
  <c r="H60" i="6"/>
  <c r="G34" i="7"/>
  <c r="G41" i="7"/>
  <c r="H44" i="7"/>
  <c r="H46" i="7"/>
  <c r="H49" i="7"/>
  <c r="H54" i="7"/>
  <c r="G28" i="8"/>
  <c r="H33" i="8"/>
  <c r="H35" i="8"/>
  <c r="H39" i="8"/>
  <c r="H44" i="8"/>
  <c r="H46" i="8"/>
  <c r="G68" i="8"/>
  <c r="H73" i="8"/>
  <c r="H75" i="8"/>
  <c r="H78" i="8"/>
  <c r="H83" i="8"/>
  <c r="H85" i="8"/>
  <c r="G24" i="9"/>
  <c r="G31" i="9"/>
  <c r="H34" i="9"/>
  <c r="H36" i="9"/>
  <c r="H43" i="9"/>
  <c r="H45" i="9"/>
  <c r="G64" i="9"/>
  <c r="G71" i="9"/>
  <c r="H74" i="9"/>
  <c r="H76" i="9"/>
  <c r="H79" i="9"/>
  <c r="H84" i="9"/>
  <c r="G28" i="10"/>
  <c r="H33" i="10"/>
  <c r="H35" i="10"/>
  <c r="H39" i="10"/>
  <c r="H44" i="10"/>
  <c r="H46" i="10"/>
  <c r="G68" i="10"/>
  <c r="H73" i="10"/>
  <c r="H75" i="10"/>
  <c r="H78" i="10"/>
  <c r="H83" i="10"/>
  <c r="H85" i="10"/>
  <c r="G12" i="4"/>
  <c r="E10" i="35" s="1"/>
  <c r="B37" i="8"/>
  <c r="B77" i="8"/>
  <c r="E43" i="12"/>
  <c r="E28" i="34"/>
  <c r="E51" i="35"/>
  <c r="G18" i="34" s="1"/>
  <c r="I11" i="4"/>
  <c r="E11" i="6" s="1"/>
  <c r="J13" i="4"/>
  <c r="E52" i="35" s="1"/>
  <c r="G19" i="34" s="1"/>
  <c r="J12" i="4"/>
  <c r="E12" i="35" s="1"/>
  <c r="J16" i="4"/>
  <c r="E52" i="8" s="1"/>
  <c r="J15" i="4"/>
  <c r="E12" i="8" s="1"/>
  <c r="J18" i="4"/>
  <c r="E52" i="9" s="1"/>
  <c r="J17" i="4"/>
  <c r="E12" i="9" s="1"/>
  <c r="J20" i="4"/>
  <c r="E52" i="10" s="1"/>
  <c r="C34" i="35"/>
  <c r="D32" i="35"/>
  <c r="D93" i="35"/>
  <c r="B37" i="35" s="1"/>
  <c r="C72" i="35"/>
  <c r="G48" i="7"/>
  <c r="C19" i="8"/>
  <c r="C74" i="10"/>
  <c r="E22" i="34"/>
  <c r="E33" i="35"/>
  <c r="E37" i="35" s="1"/>
  <c r="E70" i="35"/>
  <c r="E77" i="10"/>
  <c r="E72" i="10"/>
  <c r="F76" i="10"/>
  <c r="E30" i="3"/>
  <c r="G27" i="12"/>
  <c r="F76" i="9"/>
  <c r="E72" i="9"/>
  <c r="E77" i="9"/>
  <c r="E28" i="3"/>
  <c r="G25" i="12"/>
  <c r="E72" i="8"/>
  <c r="F76" i="8"/>
  <c r="E77" i="8"/>
  <c r="G23" i="12"/>
  <c r="E26" i="3"/>
  <c r="E73" i="35"/>
  <c r="G20" i="12" s="1"/>
  <c r="E40" i="7"/>
  <c r="E43" i="7"/>
  <c r="E47" i="7" s="1"/>
  <c r="G19" i="12"/>
  <c r="E22" i="3"/>
  <c r="E47" i="6"/>
  <c r="E50" i="6" s="1"/>
  <c r="E49" i="6" s="1"/>
  <c r="E16" i="22"/>
  <c r="F32" i="12"/>
  <c r="G86" i="35" s="1"/>
  <c r="K35" i="12"/>
  <c r="K25" i="12"/>
  <c r="K42" i="12"/>
  <c r="K34" i="12"/>
  <c r="K21" i="12"/>
  <c r="N42" i="12"/>
  <c r="G14" i="12"/>
  <c r="C14" i="12"/>
  <c r="H15" i="12"/>
  <c r="B12" i="12"/>
  <c r="N23" i="12"/>
  <c r="G84" i="35"/>
  <c r="D46" i="10"/>
  <c r="D61" i="10" s="1"/>
  <c r="D74" i="10" s="1"/>
  <c r="C95" i="10"/>
  <c r="D46" i="9"/>
  <c r="D61" i="9"/>
  <c r="D74" i="9" s="1"/>
  <c r="G73" i="9" s="1"/>
  <c r="C95" i="9"/>
  <c r="C95" i="8"/>
  <c r="D46" i="8"/>
  <c r="D61" i="8"/>
  <c r="D74" i="8" s="1"/>
  <c r="E46" i="8" s="1"/>
  <c r="D95" i="8"/>
  <c r="D95" i="35"/>
  <c r="B77" i="35"/>
  <c r="D46" i="35"/>
  <c r="D61" i="35"/>
  <c r="D74" i="35" s="1"/>
  <c r="D96" i="35"/>
  <c r="C96" i="35"/>
  <c r="C59" i="35"/>
  <c r="D6" i="35"/>
  <c r="D21" i="35" s="1"/>
  <c r="D34" i="35" s="1"/>
  <c r="C94" i="35"/>
  <c r="C5" i="7"/>
  <c r="C5" i="17"/>
  <c r="C36" i="17" s="1"/>
  <c r="C5" i="10"/>
  <c r="C45" i="10" s="1"/>
  <c r="C5" i="9"/>
  <c r="C45" i="9" s="1"/>
  <c r="C5" i="8"/>
  <c r="C45" i="8" s="1"/>
  <c r="E5" i="7"/>
  <c r="E5" i="17"/>
  <c r="E36" i="17" s="1"/>
  <c r="E5" i="10"/>
  <c r="E45" i="10" s="1"/>
  <c r="E5" i="9"/>
  <c r="E45" i="9" s="1"/>
  <c r="E5" i="8"/>
  <c r="E45" i="8" s="1"/>
  <c r="D5" i="17"/>
  <c r="D36" i="17" s="1"/>
  <c r="D5" i="8"/>
  <c r="D45" i="8" s="1"/>
  <c r="D5" i="10"/>
  <c r="D45" i="10" s="1"/>
  <c r="D5" i="7"/>
  <c r="D5" i="9"/>
  <c r="D45" i="9"/>
  <c r="I21" i="4"/>
  <c r="E46" i="35"/>
  <c r="G73" i="35"/>
  <c r="E39" i="10"/>
  <c r="E46" i="9"/>
  <c r="E39" i="9"/>
  <c r="E39" i="35"/>
  <c r="E77" i="35"/>
  <c r="E23" i="3"/>
  <c r="E24" i="3"/>
  <c r="G21" i="12"/>
  <c r="F46" i="7"/>
  <c r="G46" i="35"/>
  <c r="G86" i="10"/>
  <c r="G46" i="9"/>
  <c r="G86" i="8"/>
  <c r="G63" i="6"/>
  <c r="G46" i="10"/>
  <c r="G86" i="9"/>
  <c r="G46" i="8"/>
  <c r="G56" i="7"/>
  <c r="N27" i="12"/>
  <c r="N35" i="12" s="1"/>
  <c r="G73" i="8"/>
  <c r="E79" i="10"/>
  <c r="E79" i="9"/>
  <c r="E79" i="8"/>
  <c r="E39" i="8"/>
  <c r="J27" i="9"/>
  <c r="J28" i="9"/>
  <c r="J29" i="9"/>
  <c r="J68" i="35"/>
  <c r="J69" i="35"/>
  <c r="J67" i="35"/>
  <c r="J28" i="35"/>
  <c r="J29" i="35"/>
  <c r="J27" i="35"/>
  <c r="J28" i="8"/>
  <c r="J29" i="8"/>
  <c r="J68" i="9"/>
  <c r="J69" i="9"/>
  <c r="J27" i="10"/>
  <c r="J28" i="10"/>
  <c r="J29" i="10"/>
  <c r="J67" i="9"/>
  <c r="J27" i="8"/>
  <c r="E49" i="7"/>
  <c r="J45" i="6"/>
  <c r="J46" i="6"/>
  <c r="E56" i="6"/>
  <c r="J68" i="10"/>
  <c r="J69" i="10"/>
  <c r="J67" i="10"/>
  <c r="J68" i="8"/>
  <c r="J69" i="8"/>
  <c r="J67" i="8"/>
  <c r="N43" i="12"/>
  <c r="J44" i="6"/>
  <c r="J38" i="7"/>
  <c r="J39" i="7"/>
  <c r="J37" i="7"/>
  <c r="G19" i="31"/>
  <c r="D9" i="31" l="1"/>
  <c r="E21" i="3"/>
  <c r="F36" i="8"/>
  <c r="E32" i="8"/>
  <c r="E37" i="8"/>
  <c r="E25" i="3"/>
  <c r="G22" i="12"/>
  <c r="F36" i="9"/>
  <c r="G24" i="12"/>
  <c r="E32" i="9"/>
  <c r="E27" i="3"/>
  <c r="E37" i="9"/>
  <c r="F36" i="10"/>
  <c r="G26" i="12"/>
  <c r="E29" i="3"/>
  <c r="E37" i="10"/>
  <c r="E32" i="10"/>
  <c r="B47" i="7"/>
  <c r="F13" i="21"/>
  <c r="C39" i="7"/>
  <c r="C44" i="7"/>
  <c r="C46" i="6"/>
  <c r="C50" i="6" s="1"/>
  <c r="C51" i="6" s="1"/>
  <c r="E12" i="7"/>
  <c r="J11" i="4"/>
  <c r="G30" i="4"/>
  <c r="G14" i="4" s="1"/>
  <c r="E10" i="7" s="1"/>
  <c r="E23" i="7" s="1"/>
  <c r="G44" i="7" s="1"/>
  <c r="G11" i="4"/>
  <c r="G33" i="35"/>
  <c r="D94" i="35"/>
  <c r="E6" i="35"/>
  <c r="D95" i="10"/>
  <c r="G73" i="10"/>
  <c r="E46" i="10"/>
  <c r="B38" i="35"/>
  <c r="E20" i="9"/>
  <c r="E20" i="10"/>
  <c r="E60" i="9"/>
  <c r="B78" i="35"/>
  <c r="B78" i="8"/>
  <c r="D95" i="9"/>
  <c r="B78" i="9" s="1"/>
  <c r="G18" i="12"/>
  <c r="E54" i="6"/>
  <c r="F53" i="6"/>
  <c r="E60" i="35"/>
  <c r="E20" i="35"/>
  <c r="G24" i="14"/>
  <c r="G26" i="14" s="1"/>
  <c r="J28" i="14" s="1"/>
  <c r="J30" i="14" s="1"/>
  <c r="E60" i="8"/>
  <c r="E20" i="8"/>
  <c r="E60" i="10"/>
  <c r="E37" i="17"/>
  <c r="E47" i="17" s="1"/>
  <c r="E60" i="17" s="1"/>
  <c r="E61" i="17" s="1"/>
  <c r="D63" i="17"/>
  <c r="E42" i="7"/>
  <c r="F76" i="35"/>
  <c r="E72" i="35"/>
  <c r="E32" i="35"/>
  <c r="F36" i="35"/>
  <c r="C41" i="3"/>
  <c r="E11" i="3"/>
  <c r="F12" i="3"/>
  <c r="C16" i="17"/>
  <c r="C29" i="17" s="1"/>
  <c r="A29" i="22"/>
  <c r="E5" i="22"/>
  <c r="D5" i="22"/>
  <c r="A19" i="22"/>
  <c r="E27" i="17"/>
  <c r="G28" i="12"/>
  <c r="B18" i="14"/>
  <c r="B32" i="14"/>
  <c r="C15" i="14"/>
  <c r="B9" i="14"/>
  <c r="B5" i="14"/>
  <c r="B11" i="14"/>
  <c r="G38" i="8"/>
  <c r="C32" i="8"/>
  <c r="D72" i="9"/>
  <c r="E25" i="12"/>
  <c r="E24" i="12"/>
  <c r="D32" i="9"/>
  <c r="C21" i="9"/>
  <c r="C34" i="9" s="1"/>
  <c r="C19" i="9"/>
  <c r="B10" i="4"/>
  <c r="E9" i="4"/>
  <c r="C29" i="12"/>
  <c r="C58" i="17"/>
  <c r="C54" i="7"/>
  <c r="H86" i="9"/>
  <c r="B75" i="9"/>
  <c r="G78" i="8"/>
  <c r="C72" i="8"/>
  <c r="C23" i="12"/>
  <c r="C34" i="8"/>
  <c r="C21" i="10"/>
  <c r="C34" i="10" s="1"/>
  <c r="C19" i="10"/>
  <c r="E35" i="3" l="1"/>
  <c r="D6" i="7"/>
  <c r="D24" i="7" s="1"/>
  <c r="C75" i="7"/>
  <c r="C73" i="6"/>
  <c r="D6" i="6"/>
  <c r="D27" i="6" s="1"/>
  <c r="G55" i="6"/>
  <c r="C49" i="6"/>
  <c r="C72" i="6"/>
  <c r="C18" i="12"/>
  <c r="C32" i="12" s="1"/>
  <c r="C34" i="12" s="1"/>
  <c r="E12" i="6"/>
  <c r="J21" i="4"/>
  <c r="G21" i="4"/>
  <c r="E10" i="6"/>
  <c r="D6" i="10"/>
  <c r="D21" i="10" s="1"/>
  <c r="D34" i="10" s="1"/>
  <c r="C93" i="10"/>
  <c r="D6" i="9"/>
  <c r="D21" i="9" s="1"/>
  <c r="D34" i="9" s="1"/>
  <c r="C93" i="9"/>
  <c r="G74" i="10"/>
  <c r="E61" i="10"/>
  <c r="E78" i="10" s="1"/>
  <c r="E80" i="10" s="1"/>
  <c r="G74" i="8"/>
  <c r="E61" i="8"/>
  <c r="E78" i="8" s="1"/>
  <c r="E80" i="8" s="1"/>
  <c r="G74" i="35"/>
  <c r="E59" i="35"/>
  <c r="G74" i="9"/>
  <c r="E61" i="9"/>
  <c r="E78" i="9" s="1"/>
  <c r="E80" i="9" s="1"/>
  <c r="G34" i="9"/>
  <c r="E21" i="35"/>
  <c r="E38" i="35" s="1"/>
  <c r="E40" i="35" s="1"/>
  <c r="D6" i="8"/>
  <c r="D21" i="8" s="1"/>
  <c r="D34" i="8" s="1"/>
  <c r="C93" i="8"/>
  <c r="D6" i="17"/>
  <c r="D16" i="17" s="1"/>
  <c r="D29" i="17" s="1"/>
  <c r="C32" i="17"/>
  <c r="G34" i="8"/>
  <c r="E19" i="35"/>
  <c r="G34" i="35"/>
  <c r="G32" i="12"/>
  <c r="G34" i="12" s="1"/>
  <c r="E61" i="35"/>
  <c r="E78" i="35" s="1"/>
  <c r="G34" i="10"/>
  <c r="D39" i="7" l="1"/>
  <c r="D44" i="7"/>
  <c r="D46" i="6"/>
  <c r="D50" i="6" s="1"/>
  <c r="D51" i="6" s="1"/>
  <c r="E26" i="6"/>
  <c r="G51" i="6" s="1"/>
  <c r="G33" i="8"/>
  <c r="E6" i="8"/>
  <c r="E21" i="8" s="1"/>
  <c r="E38" i="8" s="1"/>
  <c r="E40" i="8" s="1"/>
  <c r="D93" i="8"/>
  <c r="I25" i="12"/>
  <c r="G83" i="9" s="1"/>
  <c r="G28" i="3"/>
  <c r="H25" i="12"/>
  <c r="F28" i="3"/>
  <c r="G75" i="9"/>
  <c r="K75" i="9" s="1"/>
  <c r="F26" i="3"/>
  <c r="H23" i="12"/>
  <c r="G26" i="3"/>
  <c r="I23" i="12"/>
  <c r="G83" i="8" s="1"/>
  <c r="G75" i="8"/>
  <c r="K75" i="8" s="1"/>
  <c r="G75" i="10"/>
  <c r="G30" i="3"/>
  <c r="H27" i="12"/>
  <c r="I27" i="12"/>
  <c r="G83" i="10" s="1"/>
  <c r="F30" i="3"/>
  <c r="E6" i="17"/>
  <c r="E16" i="17" s="1"/>
  <c r="E29" i="17" s="1"/>
  <c r="E30" i="17" s="1"/>
  <c r="D32" i="17"/>
  <c r="J32" i="14"/>
  <c r="J34" i="14" s="1"/>
  <c r="H19" i="12"/>
  <c r="F22" i="3"/>
  <c r="G22" i="3"/>
  <c r="G35" i="35"/>
  <c r="K35" i="35" s="1"/>
  <c r="I19" i="12"/>
  <c r="G43" i="35" s="1"/>
  <c r="E79" i="35"/>
  <c r="B38" i="8"/>
  <c r="E59" i="9"/>
  <c r="G76" i="9"/>
  <c r="G79" i="9" s="1"/>
  <c r="E59" i="8"/>
  <c r="E59" i="10"/>
  <c r="D93" i="9"/>
  <c r="B38" i="9" s="1"/>
  <c r="E6" i="9"/>
  <c r="E21" i="9" s="1"/>
  <c r="E38" i="9" s="1"/>
  <c r="E40" i="9" s="1"/>
  <c r="G33" i="9"/>
  <c r="G33" i="10"/>
  <c r="E6" i="10"/>
  <c r="E21" i="10" s="1"/>
  <c r="E38" i="10" s="1"/>
  <c r="E40" i="10" s="1"/>
  <c r="D93" i="10"/>
  <c r="B38" i="10" s="1"/>
  <c r="G43" i="7" l="1"/>
  <c r="D75" i="7"/>
  <c r="B48" i="7" s="1"/>
  <c r="E6" i="7"/>
  <c r="E24" i="7" s="1"/>
  <c r="E48" i="7" s="1"/>
  <c r="E50" i="7" s="1"/>
  <c r="F24" i="3" s="1"/>
  <c r="G24" i="3" s="1"/>
  <c r="G50" i="6"/>
  <c r="D73" i="6"/>
  <c r="B55" i="6" s="1"/>
  <c r="E6" i="6"/>
  <c r="E27" i="6" s="1"/>
  <c r="E55" i="6" s="1"/>
  <c r="E57" i="6" s="1"/>
  <c r="F21" i="3" s="1"/>
  <c r="D72" i="6"/>
  <c r="B54" i="6" s="1"/>
  <c r="D49" i="6"/>
  <c r="E18" i="12"/>
  <c r="E32" i="12" s="1"/>
  <c r="E34" i="12" s="1"/>
  <c r="G76" i="8"/>
  <c r="G79" i="8" s="1"/>
  <c r="F27" i="3"/>
  <c r="G27" i="3"/>
  <c r="I24" i="12"/>
  <c r="G43" i="9" s="1"/>
  <c r="G35" i="9"/>
  <c r="K35" i="9" s="1"/>
  <c r="H24" i="12"/>
  <c r="E19" i="9"/>
  <c r="I26" i="12"/>
  <c r="G43" i="10" s="1"/>
  <c r="G29" i="3"/>
  <c r="H26" i="12"/>
  <c r="F29" i="3"/>
  <c r="G35" i="10"/>
  <c r="K35" i="10" s="1"/>
  <c r="E19" i="10"/>
  <c r="E25" i="6"/>
  <c r="G52" i="6"/>
  <c r="E39" i="7"/>
  <c r="E80" i="35"/>
  <c r="K75" i="10"/>
  <c r="G76" i="10"/>
  <c r="G79" i="10" s="1"/>
  <c r="F25" i="3"/>
  <c r="H22" i="12"/>
  <c r="G25" i="3"/>
  <c r="I22" i="12"/>
  <c r="G43" i="8" s="1"/>
  <c r="G35" i="8"/>
  <c r="K35" i="8" s="1"/>
  <c r="E19" i="8"/>
  <c r="G36" i="35"/>
  <c r="G39" i="35" s="1"/>
  <c r="G45" i="7" l="1"/>
  <c r="E22" i="7"/>
  <c r="H21" i="12"/>
  <c r="I21" i="12" s="1"/>
  <c r="G53" i="7" s="1"/>
  <c r="E46" i="6"/>
  <c r="H18" i="12"/>
  <c r="I18" i="12" s="1"/>
  <c r="G21" i="3"/>
  <c r="G36" i="9"/>
  <c r="G39" i="9" s="1"/>
  <c r="E44" i="6"/>
  <c r="G36" i="10"/>
  <c r="G39" i="10" s="1"/>
  <c r="K45" i="7"/>
  <c r="G46" i="7"/>
  <c r="G49" i="7" s="1"/>
  <c r="G23" i="3"/>
  <c r="G35" i="3" s="1"/>
  <c r="H20" i="12"/>
  <c r="H32" i="12" s="1"/>
  <c r="N34" i="12" s="1"/>
  <c r="N36" i="12" s="1"/>
  <c r="G15" i="34"/>
  <c r="G22" i="34" s="1"/>
  <c r="F23" i="3"/>
  <c r="F35" i="3" s="1"/>
  <c r="F37" i="3" s="1"/>
  <c r="I20" i="12"/>
  <c r="K52" i="6"/>
  <c r="G53" i="6"/>
  <c r="G56" i="6" s="1"/>
  <c r="G36" i="8"/>
  <c r="G39" i="8" s="1"/>
  <c r="G75" i="35"/>
  <c r="I32" i="12" l="1"/>
  <c r="G60" i="6"/>
  <c r="N30" i="12"/>
  <c r="K30" i="12" s="1"/>
  <c r="N29" i="12"/>
  <c r="K29" i="12" s="1"/>
  <c r="K75" i="35"/>
  <c r="G76" i="35"/>
  <c r="G79" i="35" s="1"/>
  <c r="G85" i="9"/>
  <c r="G45" i="10"/>
  <c r="G85" i="8"/>
  <c r="G45" i="35"/>
  <c r="G85" i="35"/>
  <c r="G45" i="9"/>
  <c r="G62" i="6"/>
  <c r="G45" i="8"/>
  <c r="G55" i="7"/>
  <c r="N40" i="12"/>
  <c r="G85" i="10"/>
  <c r="G83" i="35"/>
  <c r="G29" i="34"/>
  <c r="E30" i="34" s="1"/>
  <c r="D31" i="34" s="1"/>
  <c r="E23" i="34"/>
  <c r="D24" i="34"/>
  <c r="F33" i="34" l="1"/>
  <c r="F80" i="35" s="1"/>
</calcChain>
</file>

<file path=xl/sharedStrings.xml><?xml version="1.0" encoding="utf-8"?>
<sst xmlns="http://schemas.openxmlformats.org/spreadsheetml/2006/main" count="1560" uniqueCount="944">
  <si>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</si>
  <si>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</si>
  <si>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</si>
  <si>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</si>
  <si>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</si>
  <si>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</si>
  <si>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</si>
  <si>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</si>
  <si>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</si>
  <si>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</si>
  <si>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</si>
  <si>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</si>
  <si>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</si>
  <si>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</si>
  <si>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</si>
  <si>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</si>
  <si>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</si>
  <si>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</si>
  <si>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</si>
  <si>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</si>
  <si>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</si>
  <si>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</si>
  <si>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</si>
  <si>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</si>
  <si>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</si>
  <si>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</si>
  <si>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</si>
  <si>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</si>
  <si>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</si>
  <si>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</si>
  <si>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</si>
  <si>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</si>
  <si>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</si>
  <si>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</si>
  <si>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</si>
  <si>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</si>
  <si>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</si>
  <si>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</si>
  <si>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</si>
  <si>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</si>
  <si>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</si>
  <si>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</si>
  <si>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</si>
  <si>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</si>
  <si>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</si>
  <si>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</si>
  <si>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</si>
  <si>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</si>
  <si>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</si>
  <si>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</si>
  <si>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</si>
  <si>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</si>
  <si>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</si>
  <si>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</si>
  <si>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</si>
  <si>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</si>
  <si>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</si>
  <si>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</si>
  <si>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</si>
  <si>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</si>
  <si>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</si>
  <si>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</si>
  <si>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</si>
  <si>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</si>
  <si>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</si>
  <si>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</si>
  <si>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</si>
  <si>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</si>
  <si>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</si>
  <si>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</si>
  <si>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</si>
  <si>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</si>
  <si>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</si>
  <si>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</si>
  <si>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</si>
  <si>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</si>
  <si>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</si>
  <si>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</si>
  <si>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</si>
  <si>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</si>
  <si>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</si>
  <si>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</si>
  <si>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</si>
  <si>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</si>
  <si>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</si>
  <si>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</si>
  <si>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</si>
  <si>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</si>
  <si>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</si>
  <si>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</si>
  <si>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</si>
  <si>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</si>
  <si>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</si>
  <si>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</si>
  <si>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</si>
  <si>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</si>
  <si>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</si>
  <si>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</si>
  <si>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</si>
  <si>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</si>
  <si>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</si>
  <si>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</si>
  <si>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</si>
  <si>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</si>
  <si>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</si>
  <si>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</si>
  <si>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</si>
  <si>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</si>
  <si>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</si>
  <si>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</si>
  <si>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</si>
  <si>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</si>
  <si>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</si>
  <si>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</si>
  <si>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</si>
  <si>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</si>
  <si>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</si>
  <si>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</si>
  <si>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</si>
  <si>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</si>
  <si>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</si>
  <si>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</si>
  <si>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</si>
  <si>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</si>
  <si>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</si>
  <si>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</si>
  <si>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</si>
  <si>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</si>
  <si>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</si>
  <si>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</si>
  <si>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</si>
  <si>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</si>
  <si>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</si>
  <si>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</si>
  <si>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</si>
  <si>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</si>
  <si>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</si>
  <si>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</si>
  <si>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</si>
  <si>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</si>
  <si>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</si>
  <si>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</si>
  <si>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</si>
  <si>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</si>
  <si>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</si>
  <si>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</si>
  <si>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</si>
  <si>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</si>
  <si>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</si>
  <si>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</si>
  <si>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</si>
  <si>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</si>
  <si>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</si>
  <si>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</si>
  <si>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</si>
  <si>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</si>
  <si>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</si>
  <si>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</si>
  <si>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</si>
  <si>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</si>
  <si>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</si>
  <si>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</si>
  <si>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</si>
  <si>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</si>
  <si>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</si>
  <si>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</si>
  <si>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</si>
  <si>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</si>
  <si>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</si>
  <si>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</si>
  <si>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</si>
  <si>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</si>
  <si>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</si>
  <si>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</si>
  <si>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</si>
  <si>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</si>
  <si>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</si>
  <si>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</si>
  <si>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</si>
  <si>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</si>
  <si>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</si>
  <si>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</si>
  <si>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</si>
  <si>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</si>
  <si>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</si>
  <si>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</si>
  <si>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</si>
  <si>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</si>
  <si>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</si>
  <si>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</si>
  <si>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</si>
  <si>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</si>
  <si>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</si>
  <si>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</si>
  <si>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</si>
  <si>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</si>
  <si>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</si>
  <si>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</si>
  <si>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</si>
  <si>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</si>
  <si>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</si>
  <si>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</si>
  <si>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</si>
  <si>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</si>
  <si>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</si>
  <si>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</si>
  <si>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</si>
  <si>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</si>
  <si>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</si>
  <si>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</si>
  <si>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</si>
  <si>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</si>
  <si>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</si>
  <si>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</si>
  <si>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</si>
  <si>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</si>
  <si>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</si>
  <si>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</si>
  <si>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</si>
  <si>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</si>
  <si>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</si>
  <si>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</si>
  <si>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</si>
  <si>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</si>
  <si>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</si>
  <si>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</si>
  <si>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</si>
  <si>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</si>
  <si>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</si>
  <si>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</si>
  <si>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</si>
  <si>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</si>
  <si>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</si>
  <si>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</si>
  <si>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</si>
  <si>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</si>
  <si>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</si>
  <si>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</si>
  <si>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</si>
  <si>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</si>
  <si>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</si>
  <si>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</si>
  <si>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</si>
  <si>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</si>
  <si>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</si>
  <si>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</si>
  <si>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</si>
  <si>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</si>
  <si>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</si>
  <si>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</si>
  <si>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</si>
  <si>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</si>
  <si>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</si>
  <si>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</si>
  <si>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</si>
  <si>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</si>
  <si>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</si>
  <si>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</si>
  <si>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</si>
  <si>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</si>
  <si>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</si>
  <si>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</si>
  <si>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</si>
  <si>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</si>
  <si>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</si>
  <si>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</si>
  <si>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</si>
  <si>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</si>
  <si>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</si>
  <si>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</si>
  <si>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</si>
  <si>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</si>
  <si>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</si>
  <si>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</si>
  <si>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</si>
  <si>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</si>
  <si>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</si>
  <si>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</si>
  <si>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</si>
  <si>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</si>
  <si>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</si>
  <si>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</si>
  <si>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</si>
  <si>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</si>
  <si>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</si>
  <si>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</si>
  <si>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</si>
  <si>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</si>
  <si>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</si>
  <si>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</si>
  <si>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</si>
  <si>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</si>
  <si>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</si>
  <si>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</si>
  <si>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</si>
  <si>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</si>
  <si>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</si>
  <si>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</si>
  <si>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</si>
  <si>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</si>
  <si>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</si>
  <si>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</si>
  <si>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</si>
  <si>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</si>
  <si>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</si>
  <si>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</si>
  <si>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</si>
  <si>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</si>
  <si>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</si>
  <si>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</si>
  <si>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</si>
  <si>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</si>
  <si>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</si>
  <si>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</si>
  <si>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</si>
  <si>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</si>
  <si>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</si>
  <si>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</si>
  <si>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</si>
  <si>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</si>
  <si>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</si>
  <si>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</si>
  <si>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</si>
  <si>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</si>
  <si>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</si>
  <si>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</si>
  <si>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</si>
  <si>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</si>
  <si>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</si>
  <si>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</si>
  <si>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</si>
  <si>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</si>
  <si>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</si>
  <si>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</si>
  <si>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</si>
  <si>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</si>
  <si>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</si>
  <si>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</si>
  <si>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</si>
  <si>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</si>
  <si>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</si>
  <si>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</si>
  <si>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</si>
  <si>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</si>
  <si>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</si>
  <si>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</si>
  <si>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</si>
  <si>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</si>
  <si>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</si>
  <si>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</si>
  <si>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</si>
  <si>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</si>
  <si>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</si>
  <si>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</si>
  <si>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</si>
  <si>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</si>
  <si>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</si>
  <si>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</si>
  <si>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</si>
  <si>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</si>
  <si>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</si>
  <si>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</si>
  <si>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</si>
  <si>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</si>
  <si>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</si>
  <si>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</si>
  <si>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</si>
  <si>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</si>
  <si>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</si>
  <si>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</si>
  <si>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</si>
  <si>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</si>
  <si>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</si>
  <si>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</si>
  <si>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</si>
  <si>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</si>
  <si>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</si>
  <si>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</si>
  <si>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</si>
  <si>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</si>
  <si>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</si>
  <si>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</si>
  <si>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</si>
  <si>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</si>
  <si>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</si>
  <si>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</si>
  <si>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</si>
  <si>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</si>
  <si>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</si>
  <si>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</si>
  <si>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</si>
  <si>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</si>
  <si>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</si>
  <si>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</si>
  <si>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</si>
  <si>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</si>
  <si>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</si>
  <si>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</si>
  <si>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</si>
  <si>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</si>
  <si>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</si>
  <si>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</si>
  <si>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</si>
  <si>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</si>
  <si>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</si>
  <si>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</si>
  <si>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</si>
  <si>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</si>
  <si>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</si>
  <si>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</si>
  <si>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</si>
  <si>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</si>
  <si>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</si>
  <si>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</si>
  <si>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</si>
  <si>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</si>
  <si>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</si>
  <si>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</si>
  <si>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</si>
  <si>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</si>
  <si>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</si>
  <si>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</si>
  <si>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</si>
  <si>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</si>
  <si>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</si>
  <si>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</si>
  <si>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</si>
  <si>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</si>
  <si>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</si>
  <si>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</si>
  <si>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</si>
  <si>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</si>
  <si>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</si>
  <si>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</si>
  <si>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</si>
  <si>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</si>
  <si>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</si>
  <si>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</si>
  <si>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</si>
  <si>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</si>
  <si>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</si>
  <si>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</si>
  <si>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</si>
  <si>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</si>
  <si>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</si>
  <si>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</si>
  <si>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</si>
  <si>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</si>
  <si>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</si>
  <si>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</si>
  <si>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</si>
  <si>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</si>
  <si>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</si>
  <si>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</si>
  <si>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</si>
  <si>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</si>
  <si>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</si>
  <si>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</si>
  <si>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</si>
  <si>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</si>
  <si>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</si>
  <si>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</si>
  <si>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</si>
  <si>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</si>
  <si>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</si>
  <si>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</si>
  <si>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</si>
  <si>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</si>
  <si>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</si>
  <si>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</si>
  <si>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</si>
  <si>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</si>
  <si>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</si>
  <si>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</si>
  <si>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</si>
  <si>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</si>
  <si>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</si>
  <si>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</si>
  <si>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</si>
  <si>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</si>
  <si>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</si>
  <si>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</si>
  <si>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</si>
  <si>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</si>
  <si>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</si>
  <si>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</si>
  <si>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</si>
  <si>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</si>
  <si>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</si>
  <si>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</si>
  <si>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</si>
  <si>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</si>
  <si>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</si>
  <si>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</si>
  <si>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</si>
  <si>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</si>
  <si>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</si>
  <si>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</si>
  <si>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</si>
  <si>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</si>
  <si>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</si>
  <si>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</si>
  <si>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</si>
  <si>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</si>
  <si>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</si>
  <si>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</si>
  <si>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</si>
  <si>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</si>
  <si>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</si>
  <si>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</si>
  <si>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</si>
  <si>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</si>
  <si>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</si>
  <si>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</si>
  <si>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</si>
  <si>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</si>
  <si>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</si>
  <si>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</si>
  <si>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</si>
  <si>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</si>
  <si>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</si>
  <si>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</si>
  <si>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</si>
  <si>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</si>
  <si>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</si>
  <si>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</si>
  <si>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</si>
  <si>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</si>
  <si>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</si>
  <si>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</si>
  <si>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</si>
  <si>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</si>
  <si>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</si>
  <si>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</si>
  <si>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</si>
  <si>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</si>
  <si>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</si>
  <si>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</si>
  <si>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</si>
  <si>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</si>
  <si>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</si>
  <si>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</si>
  <si>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</si>
  <si>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</si>
  <si>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</si>
  <si>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</si>
  <si>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</si>
  <si>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</si>
  <si>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</si>
  <si>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</si>
  <si>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</si>
  <si>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</si>
  <si>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</si>
  <si>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</si>
  <si>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</si>
  <si>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</si>
  <si>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</si>
  <si>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</si>
  <si>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</si>
  <si>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</si>
  <si>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</si>
  <si>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</si>
  <si>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</si>
  <si>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</si>
  <si>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</si>
  <si>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</si>
  <si>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</si>
  <si>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</si>
  <si>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</si>
  <si>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</si>
  <si>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</si>
  <si>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</si>
  <si>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</si>
  <si>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</si>
  <si>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</si>
  <si>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</si>
  <si>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</si>
  <si>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</si>
  <si>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</si>
  <si>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</si>
  <si>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</si>
  <si>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</si>
  <si>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</si>
  <si>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</si>
  <si>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</si>
  <si>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</si>
  <si>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</si>
  <si>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</si>
  <si>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</si>
  <si>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</si>
  <si>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</si>
  <si>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</si>
  <si>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</si>
  <si>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</si>
  <si>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</si>
  <si>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</si>
  <si>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</si>
  <si>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</si>
  <si>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</si>
  <si>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</si>
  <si>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</si>
  <si>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</si>
  <si>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</si>
  <si>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</si>
  <si>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</si>
  <si>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</si>
  <si>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</si>
  <si>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</si>
  <si>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</si>
  <si>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</si>
  <si>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</si>
  <si>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</si>
  <si>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</si>
  <si>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</si>
  <si>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</si>
  <si>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</si>
  <si>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</si>
  <si>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</si>
  <si>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</si>
  <si>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</si>
  <si>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</si>
  <si>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</si>
  <si>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</si>
  <si>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</si>
  <si>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</si>
  <si>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</si>
  <si>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</si>
  <si>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</si>
  <si>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</si>
  <si>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</si>
  <si>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</si>
  <si>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</si>
  <si>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</si>
  <si>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</si>
  <si>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</si>
  <si>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</si>
  <si>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</si>
  <si>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</si>
  <si>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</si>
  <si>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</si>
  <si>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</si>
  <si>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</si>
  <si>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</si>
  <si>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</si>
  <si>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</si>
  <si>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</si>
  <si>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</si>
  <si>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</si>
  <si>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</si>
  <si>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</si>
  <si>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</si>
  <si>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</si>
  <si>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</si>
  <si>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</si>
  <si>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</si>
  <si>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</si>
  <si>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</si>
  <si>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</si>
  <si>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</si>
  <si>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</si>
  <si>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</si>
  <si>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</si>
  <si>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</si>
  <si>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</si>
  <si>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</si>
  <si>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</si>
  <si>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</si>
  <si>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</si>
  <si>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</si>
  <si>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</si>
  <si>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</si>
  <si>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</si>
  <si>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</si>
  <si>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</si>
  <si>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</si>
  <si>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</si>
  <si>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</si>
  <si>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</si>
  <si>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</si>
  <si>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</si>
  <si>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</si>
  <si>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</si>
  <si>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</si>
  <si>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</si>
  <si>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</si>
  <si>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</si>
  <si>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</si>
  <si>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</si>
  <si>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</si>
  <si>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</si>
  <si>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</si>
  <si>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</si>
  <si>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</si>
  <si>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</si>
  <si>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</si>
  <si>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</si>
  <si>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</si>
  <si>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</si>
  <si>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</si>
  <si>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</si>
  <si>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</si>
  <si>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</si>
  <si>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</si>
  <si>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</si>
  <si>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</si>
  <si>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</si>
  <si>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</si>
  <si>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</si>
  <si>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</si>
  <si>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</si>
  <si>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</si>
  <si>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</si>
  <si>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</si>
  <si>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</si>
  <si>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</si>
  <si>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</si>
  <si>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</si>
  <si>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</si>
  <si>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</si>
  <si>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</si>
  <si>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</si>
  <si>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</si>
  <si>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</si>
  <si>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</si>
  <si>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</si>
  <si>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</si>
  <si>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</si>
  <si>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</si>
  <si>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</si>
  <si>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</si>
  <si>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</si>
  <si>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</si>
  <si>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</si>
  <si>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</si>
  <si>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</si>
  <si>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</si>
  <si>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</si>
  <si>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</si>
  <si>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</si>
  <si>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</si>
  <si>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</si>
  <si>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</si>
  <si>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</si>
  <si>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</si>
  <si>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</si>
  <si>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</si>
  <si>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</si>
  <si>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</si>
  <si>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</si>
  <si>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</si>
  <si>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</si>
  <si>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</si>
  <si>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</si>
  <si>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</si>
  <si>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</si>
  <si>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</si>
  <si>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</si>
  <si>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</si>
  <si>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</si>
  <si>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</si>
  <si>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</si>
  <si>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</si>
  <si>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</si>
  <si>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</si>
  <si>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</si>
  <si>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</si>
  <si>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</si>
  <si>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</si>
  <si>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</si>
  <si>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</si>
  <si>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</si>
  <si>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</si>
  <si>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</si>
  <si>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</si>
  <si>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</si>
  <si>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</si>
  <si>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</si>
  <si>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</si>
  <si>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</si>
  <si>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</si>
  <si>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</si>
  <si>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</si>
  <si>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</si>
  <si>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</si>
  <si>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</si>
  <si>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</si>
  <si>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</si>
  <si>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</si>
  <si>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</si>
  <si>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</si>
  <si>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</si>
  <si>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</si>
  <si>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</si>
  <si>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</si>
  <si>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</si>
  <si>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</si>
  <si>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</si>
  <si>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</si>
  <si>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</si>
  <si>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</si>
  <si>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</si>
  <si>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</si>
  <si>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</si>
  <si>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</si>
  <si>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</si>
  <si>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</si>
  <si>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</si>
  <si>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</si>
  <si>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</si>
  <si>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</si>
  <si>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</si>
  <si>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</si>
  <si>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</si>
  <si>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</si>
  <si>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</si>
  <si>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</si>
  <si>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</si>
  <si>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</si>
  <si>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</si>
  <si>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</si>
  <si>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</si>
  <si>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</si>
  <si>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</si>
  <si>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</si>
  <si>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</si>
  <si>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</si>
  <si>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</si>
  <si>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</si>
  <si>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</si>
  <si>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</si>
  <si>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</si>
  <si>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</si>
  <si>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</si>
  <si>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</si>
  <si>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</si>
  <si>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</si>
  <si>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</si>
  <si>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</si>
  <si>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</si>
  <si>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</si>
  <si>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</si>
  <si>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</si>
  <si>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</si>
  <si>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</si>
  <si>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</si>
  <si>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</si>
  <si>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</si>
  <si>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</si>
  <si>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</si>
  <si>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</si>
  <si>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</si>
  <si>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</si>
  <si>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</si>
  <si>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</si>
  <si>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</si>
  <si>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</si>
  <si>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</si>
  <si>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</si>
  <si>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</si>
  <si>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</si>
  <si>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</si>
  <si>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</si>
  <si>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</si>
  <si>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</si>
  <si>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</si>
  <si>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</si>
  <si>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</si>
  <si>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</si>
  <si>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</si>
  <si>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</si>
  <si>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</si>
  <si>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</si>
  <si>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</si>
  <si>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</si>
  <si>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</si>
  <si>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</si>
  <si>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</si>
  <si>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</si>
  <si>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</si>
  <si>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</si>
  <si>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</si>
  <si>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</si>
  <si>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</si>
  <si>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</si>
  <si>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</si>
  <si>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</si>
  <si>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</si>
  <si>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</si>
  <si>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</si>
  <si>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</si>
  <si>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</si>
  <si>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</si>
  <si>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</si>
  <si>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</si>
  <si>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</si>
  <si>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</si>
  <si>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</si>
  <si>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</si>
  <si>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</si>
  <si>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</si>
  <si>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</si>
  <si>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</si>
  <si>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</si>
  <si>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</si>
  <si>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</si>
  <si>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</si>
  <si>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</si>
  <si>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</si>
  <si>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</si>
  <si>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</si>
  <si>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</si>
  <si>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</si>
  <si>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</si>
  <si>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</si>
  <si>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</si>
  <si>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</si>
  <si>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</si>
  <si>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</si>
  <si>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</si>
  <si>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</si>
  <si>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</si>
  <si>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</si>
  <si>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</si>
  <si>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</si>
  <si>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</si>
  <si>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</si>
  <si>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</si>
  <si>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</si>
  <si>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</si>
  <si>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</si>
  <si>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</si>
  <si>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</si>
  <si>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Jackson Township</t>
  </si>
  <si>
    <t>Osborne County</t>
  </si>
  <si>
    <t>Bank Fees</t>
  </si>
  <si>
    <t>Publication</t>
  </si>
  <si>
    <t>August 1, 2012</t>
  </si>
  <si>
    <t>8:00 p.m.</t>
  </si>
  <si>
    <t>Brian Schultz resideance, 2728 Co 685 Ave, Jackson Township</t>
  </si>
  <si>
    <t>Osborne County Clerk's Office</t>
  </si>
  <si>
    <t>Vienna Janis</t>
  </si>
  <si>
    <t>Osborne County Clerk</t>
  </si>
  <si>
    <t>423 W. Main</t>
  </si>
  <si>
    <t>Osborne, KS 647473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</si>
</sst>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lef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Jackson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Jackson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1144226</v>
      </c>
      <c r="F27" s="565"/>
      <c r="G27" s="570">
        <f>summ!G37</f>
        <v>1191580</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4"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Jackson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c r="D6" s="390">
        <f>C51</f>
        <v>64</v>
      </c>
      <c r="E6" s="32">
        <f>D51</f>
        <v>64</v>
      </c>
    </row>
    <row r="7" spans="2:5" x14ac:dyDescent="0.25">
      <c r="B7" s="27" t="s">
        <v>120</v>
      </c>
      <c r="C7" s="390"/>
      <c r="D7" s="390"/>
      <c r="E7" s="33"/>
    </row>
    <row r="8" spans="2:5" x14ac:dyDescent="0.25">
      <c r="B8" s="27" t="s">
        <v>16</v>
      </c>
      <c r="C8" s="29">
        <v>1793</v>
      </c>
      <c r="D8" s="390">
        <f>IF(inputPrYr!H15&gt;0,inputPrYr!G16,inputPrYr!E16)</f>
        <v>1946</v>
      </c>
      <c r="E8" s="33" t="s">
        <v>290</v>
      </c>
    </row>
    <row r="9" spans="2:5" x14ac:dyDescent="0.25">
      <c r="B9" s="27" t="s">
        <v>17</v>
      </c>
      <c r="C9" s="29">
        <v>0</v>
      </c>
      <c r="D9" s="29"/>
      <c r="E9" s="34"/>
    </row>
    <row r="10" spans="2:5" x14ac:dyDescent="0.25">
      <c r="B10" s="27" t="s">
        <v>18</v>
      </c>
      <c r="C10" s="29">
        <v>72</v>
      </c>
      <c r="D10" s="29">
        <v>59</v>
      </c>
      <c r="E10" s="32">
        <f>mvalloc!G11</f>
        <v>75</v>
      </c>
    </row>
    <row r="11" spans="2:5" x14ac:dyDescent="0.25">
      <c r="B11" s="27" t="s">
        <v>19</v>
      </c>
      <c r="C11" s="29">
        <v>1</v>
      </c>
      <c r="D11" s="29">
        <v>1</v>
      </c>
      <c r="E11" s="32">
        <f>mvalloc!I11</f>
        <v>1</v>
      </c>
    </row>
    <row r="12" spans="2:5" x14ac:dyDescent="0.25">
      <c r="B12" s="35" t="s">
        <v>69</v>
      </c>
      <c r="C12" s="29">
        <v>16</v>
      </c>
      <c r="D12" s="29">
        <v>30</v>
      </c>
      <c r="E12" s="32">
        <f>mvalloc!J11</f>
        <v>37</v>
      </c>
    </row>
    <row r="13" spans="2:5" x14ac:dyDescent="0.25">
      <c r="B13" s="35" t="s">
        <v>161</v>
      </c>
      <c r="C13" s="29"/>
      <c r="D13" s="29"/>
      <c r="E13" s="32">
        <f>inputOth!E35</f>
        <v>0</v>
      </c>
    </row>
    <row r="14" spans="2:5" x14ac:dyDescent="0.25">
      <c r="B14" s="27" t="s">
        <v>20</v>
      </c>
      <c r="C14" s="29">
        <v>1463</v>
      </c>
      <c r="D14" s="29">
        <v>752</v>
      </c>
      <c r="E14" s="32">
        <f>inputOth!E12</f>
        <v>507</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3345</v>
      </c>
      <c r="D26" s="392">
        <f>SUM(D8:D24)</f>
        <v>2788</v>
      </c>
      <c r="E26" s="42">
        <f>SUM(E8:E24)</f>
        <v>620</v>
      </c>
    </row>
    <row r="27" spans="2:5" x14ac:dyDescent="0.25">
      <c r="B27" s="43" t="s">
        <v>24</v>
      </c>
      <c r="C27" s="392">
        <f>C26+C6</f>
        <v>3345</v>
      </c>
      <c r="D27" s="392">
        <f>D26+D6</f>
        <v>2852</v>
      </c>
      <c r="E27" s="42">
        <f>E26+E6</f>
        <v>684</v>
      </c>
    </row>
    <row r="28" spans="2:5" x14ac:dyDescent="0.25">
      <c r="B28" s="27" t="s">
        <v>25</v>
      </c>
      <c r="C28" s="390"/>
      <c r="D28" s="390"/>
      <c r="E28" s="32"/>
    </row>
    <row r="29" spans="2:5" x14ac:dyDescent="0.25">
      <c r="B29" s="37"/>
      <c r="C29" s="29"/>
      <c r="D29" s="29"/>
      <c r="E29" s="34"/>
    </row>
    <row r="30" spans="2:5" x14ac:dyDescent="0.25">
      <c r="B30" s="38" t="s">
        <v>101</v>
      </c>
      <c r="C30" s="29">
        <v>850</v>
      </c>
      <c r="D30" s="29">
        <v>600</v>
      </c>
      <c r="E30" s="34">
        <v>850</v>
      </c>
    </row>
    <row r="31" spans="2:5" x14ac:dyDescent="0.25">
      <c r="B31" s="38" t="s">
        <v>125</v>
      </c>
      <c r="C31" s="29">
        <v>203</v>
      </c>
      <c r="D31" s="29"/>
      <c r="E31" s="34">
        <v>231</v>
      </c>
    </row>
    <row r="32" spans="2:5" x14ac:dyDescent="0.25">
      <c r="B32" s="38" t="s">
        <v>102</v>
      </c>
      <c r="C32" s="29"/>
      <c r="D32" s="29"/>
      <c r="E32" s="34"/>
    </row>
    <row r="33" spans="2:10" x14ac:dyDescent="0.25">
      <c r="B33" s="38" t="s">
        <v>36</v>
      </c>
      <c r="C33" s="29"/>
      <c r="D33" s="29">
        <v>100</v>
      </c>
      <c r="E33" s="34"/>
    </row>
    <row r="34" spans="2:10" x14ac:dyDescent="0.25">
      <c r="B34" s="37" t="s">
        <v>103</v>
      </c>
      <c r="C34" s="29">
        <v>500</v>
      </c>
      <c r="D34" s="29"/>
      <c r="E34" s="34">
        <v>500</v>
      </c>
    </row>
    <row r="35" spans="2:10" x14ac:dyDescent="0.25">
      <c r="B35" s="37" t="s">
        <v>126</v>
      </c>
      <c r="C35" s="29"/>
      <c r="D35" s="29">
        <v>588</v>
      </c>
      <c r="E35" s="34"/>
    </row>
    <row r="36" spans="2:10" x14ac:dyDescent="0.25">
      <c r="B36" s="38" t="s">
        <v>128</v>
      </c>
      <c r="C36" s="29">
        <v>1240</v>
      </c>
      <c r="D36" s="29">
        <v>1300</v>
      </c>
      <c r="E36" s="34">
        <v>1250</v>
      </c>
    </row>
    <row r="37" spans="2:10" x14ac:dyDescent="0.25">
      <c r="B37" s="38" t="s">
        <v>934</v>
      </c>
      <c r="C37" s="29">
        <v>112</v>
      </c>
      <c r="D37" s="29">
        <v>200</v>
      </c>
      <c r="E37" s="34">
        <v>100</v>
      </c>
    </row>
    <row r="38" spans="2:10" x14ac:dyDescent="0.25">
      <c r="B38" s="37" t="s">
        <v>935</v>
      </c>
      <c r="C38" s="29">
        <v>76</v>
      </c>
      <c r="D38" s="29"/>
      <c r="E38" s="34">
        <v>80</v>
      </c>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v>300</v>
      </c>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3281</v>
      </c>
      <c r="D50" s="384">
        <f>SUM(D29:D48)</f>
        <v>2788</v>
      </c>
      <c r="E50" s="47">
        <f>SUM(E29:E43,E45,E47:E48)</f>
        <v>3011</v>
      </c>
      <c r="G50" s="490">
        <f>D51</f>
        <v>64</v>
      </c>
      <c r="H50" s="491" t="str">
        <f>CONCATENATE("",E1-1," Ending Cash Balance (est.)")</f>
        <v>2012 Ending Cash Balance (est.)</v>
      </c>
      <c r="I50" s="492"/>
      <c r="J50" s="489"/>
    </row>
    <row r="51" spans="2:11" x14ac:dyDescent="0.25">
      <c r="B51" s="27" t="s">
        <v>119</v>
      </c>
      <c r="C51" s="385">
        <f>C27-C50</f>
        <v>64</v>
      </c>
      <c r="D51" s="385">
        <f>SUM(D27-D50)</f>
        <v>64</v>
      </c>
      <c r="E51" s="33" t="s">
        <v>290</v>
      </c>
      <c r="G51" s="490">
        <f>E26</f>
        <v>620</v>
      </c>
      <c r="H51" s="493" t="str">
        <f>CONCATENATE("",E1," Non-AV Receipts (est.)")</f>
        <v>2013 Non-AV Receipts (est.)</v>
      </c>
      <c r="I51" s="492"/>
      <c r="J51" s="489"/>
    </row>
    <row r="52" spans="2:11" x14ac:dyDescent="0.2">
      <c r="B52" s="48" t="str">
        <f>CONCATENATE("",E1-2,"/",E1-1," Budget Authority Amount:")</f>
        <v>2011/2012 Budget Authority Amount:</v>
      </c>
      <c r="C52" s="132">
        <f>inputOth!B46</f>
        <v>3398</v>
      </c>
      <c r="D52" s="161">
        <f>inputPrYr!D16</f>
        <v>2788</v>
      </c>
      <c r="E52" s="33" t="s">
        <v>290</v>
      </c>
      <c r="F52" s="50"/>
      <c r="G52" s="494">
        <f>IF(D56&gt;0,E55,E57)</f>
        <v>2327</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3011</v>
      </c>
      <c r="H53" s="493" t="str">
        <f>CONCATENATE("Total ",E1," Resources Available")</f>
        <v>Total 2013 Resources Available</v>
      </c>
      <c r="I53" s="492"/>
      <c r="J53" s="489"/>
    </row>
    <row r="54" spans="2:11" x14ac:dyDescent="0.25">
      <c r="B54" s="399" t="str">
        <f>CONCATENATE(C72,"     ",D72)</f>
        <v xml:space="preserve">     </v>
      </c>
      <c r="C54" s="810" t="s">
        <v>624</v>
      </c>
      <c r="D54" s="811"/>
      <c r="E54" s="32">
        <f>E50+E53</f>
        <v>3011</v>
      </c>
      <c r="G54" s="495"/>
      <c r="H54" s="493"/>
      <c r="I54" s="493"/>
      <c r="J54" s="489"/>
    </row>
    <row r="55" spans="2:11" x14ac:dyDescent="0.25">
      <c r="B55" s="399" t="str">
        <f>CONCATENATE(C73,"     ",D73)</f>
        <v xml:space="preserve">     </v>
      </c>
      <c r="C55" s="60"/>
      <c r="D55" s="52" t="s">
        <v>28</v>
      </c>
      <c r="E55" s="46">
        <f>IF(E54-E27&gt;0,E54-E27,0)</f>
        <v>2327</v>
      </c>
      <c r="G55" s="494">
        <f>ROUND(C50*0.05+C50,0)</f>
        <v>3445</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-434</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2327</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1.9530000000000001</v>
      </c>
      <c r="H60" s="491" t="str">
        <f>CONCATENATE("",E1," Fund Mill Rate")</f>
        <v>2013 Fund Mill Rate</v>
      </c>
      <c r="I60" s="700"/>
      <c r="J60" s="713"/>
      <c r="K60" s="16"/>
    </row>
    <row r="61" spans="2:11" x14ac:dyDescent="0.25">
      <c r="B61" s="52" t="s">
        <v>9</v>
      </c>
      <c r="C61" s="405">
        <f>IF(inputPrYr!D18&gt;0,7,6)</f>
        <v>6</v>
      </c>
      <c r="D61" s="14"/>
      <c r="E61" s="55"/>
      <c r="G61" s="715">
        <f>summ!F18</f>
        <v>1.7010000000000001</v>
      </c>
      <c r="H61" s="491" t="str">
        <f>CONCATENATE("",E1-1," Fund Mill Rate")</f>
        <v>2012 Fund Mill Rate</v>
      </c>
      <c r="I61" s="700"/>
      <c r="J61" s="713"/>
    </row>
    <row r="62" spans="2:11" x14ac:dyDescent="0.25">
      <c r="G62" s="716">
        <f>summ!I32</f>
        <v>13.215</v>
      </c>
      <c r="H62" s="491" t="str">
        <f>CONCATENATE("Total ",E1," Mill Rate")</f>
        <v>Total 2013 Mill Rate</v>
      </c>
      <c r="I62" s="700"/>
      <c r="J62" s="713"/>
    </row>
    <row r="63" spans="2:11" x14ac:dyDescent="0.25">
      <c r="B63" s="12"/>
      <c r="G63" s="715">
        <f>summ!F32</f>
        <v>13.726000000000001</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G75" sqref="G75"/>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Jackson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13759</v>
      </c>
    </row>
    <row r="7" spans="2:5" x14ac:dyDescent="0.25">
      <c r="B7" s="603" t="s">
        <v>120</v>
      </c>
      <c r="C7" s="607"/>
      <c r="D7" s="605"/>
      <c r="E7" s="606"/>
    </row>
    <row r="8" spans="2:5" x14ac:dyDescent="0.25">
      <c r="B8" s="603" t="s">
        <v>16</v>
      </c>
      <c r="C8" s="608"/>
      <c r="D8" s="605">
        <f>IF(inputPrYr!H15&gt;0,inputPrYr!G19,inputPrYr!E19)</f>
        <v>13759</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13759</v>
      </c>
      <c r="E20" s="621">
        <f>SUM(E9:E18)</f>
        <v>0</v>
      </c>
    </row>
    <row r="21" spans="2:10" x14ac:dyDescent="0.25">
      <c r="B21" s="619" t="s">
        <v>24</v>
      </c>
      <c r="C21" s="620">
        <f>C6+C20</f>
        <v>0</v>
      </c>
      <c r="D21" s="620">
        <f>D6+D20</f>
        <v>13759</v>
      </c>
      <c r="E21" s="621">
        <f>E6+E20</f>
        <v>13759</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13759</v>
      </c>
      <c r="H33" s="641" t="str">
        <f>CONCATENATE("",E1-1," Ending Cash Balance (est.)")</f>
        <v>2012 Ending Cash Balance (est.)</v>
      </c>
      <c r="I33" s="642"/>
      <c r="J33" s="637"/>
    </row>
    <row r="34" spans="2:11" x14ac:dyDescent="0.25">
      <c r="B34" s="603" t="s">
        <v>119</v>
      </c>
      <c r="C34" s="643">
        <f>C21-C33</f>
        <v>0</v>
      </c>
      <c r="D34" s="643">
        <f>D21-D33</f>
        <v>13759</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13759</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13759</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13.215</v>
      </c>
      <c r="H45" s="641" t="str">
        <f>CONCATENATE("Total ",E1," Mill Rate")</f>
        <v>Total 2013 Mill Rate</v>
      </c>
      <c r="I45" s="665"/>
      <c r="J45" s="666"/>
    </row>
    <row r="46" spans="2:11" x14ac:dyDescent="0.25">
      <c r="B46" s="603" t="s">
        <v>144</v>
      </c>
      <c r="C46" s="608">
        <v>0</v>
      </c>
      <c r="D46" s="605">
        <f>C74</f>
        <v>0</v>
      </c>
      <c r="E46" s="606">
        <f>D74</f>
        <v>0</v>
      </c>
      <c r="F46" s="644"/>
      <c r="G46" s="668">
        <f>summ!F32</f>
        <v>13.726000000000001</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IF(inputPrYr!H15&gt;0,inputPrYr!G20,inputPrYr!E20)</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13.215</v>
      </c>
      <c r="H85" s="641" t="str">
        <f>CONCATENATE("Total ",E1," Mill Rate")</f>
        <v>Total 2013 Mill Rate</v>
      </c>
      <c r="I85" s="665"/>
      <c r="J85" s="666"/>
    </row>
    <row r="86" spans="2:10" x14ac:dyDescent="0.25">
      <c r="G86" s="668">
        <f>summ!F32</f>
        <v>13.726000000000001</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40" zoomScaleNormal="100"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Jackson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c r="D6" s="390">
        <f>C44</f>
        <v>75</v>
      </c>
      <c r="E6" s="32">
        <f>D44</f>
        <v>75</v>
      </c>
    </row>
    <row r="7" spans="2:5" x14ac:dyDescent="0.25">
      <c r="B7" s="27" t="s">
        <v>120</v>
      </c>
      <c r="C7" s="390"/>
      <c r="D7" s="390"/>
      <c r="E7" s="33"/>
    </row>
    <row r="8" spans="2:5" x14ac:dyDescent="0.25">
      <c r="B8" s="27" t="s">
        <v>16</v>
      </c>
      <c r="C8" s="29">
        <v>13796</v>
      </c>
      <c r="D8" s="390">
        <f>IF(inputPrYr!H15&gt;0,inputPrYr!G19,inputPrYr!E19)</f>
        <v>13759</v>
      </c>
      <c r="E8" s="33" t="s">
        <v>290</v>
      </c>
    </row>
    <row r="9" spans="2:5" x14ac:dyDescent="0.25">
      <c r="B9" s="27" t="s">
        <v>17</v>
      </c>
      <c r="C9" s="29">
        <v>0</v>
      </c>
      <c r="D9" s="29"/>
      <c r="E9" s="34"/>
    </row>
    <row r="10" spans="2:5" x14ac:dyDescent="0.25">
      <c r="B10" s="27" t="s">
        <v>18</v>
      </c>
      <c r="C10" s="29">
        <v>442</v>
      </c>
      <c r="D10" s="29">
        <v>450</v>
      </c>
      <c r="E10" s="32">
        <f>mvalloc!G14</f>
        <v>533</v>
      </c>
    </row>
    <row r="11" spans="2:5" x14ac:dyDescent="0.25">
      <c r="B11" s="27" t="s">
        <v>19</v>
      </c>
      <c r="C11" s="29">
        <v>7</v>
      </c>
      <c r="D11" s="29">
        <v>9</v>
      </c>
      <c r="E11" s="32">
        <f>mvalloc!I14</f>
        <v>8</v>
      </c>
    </row>
    <row r="12" spans="2:5" x14ac:dyDescent="0.25">
      <c r="B12" s="27" t="s">
        <v>99</v>
      </c>
      <c r="C12" s="29">
        <v>243</v>
      </c>
      <c r="D12" s="29">
        <v>232</v>
      </c>
      <c r="E12" s="32">
        <f>mvalloc!J14</f>
        <v>264</v>
      </c>
    </row>
    <row r="13" spans="2:5" x14ac:dyDescent="0.25">
      <c r="B13" s="27" t="s">
        <v>100</v>
      </c>
      <c r="C13" s="29">
        <v>1027</v>
      </c>
      <c r="D13" s="29">
        <v>1050</v>
      </c>
      <c r="E13" s="32">
        <f>inputOth!E36</f>
        <v>900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15515</v>
      </c>
      <c r="D23" s="392">
        <f>SUM(D8:D21)</f>
        <v>15500</v>
      </c>
      <c r="E23" s="42">
        <f>SUM(E8:E21)</f>
        <v>1705</v>
      </c>
    </row>
    <row r="24" spans="2:5" x14ac:dyDescent="0.25">
      <c r="B24" s="43" t="s">
        <v>24</v>
      </c>
      <c r="C24" s="392">
        <f>C23+C6</f>
        <v>15515</v>
      </c>
      <c r="D24" s="392">
        <f>D23+D6</f>
        <v>15575</v>
      </c>
      <c r="E24" s="42">
        <f>E23+E6</f>
        <v>1780</v>
      </c>
    </row>
    <row r="25" spans="2:5" x14ac:dyDescent="0.25">
      <c r="B25" s="27" t="s">
        <v>25</v>
      </c>
      <c r="C25" s="390"/>
      <c r="D25" s="390"/>
      <c r="E25" s="32"/>
    </row>
    <row r="26" spans="2:5" x14ac:dyDescent="0.25">
      <c r="B26" s="38" t="s">
        <v>125</v>
      </c>
      <c r="C26" s="29">
        <v>3182</v>
      </c>
      <c r="D26" s="29">
        <v>5000</v>
      </c>
      <c r="E26" s="34">
        <v>3200</v>
      </c>
    </row>
    <row r="27" spans="2:5" x14ac:dyDescent="0.25">
      <c r="B27" s="37" t="s">
        <v>102</v>
      </c>
      <c r="C27" s="29"/>
      <c r="D27" s="29"/>
      <c r="E27" s="34"/>
    </row>
    <row r="28" spans="2:5" x14ac:dyDescent="0.25">
      <c r="B28" s="38" t="s">
        <v>127</v>
      </c>
      <c r="C28" s="29"/>
      <c r="D28" s="29">
        <v>0</v>
      </c>
      <c r="E28" s="34"/>
    </row>
    <row r="29" spans="2:5" x14ac:dyDescent="0.25">
      <c r="B29" s="38" t="s">
        <v>105</v>
      </c>
      <c r="C29" s="29">
        <v>8680</v>
      </c>
      <c r="D29" s="29">
        <v>7500</v>
      </c>
      <c r="E29" s="34">
        <v>9000</v>
      </c>
    </row>
    <row r="30" spans="2:5" x14ac:dyDescent="0.25">
      <c r="B30" s="38" t="s">
        <v>103</v>
      </c>
      <c r="C30" s="29">
        <v>2478</v>
      </c>
      <c r="D30" s="29">
        <v>3000</v>
      </c>
      <c r="E30" s="34">
        <v>3000</v>
      </c>
    </row>
    <row r="31" spans="2:5" x14ac:dyDescent="0.25">
      <c r="B31" s="38"/>
      <c r="C31" s="29"/>
      <c r="D31" s="29"/>
      <c r="E31" s="34"/>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v>1100</v>
      </c>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15440</v>
      </c>
      <c r="D43" s="392">
        <f>SUM(D26:D38,D40:D41)</f>
        <v>15500</v>
      </c>
      <c r="E43" s="42">
        <f>SUM(E26:E38,E40:E41)</f>
        <v>15200</v>
      </c>
      <c r="G43" s="490">
        <f>D44</f>
        <v>75</v>
      </c>
      <c r="H43" s="491" t="str">
        <f>CONCATENATE("",E1-1," Ending Cash Balance (est.)")</f>
        <v>2012 Ending Cash Balance (est.)</v>
      </c>
      <c r="I43" s="492"/>
      <c r="J43" s="489"/>
    </row>
    <row r="44" spans="2:11" x14ac:dyDescent="0.25">
      <c r="B44" s="27" t="s">
        <v>119</v>
      </c>
      <c r="C44" s="385">
        <f>C24-C43</f>
        <v>75</v>
      </c>
      <c r="D44" s="385">
        <f>D24-D43</f>
        <v>75</v>
      </c>
      <c r="E44" s="33" t="s">
        <v>290</v>
      </c>
      <c r="G44" s="490">
        <f>E23</f>
        <v>1705</v>
      </c>
      <c r="H44" s="493" t="str">
        <f>CONCATENATE("",E1," Non-AV Receipts (est.)")</f>
        <v>2013 Non-AV Receipts (est.)</v>
      </c>
      <c r="I44" s="492"/>
      <c r="J44" s="489"/>
    </row>
    <row r="45" spans="2:11" x14ac:dyDescent="0.2">
      <c r="B45" s="48" t="str">
        <f>CONCATENATE("",E1-2,"/",E1-1," Budget Authority Amount:")</f>
        <v>2011/2012 Budget Authority Amount:</v>
      </c>
      <c r="C45" s="132">
        <f>inputOth!B49</f>
        <v>14062</v>
      </c>
      <c r="D45" s="161">
        <f>inputPrYr!D19</f>
        <v>16940</v>
      </c>
      <c r="E45" s="33" t="s">
        <v>290</v>
      </c>
      <c r="F45" s="50"/>
      <c r="G45" s="494">
        <f>IF(D49&gt;0,E48,E50)</f>
        <v>13420</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15200</v>
      </c>
      <c r="H46" s="493" t="str">
        <f>CONCATENATE("Total ",E1," Resources Available")</f>
        <v>Total 2013 Resources Available</v>
      </c>
      <c r="I46" s="492"/>
      <c r="J46" s="489"/>
    </row>
    <row r="47" spans="2:11" x14ac:dyDescent="0.25">
      <c r="B47" s="399" t="str">
        <f>CONCATENATE(C74,"     ",D74)</f>
        <v xml:space="preserve">See Tab A     </v>
      </c>
      <c r="C47" s="810" t="s">
        <v>624</v>
      </c>
      <c r="D47" s="811"/>
      <c r="E47" s="32">
        <f>E43+E46</f>
        <v>15200</v>
      </c>
      <c r="G47" s="495"/>
      <c r="H47" s="493"/>
      <c r="I47" s="493"/>
      <c r="J47" s="489"/>
    </row>
    <row r="48" spans="2:11" x14ac:dyDescent="0.25">
      <c r="B48" s="399" t="str">
        <f>CONCATENATE(C75,"     ",D75)</f>
        <v xml:space="preserve">     </v>
      </c>
      <c r="C48" s="60"/>
      <c r="D48" s="52" t="s">
        <v>28</v>
      </c>
      <c r="E48" s="46">
        <f>IF(E47-E24&gt;0,E47-E24,0)</f>
        <v>13420</v>
      </c>
      <c r="G48" s="494">
        <f>ROUND(C43*0.05+C43,0)</f>
        <v>16212</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-1012</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13420</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11.262</v>
      </c>
      <c r="H53" s="491" t="str">
        <f>CONCATENATE("",E1," Fund Mill Rate")</f>
        <v>2013 Fund Mill Rate</v>
      </c>
      <c r="I53" s="700"/>
      <c r="J53" s="713"/>
    </row>
    <row r="54" spans="2:10" x14ac:dyDescent="0.25">
      <c r="B54" s="71" t="s">
        <v>31</v>
      </c>
      <c r="C54" s="404" t="str">
        <f>CONCATENATE("",E1-2," Actual Year")</f>
        <v>2011 Actual Year</v>
      </c>
      <c r="D54" s="14"/>
      <c r="E54" s="14"/>
      <c r="G54" s="715">
        <f>summ!F21</f>
        <v>12.025</v>
      </c>
      <c r="H54" s="491" t="str">
        <f>CONCATENATE("",E1-1," Fund Mill Rate")</f>
        <v>2012 Fund Mill Rate</v>
      </c>
      <c r="I54" s="700"/>
      <c r="J54" s="713"/>
    </row>
    <row r="55" spans="2:10" x14ac:dyDescent="0.25">
      <c r="B55" s="72" t="s">
        <v>14</v>
      </c>
      <c r="C55" s="538">
        <v>9658</v>
      </c>
      <c r="D55" s="14"/>
      <c r="E55" s="14"/>
      <c r="G55" s="716">
        <f>summ!I32</f>
        <v>13.215</v>
      </c>
      <c r="H55" s="491" t="str">
        <f>CONCATENATE("Total ",E1," Mill Rate")</f>
        <v>Total 2013 Mill Rate</v>
      </c>
      <c r="I55" s="700"/>
      <c r="J55" s="713"/>
    </row>
    <row r="56" spans="2:10" x14ac:dyDescent="0.25">
      <c r="B56" s="72" t="s">
        <v>33</v>
      </c>
      <c r="C56" s="132"/>
      <c r="D56" s="14"/>
      <c r="E56" s="14"/>
      <c r="G56" s="715">
        <f>summ!F32</f>
        <v>13.726000000000001</v>
      </c>
      <c r="H56" s="717" t="str">
        <f>CONCATENATE("Total ",E1-1," Mill Rate")</f>
        <v>Total 2012 Mill Rate</v>
      </c>
      <c r="I56" s="718"/>
      <c r="J56" s="719"/>
    </row>
    <row r="57" spans="2:10" x14ac:dyDescent="0.25">
      <c r="B57" s="72" t="s">
        <v>34</v>
      </c>
      <c r="C57" s="402">
        <f>C38</f>
        <v>1100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300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11058</v>
      </c>
      <c r="D63" s="14"/>
      <c r="E63" s="14"/>
    </row>
    <row r="64" spans="2:10" x14ac:dyDescent="0.25">
      <c r="B64" s="77" t="s">
        <v>26</v>
      </c>
      <c r="C64" s="538"/>
      <c r="D64" s="14"/>
      <c r="E64" s="14"/>
    </row>
    <row r="65" spans="2:5" x14ac:dyDescent="0.25">
      <c r="B65" s="77" t="s">
        <v>27</v>
      </c>
      <c r="C65" s="401">
        <f>SUM(C63-C64)</f>
        <v>11058</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5" sqref="G3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Jackson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f>inputPrYr!B20</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IF(inputPrYr!H15&gt;0,inputPrYr!G20,inputPrYr!E20)</f>
        <v>0</v>
      </c>
      <c r="E8" s="33" t="s">
        <v>290</v>
      </c>
    </row>
    <row r="9" spans="2:5" x14ac:dyDescent="0.25">
      <c r="B9" s="27" t="s">
        <v>17</v>
      </c>
      <c r="C9" s="29"/>
      <c r="D9" s="29"/>
      <c r="E9" s="34"/>
    </row>
    <row r="10" spans="2:5" x14ac:dyDescent="0.25">
      <c r="B10" s="27" t="s">
        <v>18</v>
      </c>
      <c r="C10" s="29"/>
      <c r="D10" s="29"/>
      <c r="E10" s="32">
        <f>mvalloc!G15</f>
        <v>0</v>
      </c>
    </row>
    <row r="11" spans="2:5" x14ac:dyDescent="0.25">
      <c r="B11" s="27" t="s">
        <v>19</v>
      </c>
      <c r="C11" s="29"/>
      <c r="D11" s="29"/>
      <c r="E11" s="32">
        <f>mvalloc!I15</f>
        <v>0</v>
      </c>
    </row>
    <row r="12" spans="2:5" x14ac:dyDescent="0.25">
      <c r="B12" s="35" t="s">
        <v>69</v>
      </c>
      <c r="C12" s="29"/>
      <c r="D12" s="29"/>
      <c r="E12" s="32">
        <f>mvalloc!J15</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0</v>
      </c>
      <c r="D35" s="161">
        <f>inputPrYr!D20</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summ!I22</f>
        <v xml:space="preserve"> </v>
      </c>
      <c r="H43" s="641" t="str">
        <f>CONCATENATE("",E1," Fund Mill Rate")</f>
        <v>2013 Fund Mill Rate</v>
      </c>
      <c r="I43" s="665"/>
      <c r="J43" s="666"/>
      <c r="K43" s="591"/>
    </row>
    <row r="44" spans="2:11" x14ac:dyDescent="0.25">
      <c r="B44" s="14"/>
      <c r="C44" s="388" t="s">
        <v>11</v>
      </c>
      <c r="D44" s="391" t="s">
        <v>12</v>
      </c>
      <c r="E44" s="23" t="s">
        <v>13</v>
      </c>
      <c r="G44" s="668" t="str">
        <f>summ!F22</f>
        <v xml:space="preserve">  </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13.215</v>
      </c>
      <c r="H45" s="641" t="str">
        <f>CONCATENATE("Total ",E1," Mill Rate")</f>
        <v>Total 2013 Mill Rate</v>
      </c>
      <c r="I45" s="665"/>
      <c r="J45" s="666"/>
      <c r="K45" s="591"/>
    </row>
    <row r="46" spans="2:11" x14ac:dyDescent="0.25">
      <c r="B46" s="27" t="s">
        <v>118</v>
      </c>
      <c r="C46" s="29"/>
      <c r="D46" s="390">
        <f>C74</f>
        <v>0</v>
      </c>
      <c r="E46" s="32">
        <f>D74</f>
        <v>0</v>
      </c>
      <c r="G46" s="668">
        <f>summ!F32</f>
        <v>13.726000000000001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13.215</v>
      </c>
      <c r="H85" s="641" t="str">
        <f>CONCATENATE("Total ",E1," Mill Rate")</f>
        <v>Total 2013 Mill Rate</v>
      </c>
      <c r="I85" s="665"/>
      <c r="J85" s="666"/>
      <c r="K85" s="591"/>
    </row>
    <row r="86" spans="2:11" x14ac:dyDescent="0.25">
      <c r="G86" s="668">
        <f>summ!F32</f>
        <v>13.726000000000001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Jackson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13.215</v>
      </c>
      <c r="H45" s="641" t="str">
        <f>CONCATENATE("Total ",E1," Mill Rate")</f>
        <v>Total 2013 Mill Rate</v>
      </c>
      <c r="I45" s="665"/>
      <c r="J45" s="666"/>
      <c r="K45" s="591"/>
    </row>
    <row r="46" spans="2:11" x14ac:dyDescent="0.25">
      <c r="B46" s="27" t="s">
        <v>118</v>
      </c>
      <c r="C46" s="29"/>
      <c r="D46" s="390">
        <f>C74</f>
        <v>0</v>
      </c>
      <c r="E46" s="32">
        <f>D74</f>
        <v>0</v>
      </c>
      <c r="G46" s="668">
        <f>summ!F32</f>
        <v>13.726000000000001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13.215</v>
      </c>
      <c r="H85" s="641" t="str">
        <f>CONCATENATE("Total ",E1," Mill Rate")</f>
        <v>Total 2013 Mill Rate</v>
      </c>
      <c r="I85" s="665"/>
      <c r="J85" s="666"/>
      <c r="K85" s="591"/>
    </row>
    <row r="86" spans="2:11" x14ac:dyDescent="0.25">
      <c r="G86" s="668">
        <f>summ!F32</f>
        <v>13.726000000000001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Jackson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13.215</v>
      </c>
      <c r="H45" s="641" t="str">
        <f>CONCATENATE("Total ",E1," Mill Rate")</f>
        <v>Total 2013 Mill Rate</v>
      </c>
      <c r="I45" s="665"/>
      <c r="J45" s="666"/>
      <c r="K45" s="591"/>
    </row>
    <row r="46" spans="2:11" x14ac:dyDescent="0.25">
      <c r="B46" s="27" t="s">
        <v>118</v>
      </c>
      <c r="C46" s="29"/>
      <c r="D46" s="390">
        <f>C74</f>
        <v>0</v>
      </c>
      <c r="E46" s="32">
        <f>D74</f>
        <v>0</v>
      </c>
      <c r="G46" s="668">
        <f>summ!F32</f>
        <v>13.726000000000001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13.215</v>
      </c>
      <c r="H85" s="641" t="str">
        <f>CONCATENATE("Total ",E1," Mill Rate")</f>
        <v>Total 2013 Mill Rate</v>
      </c>
      <c r="I85" s="665"/>
      <c r="J85" s="666"/>
      <c r="K85" s="591"/>
    </row>
    <row r="86" spans="2:11" x14ac:dyDescent="0.25">
      <c r="G86" s="668">
        <f>summ!F32</f>
        <v>13.726000000000001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76:D76"/>
    <mergeCell ref="C77:D77"/>
    <mergeCell ref="C36:D36"/>
    <mergeCell ref="C37:D3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Jackson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Jackson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28"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932</v>
      </c>
      <c r="E2" s="19"/>
    </row>
    <row r="3" spans="1:8" x14ac:dyDescent="0.25">
      <c r="A3" s="68" t="s">
        <v>226</v>
      </c>
      <c r="B3" s="14"/>
      <c r="C3" s="14"/>
      <c r="D3" s="381" t="s">
        <v>933</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2788</v>
      </c>
      <c r="E16" s="187">
        <v>1946</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16940</v>
      </c>
      <c r="E19" s="187">
        <v>13759</v>
      </c>
      <c r="G19" s="32">
        <f>IF(H15&gt;0,ROUND(E19-(E19*H15),0),0)</f>
        <v>0</v>
      </c>
    </row>
    <row r="20" spans="1:7" x14ac:dyDescent="0.25">
      <c r="A20" s="14"/>
      <c r="B20" s="382"/>
      <c r="C20" s="383"/>
      <c r="D20" s="187"/>
      <c r="E20" s="187"/>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15705</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19728</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1.601</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12.308</v>
      </c>
      <c r="E45" s="14"/>
    </row>
    <row r="46" spans="1:5" x14ac:dyDescent="0.25">
      <c r="A46" s="14"/>
      <c r="B46" s="72">
        <f t="shared" si="0"/>
        <v>0</v>
      </c>
      <c r="C46" s="14"/>
      <c r="D46" s="322"/>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13.908999999999999</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15705</v>
      </c>
    </row>
    <row r="55" spans="1:5" x14ac:dyDescent="0.25">
      <c r="A55" s="327" t="str">
        <f>CONCATENATE("Assessed Valuation (",D5-2," budget column)")</f>
        <v>Assessed Valuation (2011 budget column)</v>
      </c>
      <c r="B55" s="328"/>
      <c r="C55" s="267"/>
      <c r="D55" s="28"/>
      <c r="E55" s="187">
        <v>1129227</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zoomScaleNormal="100" workbookViewId="0">
      <selection activeCell="B46" sqref="B46:C46"/>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85" t="s">
        <v>39</v>
      </c>
      <c r="C4" s="785"/>
      <c r="D4" s="785"/>
      <c r="E4" s="785"/>
      <c r="F4" s="785"/>
      <c r="G4" s="785"/>
      <c r="H4" s="785"/>
      <c r="I4" s="785"/>
    </row>
    <row r="5" spans="2:10" x14ac:dyDescent="0.25">
      <c r="B5" s="788" t="str">
        <f>inputPrYr!D2</f>
        <v>Jackson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1, 2012 at 8:00 p.m. at Brian Schultz resideance, 2728 Co 685 Ave, Jackson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7"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3281</v>
      </c>
      <c r="D18" s="530">
        <f>IF(inputPrYr!D42&gt;0,inputPrYr!D42,"  ")</f>
        <v>1.601</v>
      </c>
      <c r="E18" s="32">
        <f>IF(gen!$D$50&lt;&gt;0,gen!$D$50,"  ")</f>
        <v>2788</v>
      </c>
      <c r="F18" s="235">
        <f>IF(inputOth!D17&gt;0,inputOth!D17,"  ")</f>
        <v>1.7010000000000001</v>
      </c>
      <c r="G18" s="32">
        <f>IF(gen!$E$50&lt;&gt;0,gen!$E$50,"  ")</f>
        <v>3011</v>
      </c>
      <c r="H18" s="32">
        <f>IF(gen!$E$57&lt;&gt;0,gen!$E$57," ")</f>
        <v>2327</v>
      </c>
      <c r="I18" s="532">
        <f>IF(gen!E57&gt;0,ROUND(H18/$G$37*1000,3)," ")</f>
        <v>1.9530000000000001</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15440</v>
      </c>
      <c r="D21" s="530">
        <f>IF(inputPrYr!D45&gt;0,inputPrYr!D45,"  ")</f>
        <v>12.308</v>
      </c>
      <c r="E21" s="32">
        <f>IF(road!$D$43&lt;&gt;0,road!$D$43,"  ")</f>
        <v>15500</v>
      </c>
      <c r="F21" s="235">
        <f>IF(inputOth!D20&gt;0,inputOth!D20,"  ")</f>
        <v>12.025</v>
      </c>
      <c r="G21" s="32">
        <f>IF(road!$E$43&lt;&gt;0,road!$E$43,"  ")</f>
        <v>15200</v>
      </c>
      <c r="H21" s="32">
        <f>IF(road!$E$50&lt;&gt;0,road!$E$50,"  ")</f>
        <v>13420</v>
      </c>
      <c r="I21" s="532">
        <f>IF(road!E50&gt;0,ROUND(H21/$G$37*1000,3)," ")</f>
        <v>11.262</v>
      </c>
      <c r="K21" s="835" t="str">
        <f>CONCATENATE("Estimated Value Of One Mill For ",I1,"")</f>
        <v>Estimated Value Of One Mill For 2013</v>
      </c>
      <c r="L21" s="840"/>
      <c r="M21" s="840"/>
      <c r="N21" s="841"/>
    </row>
    <row r="22" spans="2:14" x14ac:dyDescent="0.25">
      <c r="B22" s="85" t="str">
        <f>IF(inputPrYr!$B20&gt;"  ",inputPrYr!$B20,"  ")</f>
        <v xml:space="preserve">  </v>
      </c>
      <c r="C22" s="32" t="str">
        <f>IF(levypage9!$C$33&lt;&gt;0,levypage9!$C$33,"  ")</f>
        <v xml:space="preserve">  </v>
      </c>
      <c r="D22" s="530" t="str">
        <f>IF(inputPrYr!D46&gt;0,inputPrYr!D46,"  ")</f>
        <v xml:space="preserve">  </v>
      </c>
      <c r="E22" s="32" t="str">
        <f>IF(levypage9!$D$33&lt;&gt;0,levypage9!$D$33,"  ")</f>
        <v xml:space="preserve">  </v>
      </c>
      <c r="F22" s="235" t="str">
        <f>IF(inputOth!D21&gt;0,inputOth!D21,"  ")</f>
        <v xml:space="preserve">  </v>
      </c>
      <c r="G22" s="32" t="str">
        <f>IF(levypage9!$E$33&lt;&gt;0,levypage9!$E$33,"  ")</f>
        <v xml:space="preserve">  </v>
      </c>
      <c r="H22" s="32" t="str">
        <f>IF(levypage9!$E$40&lt;&gt;0,levypage9!$E$40,"  ")</f>
        <v xml:space="preserve">  </v>
      </c>
      <c r="I22" s="532" t="str">
        <f>IF(levypage9!E40&gt;0,ROUND(H22/$G$37*1000,3)," ")</f>
        <v xml:space="preserve"> </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1192</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13.726000000000001</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609</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18721</v>
      </c>
      <c r="D32" s="482">
        <f t="shared" si="0"/>
        <v>13.908999999999999</v>
      </c>
      <c r="E32" s="533">
        <f t="shared" si="0"/>
        <v>18288</v>
      </c>
      <c r="F32" s="482">
        <f t="shared" si="0"/>
        <v>13.726000000000001</v>
      </c>
      <c r="G32" s="533">
        <f t="shared" si="0"/>
        <v>18211</v>
      </c>
      <c r="H32" s="533">
        <f t="shared" si="0"/>
        <v>15747</v>
      </c>
      <c r="I32" s="536">
        <f t="shared" si="0"/>
        <v>13.215</v>
      </c>
      <c r="K32" s="835" t="str">
        <f>CONCATENATE("Impact On Keeping The Same Mill Rate As For ",I1-1,"")</f>
        <v>Impact On Keeping The Same Mill Rate As For 2012</v>
      </c>
      <c r="L32" s="836"/>
      <c r="M32" s="836"/>
      <c r="N32" s="837"/>
    </row>
    <row r="33" spans="2:14" x14ac:dyDescent="0.25">
      <c r="B33" s="274" t="s">
        <v>44</v>
      </c>
      <c r="C33" s="32">
        <f>transfer!C29</f>
        <v>1400</v>
      </c>
      <c r="D33" s="14"/>
      <c r="E33" s="32">
        <f>transfer!D29</f>
        <v>0</v>
      </c>
      <c r="F33" s="61"/>
      <c r="G33" s="32">
        <f>transfer!E29</f>
        <v>0</v>
      </c>
      <c r="H33" s="14"/>
      <c r="I33" s="14"/>
      <c r="K33" s="513"/>
      <c r="L33" s="507"/>
      <c r="M33" s="507"/>
      <c r="N33" s="514"/>
    </row>
    <row r="34" spans="2:14" ht="16.5" thickBot="1" x14ac:dyDescent="0.3">
      <c r="B34" s="274" t="s">
        <v>45</v>
      </c>
      <c r="C34" s="534">
        <f>C32-C33</f>
        <v>17321</v>
      </c>
      <c r="D34" s="14"/>
      <c r="E34" s="534">
        <f>E32-E33</f>
        <v>18288</v>
      </c>
      <c r="F34" s="14"/>
      <c r="G34" s="534">
        <f>G32-G33</f>
        <v>18211</v>
      </c>
      <c r="H34" s="14"/>
      <c r="I34" s="14"/>
      <c r="K34" s="513" t="str">
        <f>CONCATENATE("",I1," Ad Valorem Tax Revenue:")</f>
        <v>2013 Ad Valorem Tax Revenue:</v>
      </c>
      <c r="L34" s="507"/>
      <c r="M34" s="507"/>
      <c r="N34" s="508">
        <f>H32</f>
        <v>15747</v>
      </c>
    </row>
    <row r="35" spans="2:14" ht="16.5" thickTop="1" x14ac:dyDescent="0.25">
      <c r="B35" s="274" t="s">
        <v>46</v>
      </c>
      <c r="C35" s="535">
        <f>inputPrYr!E54</f>
        <v>15705</v>
      </c>
      <c r="D35" s="61"/>
      <c r="E35" s="535">
        <f>inputPrYr!E26</f>
        <v>15705</v>
      </c>
      <c r="F35" s="14"/>
      <c r="G35" s="526" t="s">
        <v>290</v>
      </c>
      <c r="H35" s="14"/>
      <c r="I35" s="14"/>
      <c r="K35" s="513" t="str">
        <f>CONCATENATE("",I1-1," Ad Valorem Tax Revenue:")</f>
        <v>2012 Ad Valorem Tax Revenue:</v>
      </c>
      <c r="L35" s="507"/>
      <c r="M35" s="507"/>
      <c r="N35" s="521">
        <f>ROUND(G37*N27/1000,0)</f>
        <v>16356</v>
      </c>
    </row>
    <row r="36" spans="2:14" x14ac:dyDescent="0.25">
      <c r="B36" s="274" t="s">
        <v>47</v>
      </c>
      <c r="C36" s="55"/>
      <c r="D36" s="61"/>
      <c r="E36" s="55"/>
      <c r="F36" s="61"/>
      <c r="G36" s="14"/>
      <c r="H36" s="14"/>
      <c r="I36" s="14"/>
      <c r="K36" s="518" t="s">
        <v>718</v>
      </c>
      <c r="L36" s="519"/>
      <c r="M36" s="519"/>
      <c r="N36" s="511">
        <f>N34-N35</f>
        <v>-609</v>
      </c>
    </row>
    <row r="37" spans="2:14" x14ac:dyDescent="0.25">
      <c r="B37" s="274" t="s">
        <v>48</v>
      </c>
      <c r="C37" s="32">
        <f>inputPrYr!E55</f>
        <v>1129227</v>
      </c>
      <c r="D37" s="14"/>
      <c r="E37" s="32">
        <f>inputOth!E29</f>
        <v>1144226</v>
      </c>
      <c r="F37" s="14"/>
      <c r="G37" s="32">
        <f>inputOth!E7</f>
        <v>1191580</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13.215</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f>inputBudSum!B4</f>
        <v>0</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I4"/>
    <mergeCell ref="H15:H17"/>
    <mergeCell ref="B7:I7"/>
    <mergeCell ref="B6:I6"/>
    <mergeCell ref="B5:I5"/>
    <mergeCell ref="B47:C47"/>
    <mergeCell ref="B46:C46"/>
    <mergeCell ref="K32:N32"/>
    <mergeCell ref="K38:N38"/>
    <mergeCell ref="K21:N21"/>
    <mergeCell ref="K25:N2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Jackson Township</v>
      </c>
      <c r="B1" s="14"/>
      <c r="C1" s="14"/>
      <c r="D1" s="14"/>
      <c r="E1" s="14"/>
      <c r="F1" s="14">
        <f>inputPrYr!D5</f>
        <v>2013</v>
      </c>
    </row>
    <row r="2" spans="1:6" x14ac:dyDescent="0.25">
      <c r="A2" s="14"/>
      <c r="B2" s="14"/>
      <c r="C2" s="14"/>
      <c r="D2" s="14"/>
      <c r="E2" s="14"/>
      <c r="F2" s="14"/>
    </row>
    <row r="3" spans="1:6" x14ac:dyDescent="0.25">
      <c r="A3" s="14"/>
      <c r="B3" s="776" t="str">
        <f>CONCATENATE("",F1," Neighborhood Revitalization Rebate")</f>
        <v>2013 Neighborhood Revitalization Rebate</v>
      </c>
      <c r="C3" s="784"/>
      <c r="D3" s="784"/>
      <c r="E3" s="784"/>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f>inputPrYr!B20</f>
        <v>0</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1191580</v>
      </c>
      <c r="E19" s="14"/>
      <c r="F19" s="129"/>
    </row>
    <row r="20" spans="1:6" x14ac:dyDescent="0.25">
      <c r="A20" s="14"/>
      <c r="B20" s="14"/>
      <c r="C20" s="14"/>
      <c r="D20" s="14"/>
      <c r="E20" s="14"/>
      <c r="F20" s="129"/>
    </row>
    <row r="21" spans="1:6" x14ac:dyDescent="0.25">
      <c r="A21" s="14"/>
      <c r="B21" s="847" t="s">
        <v>366</v>
      </c>
      <c r="C21" s="847"/>
      <c r="D21" s="137">
        <f>IF(D19&gt;0,(D19*0.001),"")</f>
        <v>1191.58</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1" t="s">
        <v>129</v>
      </c>
      <c r="B1" s="851"/>
      <c r="C1" s="851"/>
      <c r="D1" s="851"/>
      <c r="E1" s="851"/>
      <c r="F1" s="851"/>
      <c r="G1" s="851"/>
    </row>
    <row r="2" spans="1:9" x14ac:dyDescent="0.25">
      <c r="A2" s="1"/>
    </row>
    <row r="3" spans="1:9" x14ac:dyDescent="0.25">
      <c r="A3" s="852" t="s">
        <v>130</v>
      </c>
      <c r="B3" s="852"/>
      <c r="C3" s="852"/>
      <c r="D3" s="852"/>
      <c r="E3" s="852"/>
      <c r="F3" s="852"/>
      <c r="G3" s="852"/>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Jackson Township </v>
      </c>
      <c r="I6" t="str">
        <f>CONCATENATE(I7)</f>
        <v/>
      </c>
    </row>
    <row r="7" spans="1:9" x14ac:dyDescent="0.25">
      <c r="A7" s="853" t="str">
        <f>CONCATENATE("   with respect to financing the ",inputPrYr!D5," annual budget for ",(inputPrYr!D2)," , ",(inputPrYr!D3)," , Kansas.")</f>
        <v xml:space="preserve">   with respect to financing the 2013 annual budget for Jackson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Jackson Township budget exceed the amount levied to finance the 2012</v>
      </c>
    </row>
    <row r="12" spans="1:9" x14ac:dyDescent="0.25">
      <c r="A12" s="848" t="str">
        <f>CONCATENATE((inputPrYr!D2)," Township budget, except with regard to revenue produced and attributable to the taxation of 1) new improvements to real property; 2) increased personal property valuation, other than increased")</f>
        <v>Jackson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48" t="s">
        <v>136</v>
      </c>
      <c r="B14" s="849"/>
      <c r="C14" s="849"/>
      <c r="D14" s="849"/>
      <c r="E14" s="849"/>
      <c r="F14" s="849"/>
      <c r="G14" s="849"/>
    </row>
    <row r="15" spans="1:9" x14ac:dyDescent="0.25">
      <c r="A15" s="849"/>
      <c r="B15" s="849"/>
      <c r="C15" s="849"/>
      <c r="D15" s="849"/>
      <c r="E15" s="849"/>
      <c r="F15" s="849"/>
      <c r="G15" s="849"/>
    </row>
    <row r="16" spans="1:9" x14ac:dyDescent="0.25">
      <c r="A16" s="850"/>
      <c r="B16" s="850"/>
      <c r="C16" s="850"/>
      <c r="D16" s="850"/>
      <c r="E16" s="850"/>
      <c r="F16" s="850"/>
      <c r="G16" s="850"/>
    </row>
    <row r="17" spans="1:7" x14ac:dyDescent="0.25">
      <c r="A17" s="2"/>
    </row>
    <row r="18" spans="1:7" x14ac:dyDescent="0.25">
      <c r="A18" s="854"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54" t="str">
        <f>CONCATENATE("Whereas, ",(inputPrYr!D2)," provides essential services to protect the safety and well being of the citizens of the township; and")</f>
        <v>Whereas, Jackson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54" t="str">
        <f>CONCATENATE("NOW, THEREFORE, BE IT RESOLVED by the Board of ",(inputPrYr!D2)," of ",(inputPrYr!D3),", Kansas that is our desire to notify the public of increased property taxes to finance the ",inputPrYr!D5," ",(inputPrYr!D2),"  budget as defined above.")</f>
        <v>NOW, THEREFORE, BE IT RESOLVED by the Board of Jackson Township of Osborne County, Kansas that is our desire to notify the public of increased property taxes to finance the 2013 Jackson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Jackson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5" t="str">
        <f>CONCATENATE((inputPrYr!D2)," Board")</f>
        <v>Jackson Township Board</v>
      </c>
      <c r="E33" s="855"/>
      <c r="F33" s="855"/>
      <c r="G33" s="855"/>
    </row>
    <row r="35" spans="1:7" x14ac:dyDescent="0.25">
      <c r="D35" s="856" t="s">
        <v>134</v>
      </c>
      <c r="E35" s="856"/>
      <c r="F35" s="856"/>
      <c r="G35" s="856"/>
    </row>
    <row r="36" spans="1:7" x14ac:dyDescent="0.25">
      <c r="A36" s="5"/>
      <c r="D36" s="856" t="s">
        <v>138</v>
      </c>
      <c r="E36" s="856"/>
      <c r="F36" s="856"/>
      <c r="G36" s="856"/>
    </row>
    <row r="37" spans="1:7" x14ac:dyDescent="0.25">
      <c r="D37" s="856"/>
      <c r="E37" s="856"/>
      <c r="F37" s="856"/>
      <c r="G37" s="856"/>
    </row>
    <row r="38" spans="1:7" x14ac:dyDescent="0.25">
      <c r="D38" s="856" t="s">
        <v>134</v>
      </c>
      <c r="E38" s="856"/>
      <c r="F38" s="856"/>
      <c r="G38" s="856"/>
    </row>
    <row r="39" spans="1:7" x14ac:dyDescent="0.25">
      <c r="A39" s="4"/>
      <c r="D39" s="856" t="s">
        <v>139</v>
      </c>
      <c r="E39" s="856"/>
      <c r="F39" s="856"/>
      <c r="G39" s="856"/>
    </row>
    <row r="40" spans="1:7" x14ac:dyDescent="0.25">
      <c r="D40" s="856"/>
      <c r="E40" s="856"/>
      <c r="F40" s="856"/>
      <c r="G40" s="856"/>
    </row>
    <row r="41" spans="1:7" x14ac:dyDescent="0.25">
      <c r="D41" s="856" t="s">
        <v>137</v>
      </c>
      <c r="E41" s="856"/>
      <c r="F41" s="856"/>
      <c r="G41" s="856"/>
    </row>
    <row r="42" spans="1:7" x14ac:dyDescent="0.25">
      <c r="A42" s="4"/>
      <c r="D42" s="856" t="s">
        <v>140</v>
      </c>
      <c r="E42" s="856"/>
      <c r="F42" s="856"/>
      <c r="G42" s="856"/>
    </row>
    <row r="43" spans="1:7" x14ac:dyDescent="0.25">
      <c r="A43" s="6"/>
    </row>
    <row r="44" spans="1:7" x14ac:dyDescent="0.25">
      <c r="A44" s="6"/>
    </row>
    <row r="45" spans="1:7" x14ac:dyDescent="0.25">
      <c r="A45" s="6" t="s">
        <v>135</v>
      </c>
    </row>
    <row r="50" spans="3:4" x14ac:dyDescent="0.25">
      <c r="C50" s="10" t="s">
        <v>9</v>
      </c>
      <c r="D50" s="11"/>
    </row>
  </sheetData>
  <mergeCells count="18">
    <mergeCell ref="D39:G39"/>
    <mergeCell ref="A30:G31"/>
    <mergeCell ref="D42:G42"/>
    <mergeCell ref="D37:G37"/>
    <mergeCell ref="D38:G38"/>
    <mergeCell ref="D40:G40"/>
    <mergeCell ref="D41:G41"/>
    <mergeCell ref="D35:G35"/>
    <mergeCell ref="A18:G19"/>
    <mergeCell ref="A21:G22"/>
    <mergeCell ref="A26:G28"/>
    <mergeCell ref="D33:G33"/>
    <mergeCell ref="D36:G36"/>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8" t="s">
        <v>627</v>
      </c>
      <c r="C6" s="859"/>
      <c r="D6" s="859"/>
      <c r="E6" s="859"/>
      <c r="F6" s="859"/>
      <c r="G6" s="859"/>
      <c r="H6" s="859"/>
      <c r="I6" s="859"/>
      <c r="J6" s="859"/>
      <c r="K6" s="859"/>
      <c r="L6" s="409"/>
    </row>
    <row r="7" spans="1:12" ht="40.5" customHeight="1" x14ac:dyDescent="0.2">
      <c r="A7" s="406"/>
      <c r="B7" s="860" t="s">
        <v>628</v>
      </c>
      <c r="C7" s="861"/>
      <c r="D7" s="861"/>
      <c r="E7" s="861"/>
      <c r="F7" s="861"/>
      <c r="G7" s="861"/>
      <c r="H7" s="861"/>
      <c r="I7" s="861"/>
      <c r="J7" s="861"/>
      <c r="K7" s="861"/>
      <c r="L7" s="406"/>
    </row>
    <row r="8" spans="1:12" x14ac:dyDescent="0.2">
      <c r="A8" s="406"/>
      <c r="B8" s="862" t="s">
        <v>629</v>
      </c>
      <c r="C8" s="862"/>
      <c r="D8" s="862"/>
      <c r="E8" s="862"/>
      <c r="F8" s="862"/>
      <c r="G8" s="862"/>
      <c r="H8" s="862"/>
      <c r="I8" s="862"/>
      <c r="J8" s="862"/>
      <c r="K8" s="862"/>
      <c r="L8" s="406"/>
    </row>
    <row r="9" spans="1:12" x14ac:dyDescent="0.2">
      <c r="A9" s="406"/>
      <c r="L9" s="406"/>
    </row>
    <row r="10" spans="1:12" x14ac:dyDescent="0.2">
      <c r="A10" s="406"/>
      <c r="B10" s="862" t="s">
        <v>630</v>
      </c>
      <c r="C10" s="862"/>
      <c r="D10" s="862"/>
      <c r="E10" s="862"/>
      <c r="F10" s="862"/>
      <c r="G10" s="862"/>
      <c r="H10" s="862"/>
      <c r="I10" s="862"/>
      <c r="J10" s="862"/>
      <c r="K10" s="862"/>
      <c r="L10" s="406"/>
    </row>
    <row r="11" spans="1:12" x14ac:dyDescent="0.2">
      <c r="A11" s="406"/>
      <c r="B11" s="550"/>
      <c r="C11" s="550"/>
      <c r="D11" s="550"/>
      <c r="E11" s="550"/>
      <c r="F11" s="550"/>
      <c r="G11" s="550"/>
      <c r="H11" s="550"/>
      <c r="I11" s="550"/>
      <c r="J11" s="550"/>
      <c r="K11" s="550"/>
      <c r="L11" s="406"/>
    </row>
    <row r="12" spans="1:12" ht="32.25" customHeight="1" x14ac:dyDescent="0.2">
      <c r="A12" s="406"/>
      <c r="B12" s="863" t="s">
        <v>631</v>
      </c>
      <c r="C12" s="863"/>
      <c r="D12" s="863"/>
      <c r="E12" s="863"/>
      <c r="F12" s="863"/>
      <c r="G12" s="863"/>
      <c r="H12" s="863"/>
      <c r="I12" s="863"/>
      <c r="J12" s="863"/>
      <c r="K12" s="863"/>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4">
        <v>312000000</v>
      </c>
      <c r="G23" s="864"/>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2" t="s">
        <v>640</v>
      </c>
      <c r="C31" s="862"/>
      <c r="D31" s="862"/>
      <c r="E31" s="862"/>
      <c r="F31" s="862"/>
      <c r="G31" s="862"/>
      <c r="H31" s="862"/>
      <c r="I31" s="862"/>
      <c r="J31" s="862"/>
      <c r="K31" s="862"/>
      <c r="L31" s="406"/>
    </row>
    <row r="32" spans="1:12" x14ac:dyDescent="0.2">
      <c r="A32" s="406"/>
      <c r="L32" s="406"/>
    </row>
    <row r="33" spans="1:12" x14ac:dyDescent="0.2">
      <c r="A33" s="406"/>
      <c r="B33" s="862" t="s">
        <v>641</v>
      </c>
      <c r="C33" s="862"/>
      <c r="D33" s="862"/>
      <c r="E33" s="862"/>
      <c r="F33" s="862"/>
      <c r="G33" s="862"/>
      <c r="H33" s="862"/>
      <c r="I33" s="862"/>
      <c r="J33" s="862"/>
      <c r="K33" s="862"/>
      <c r="L33" s="406"/>
    </row>
    <row r="34" spans="1:12" x14ac:dyDescent="0.2">
      <c r="A34" s="406"/>
      <c r="L34" s="406"/>
    </row>
    <row r="35" spans="1:12" ht="89.25" customHeight="1" x14ac:dyDescent="0.2">
      <c r="A35" s="406"/>
      <c r="B35" s="863"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64"/>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2" t="s">
        <v>652</v>
      </c>
      <c r="C53" s="862"/>
      <c r="D53" s="862"/>
      <c r="E53" s="862"/>
      <c r="F53" s="862"/>
      <c r="G53" s="862"/>
      <c r="H53" s="862"/>
      <c r="I53" s="862"/>
      <c r="J53" s="862"/>
      <c r="K53" s="862"/>
      <c r="L53" s="406"/>
    </row>
    <row r="54" spans="1:24" x14ac:dyDescent="0.2">
      <c r="A54" s="406"/>
      <c r="B54" s="550"/>
      <c r="C54" s="550"/>
      <c r="D54" s="550"/>
      <c r="E54" s="550"/>
      <c r="F54" s="550"/>
      <c r="G54" s="550"/>
      <c r="H54" s="550"/>
      <c r="I54" s="550"/>
      <c r="J54" s="550"/>
      <c r="K54" s="550"/>
      <c r="L54" s="406"/>
    </row>
    <row r="55" spans="1:24" x14ac:dyDescent="0.2">
      <c r="A55" s="406"/>
      <c r="B55" s="858" t="s">
        <v>653</v>
      </c>
      <c r="C55" s="858"/>
      <c r="D55" s="858"/>
      <c r="E55" s="858"/>
      <c r="F55" s="858"/>
      <c r="G55" s="858"/>
      <c r="H55" s="858"/>
      <c r="I55" s="858"/>
      <c r="J55" s="858"/>
      <c r="K55" s="858"/>
      <c r="L55" s="406"/>
    </row>
    <row r="56" spans="1:24" ht="15" customHeight="1" x14ac:dyDescent="0.2">
      <c r="A56" s="406"/>
      <c r="L56" s="406"/>
    </row>
    <row r="57" spans="1:24" ht="74.25" customHeight="1" x14ac:dyDescent="0.2">
      <c r="A57" s="406"/>
      <c r="B57" s="863"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3"/>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4">
        <v>312000000</v>
      </c>
      <c r="D74" s="864"/>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4">
        <v>50000</v>
      </c>
      <c r="D77" s="864"/>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4">
        <v>100000</v>
      </c>
      <c r="D80" s="864"/>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8" t="s">
        <v>670</v>
      </c>
      <c r="C86" s="858"/>
      <c r="D86" s="858"/>
      <c r="E86" s="858"/>
      <c r="F86" s="858"/>
      <c r="G86" s="858"/>
      <c r="H86" s="858"/>
      <c r="I86" s="858"/>
      <c r="J86" s="858"/>
      <c r="K86" s="858"/>
      <c r="L86" s="406"/>
    </row>
    <row r="87" spans="1:12" x14ac:dyDescent="0.2">
      <c r="A87" s="406"/>
      <c r="B87" s="440"/>
      <c r="C87" s="440"/>
      <c r="D87" s="440"/>
      <c r="E87" s="440"/>
      <c r="F87" s="440"/>
      <c r="G87" s="440"/>
      <c r="H87" s="440"/>
      <c r="I87" s="440"/>
      <c r="J87" s="440"/>
      <c r="K87" s="440"/>
      <c r="L87" s="406"/>
    </row>
    <row r="88" spans="1:12" x14ac:dyDescent="0.2">
      <c r="A88" s="406"/>
      <c r="B88" s="858" t="s">
        <v>671</v>
      </c>
      <c r="C88" s="858"/>
      <c r="D88" s="858"/>
      <c r="E88" s="858"/>
      <c r="F88" s="858"/>
      <c r="G88" s="858"/>
      <c r="H88" s="858"/>
      <c r="I88" s="858"/>
      <c r="J88" s="858"/>
      <c r="K88" s="858"/>
      <c r="L88" s="406"/>
    </row>
    <row r="89" spans="1:12" x14ac:dyDescent="0.2">
      <c r="A89" s="406"/>
      <c r="B89" s="549"/>
      <c r="C89" s="549"/>
      <c r="D89" s="549"/>
      <c r="E89" s="549"/>
      <c r="F89" s="549"/>
      <c r="G89" s="549"/>
      <c r="H89" s="549"/>
      <c r="I89" s="549"/>
      <c r="J89" s="549"/>
      <c r="K89" s="549"/>
      <c r="L89" s="406"/>
    </row>
    <row r="90" spans="1:12" ht="45" customHeight="1" x14ac:dyDescent="0.2">
      <c r="A90" s="406"/>
      <c r="B90" s="863" t="s">
        <v>672</v>
      </c>
      <c r="C90" s="863"/>
      <c r="D90" s="863"/>
      <c r="E90" s="863"/>
      <c r="F90" s="863"/>
      <c r="G90" s="863"/>
      <c r="H90" s="863"/>
      <c r="I90" s="863"/>
      <c r="J90" s="863"/>
      <c r="K90" s="863"/>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4">
        <v>312000000</v>
      </c>
      <c r="D94" s="864"/>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4">
        <v>50000</v>
      </c>
      <c r="D97" s="864"/>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4">
        <v>2500000</v>
      </c>
      <c r="D100" s="864"/>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59"/>
      <c r="D106" s="859"/>
      <c r="E106" s="859"/>
      <c r="F106" s="859"/>
      <c r="G106" s="859"/>
      <c r="H106" s="859"/>
      <c r="I106" s="859"/>
      <c r="J106" s="859"/>
      <c r="K106" s="859"/>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4">
        <v>312000000</v>
      </c>
      <c r="D114" s="864"/>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4">
        <v>50000</v>
      </c>
      <c r="D117" s="864"/>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4">
        <v>2500000</v>
      </c>
      <c r="D120" s="864"/>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8" t="s">
        <v>677</v>
      </c>
      <c r="C126" s="858"/>
      <c r="D126" s="858"/>
      <c r="E126" s="858"/>
      <c r="F126" s="858"/>
      <c r="G126" s="858"/>
      <c r="H126" s="858"/>
      <c r="I126" s="858"/>
      <c r="J126" s="858"/>
      <c r="K126" s="858"/>
      <c r="L126" s="452"/>
    </row>
    <row r="127" spans="1:12" x14ac:dyDescent="0.2">
      <c r="A127" s="406"/>
      <c r="B127" s="550"/>
      <c r="C127" s="550"/>
      <c r="D127" s="550"/>
      <c r="E127" s="550"/>
      <c r="F127" s="550"/>
      <c r="G127" s="550"/>
      <c r="H127" s="550"/>
      <c r="I127" s="550"/>
      <c r="J127" s="550"/>
      <c r="K127" s="550"/>
      <c r="L127" s="452"/>
    </row>
    <row r="128" spans="1:12" x14ac:dyDescent="0.2">
      <c r="A128" s="406"/>
      <c r="B128" s="858" t="s">
        <v>678</v>
      </c>
      <c r="C128" s="858"/>
      <c r="D128" s="858"/>
      <c r="E128" s="858"/>
      <c r="F128" s="858"/>
      <c r="G128" s="858"/>
      <c r="H128" s="858"/>
      <c r="I128" s="858"/>
      <c r="J128" s="858"/>
      <c r="K128" s="858"/>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3" t="s">
        <v>679</v>
      </c>
      <c r="C130" s="863"/>
      <c r="D130" s="863"/>
      <c r="E130" s="863"/>
      <c r="F130" s="863"/>
      <c r="G130" s="863"/>
      <c r="H130" s="863"/>
      <c r="I130" s="863"/>
      <c r="J130" s="863"/>
      <c r="K130" s="863"/>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9" t="s">
        <v>680</v>
      </c>
      <c r="D133" s="879"/>
      <c r="E133" s="416"/>
      <c r="F133" s="555" t="s">
        <v>681</v>
      </c>
      <c r="G133" s="416"/>
      <c r="H133" s="879" t="s">
        <v>666</v>
      </c>
      <c r="I133" s="879"/>
      <c r="J133" s="416"/>
      <c r="K133" s="418"/>
      <c r="L133" s="406"/>
    </row>
    <row r="134" spans="1:12" x14ac:dyDescent="0.2">
      <c r="A134" s="406"/>
      <c r="B134" s="424" t="s">
        <v>659</v>
      </c>
      <c r="C134" s="864">
        <v>100000</v>
      </c>
      <c r="D134" s="864"/>
      <c r="E134" s="555" t="s">
        <v>290</v>
      </c>
      <c r="F134" s="555">
        <v>0.115</v>
      </c>
      <c r="G134" s="555" t="s">
        <v>636</v>
      </c>
      <c r="H134" s="880">
        <f>C134*F134</f>
        <v>11500</v>
      </c>
      <c r="I134" s="880"/>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5" t="s">
        <v>666</v>
      </c>
      <c r="D136" s="885"/>
      <c r="E136" s="434"/>
      <c r="F136" s="557" t="s">
        <v>682</v>
      </c>
      <c r="G136" s="557"/>
      <c r="H136" s="434"/>
      <c r="I136" s="434"/>
      <c r="J136" s="434" t="s">
        <v>683</v>
      </c>
      <c r="K136" s="435"/>
      <c r="L136" s="406"/>
    </row>
    <row r="137" spans="1:12" x14ac:dyDescent="0.2">
      <c r="A137" s="406"/>
      <c r="B137" s="424" t="s">
        <v>662</v>
      </c>
      <c r="C137" s="880">
        <f>H134</f>
        <v>11500</v>
      </c>
      <c r="D137" s="880"/>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6" t="s">
        <v>686</v>
      </c>
      <c r="C144" s="887"/>
      <c r="D144" s="887"/>
      <c r="E144" s="887"/>
      <c r="F144" s="887"/>
      <c r="G144" s="887"/>
      <c r="H144" s="887"/>
      <c r="I144" s="887"/>
      <c r="J144" s="887"/>
      <c r="K144" s="888"/>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0" t="s">
        <v>687</v>
      </c>
      <c r="D147" s="880"/>
      <c r="E147" s="555"/>
      <c r="F147" s="470" t="s">
        <v>688</v>
      </c>
      <c r="G147" s="555"/>
      <c r="H147" s="555"/>
      <c r="I147" s="555"/>
      <c r="J147" s="881" t="s">
        <v>689</v>
      </c>
      <c r="K147" s="882"/>
      <c r="L147" s="406"/>
    </row>
    <row r="148" spans="1:12" x14ac:dyDescent="0.2">
      <c r="A148" s="406"/>
      <c r="B148" s="424"/>
      <c r="C148" s="883">
        <v>52.869</v>
      </c>
      <c r="D148" s="883"/>
      <c r="E148" s="555" t="s">
        <v>290</v>
      </c>
      <c r="F148" s="551">
        <v>312000000</v>
      </c>
      <c r="G148" s="475" t="s">
        <v>637</v>
      </c>
      <c r="H148" s="555">
        <v>1000</v>
      </c>
      <c r="I148" s="555" t="s">
        <v>636</v>
      </c>
      <c r="J148" s="881">
        <f>C148*(F148/1000)</f>
        <v>16495128</v>
      </c>
      <c r="K148" s="884"/>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7:D147"/>
    <mergeCell ref="J147:K147"/>
    <mergeCell ref="C148:D148"/>
    <mergeCell ref="J148:K148"/>
    <mergeCell ref="C134:D134"/>
    <mergeCell ref="H134:I134"/>
    <mergeCell ref="C136:D136"/>
    <mergeCell ref="C137:D137"/>
    <mergeCell ref="B144:K144"/>
    <mergeCell ref="B125:K125"/>
    <mergeCell ref="B126:K126"/>
    <mergeCell ref="B128:K128"/>
    <mergeCell ref="B130:K130"/>
    <mergeCell ref="C133:D133"/>
    <mergeCell ref="H133:I133"/>
    <mergeCell ref="B110:K110"/>
    <mergeCell ref="C114:D114"/>
    <mergeCell ref="C117:D117"/>
    <mergeCell ref="C120:D120"/>
    <mergeCell ref="C123:D123"/>
    <mergeCell ref="C100:D100"/>
    <mergeCell ref="C103:D103"/>
    <mergeCell ref="B105:K105"/>
    <mergeCell ref="B106:K106"/>
    <mergeCell ref="B108:K108"/>
    <mergeCell ref="B86:K86"/>
    <mergeCell ref="B88:K88"/>
    <mergeCell ref="B90:K90"/>
    <mergeCell ref="C94:D94"/>
    <mergeCell ref="C97:D97"/>
    <mergeCell ref="C74:D74"/>
    <mergeCell ref="C77:D77"/>
    <mergeCell ref="C80:D80"/>
    <mergeCell ref="C83:D83"/>
    <mergeCell ref="B85:K85"/>
    <mergeCell ref="B52:K52"/>
    <mergeCell ref="B53:K53"/>
    <mergeCell ref="B55:K55"/>
    <mergeCell ref="B57:K57"/>
    <mergeCell ref="B58:K58"/>
    <mergeCell ref="B35:K35"/>
    <mergeCell ref="C41:D41"/>
    <mergeCell ref="B48:C48"/>
    <mergeCell ref="G50:H50"/>
    <mergeCell ref="I51:K51"/>
    <mergeCell ref="F23:G23"/>
    <mergeCell ref="C25:D25"/>
    <mergeCell ref="B30:K30"/>
    <mergeCell ref="B31:K31"/>
    <mergeCell ref="B33:K3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9"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Jackson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1191580</v>
      </c>
    </row>
    <row r="8" spans="1:5" x14ac:dyDescent="0.25">
      <c r="A8" s="22" t="str">
        <f>CONCATENATE("New Improvements for ",E1-1,"")</f>
        <v>New Improvements for 2012</v>
      </c>
      <c r="B8" s="19"/>
      <c r="C8" s="19"/>
      <c r="D8" s="19"/>
      <c r="E8" s="283">
        <v>0</v>
      </c>
    </row>
    <row r="9" spans="1:5" x14ac:dyDescent="0.25">
      <c r="A9" s="22" t="str">
        <f>CONCATENATE("Personal Property excluding oil, gas, and mobile homes - ",E1-1,"")</f>
        <v>Personal Property excluding oil, gas, and mobile homes - 2012</v>
      </c>
      <c r="B9" s="19"/>
      <c r="C9" s="19"/>
      <c r="D9" s="19"/>
      <c r="E9" s="283">
        <v>21015</v>
      </c>
    </row>
    <row r="10" spans="1:5" x14ac:dyDescent="0.25">
      <c r="A10" s="22" t="str">
        <f>CONCATENATE("Property that has changed in use for ",E1-1,"")</f>
        <v>Property that has changed in use for 2012</v>
      </c>
      <c r="B10" s="19"/>
      <c r="C10" s="19"/>
      <c r="D10" s="19"/>
      <c r="E10" s="283">
        <v>1781</v>
      </c>
    </row>
    <row r="11" spans="1:5" x14ac:dyDescent="0.25">
      <c r="A11" s="22" t="str">
        <f>CONCATENATE("Personal Property excluding oil, gas, and mobile homes- ",E1-2,"")</f>
        <v>Personal Property excluding oil, gas, and mobile homes- 2011</v>
      </c>
      <c r="B11" s="19"/>
      <c r="C11" s="19"/>
      <c r="D11" s="19"/>
      <c r="E11" s="283">
        <v>19604</v>
      </c>
    </row>
    <row r="12" spans="1:5" x14ac:dyDescent="0.25">
      <c r="A12" s="22" t="str">
        <f>CONCATENATE("Gross earnings (intangible) tax estimate for ",E1,"")</f>
        <v>Gross earnings (intangible) tax estimate for 2013</v>
      </c>
      <c r="B12" s="19"/>
      <c r="C12" s="19"/>
      <c r="D12" s="19"/>
      <c r="E12" s="283">
        <v>507</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1.7010000000000001</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12.025</v>
      </c>
      <c r="E20" s="286"/>
    </row>
    <row r="21" spans="1:5" x14ac:dyDescent="0.25">
      <c r="A21" s="71">
        <f>inputPrYr!B20</f>
        <v>0</v>
      </c>
      <c r="B21" s="267"/>
      <c r="C21" s="19"/>
      <c r="D21" s="289"/>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13.726000000000001</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1144226</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608</v>
      </c>
    </row>
    <row r="33" spans="1:5" x14ac:dyDescent="0.25">
      <c r="A33" s="296" t="s">
        <v>277</v>
      </c>
      <c r="B33" s="267"/>
      <c r="C33" s="267"/>
      <c r="D33" s="31"/>
      <c r="E33" s="34">
        <v>9</v>
      </c>
    </row>
    <row r="34" spans="1:5" x14ac:dyDescent="0.25">
      <c r="A34" s="296" t="s">
        <v>160</v>
      </c>
      <c r="B34" s="267"/>
      <c r="C34" s="267"/>
      <c r="D34" s="31"/>
      <c r="E34" s="34">
        <v>301</v>
      </c>
    </row>
    <row r="35" spans="1:5" x14ac:dyDescent="0.25">
      <c r="A35" s="296" t="s">
        <v>161</v>
      </c>
      <c r="B35" s="267"/>
      <c r="C35" s="267"/>
      <c r="D35" s="31"/>
      <c r="E35" s="34"/>
    </row>
    <row r="36" spans="1:5" x14ac:dyDescent="0.25">
      <c r="A36" s="296" t="s">
        <v>100</v>
      </c>
      <c r="B36" s="20"/>
      <c r="C36" s="20"/>
      <c r="D36" s="295"/>
      <c r="E36" s="34">
        <v>900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3398</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14062</v>
      </c>
      <c r="C49" s="140"/>
      <c r="D49" s="140"/>
      <c r="E49" s="140"/>
    </row>
    <row r="50" spans="1:5" x14ac:dyDescent="0.25">
      <c r="A50" s="304">
        <f>inputPrYr!B20</f>
        <v>0</v>
      </c>
      <c r="B50" s="36"/>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0"/>
  <sheetViews>
    <sheetView workbookViewId="0">
      <selection activeCell="D10" sqref="D10"/>
    </sheetView>
  </sheetViews>
  <sheetFormatPr defaultRowHeight="15.75" x14ac:dyDescent="0.25"/>
  <cols>
    <col min="1" max="1" width="72.09765625" style="80" customWidth="1"/>
    <col min="2" max="16384" width="8.796875" style="80"/>
  </cols>
  <sheetData>
    <row r="1" spans="1:1" x14ac:dyDescent="0.25">
      <c r="A1" s="373" t="s">
        <v>930</v>
      </c>
    </row>
    <row r="2" spans="1:1" x14ac:dyDescent="0.25">
      <c r="A2" s="751" t="s">
        <v>931</v>
      </c>
    </row>
    <row r="4" spans="1:1" x14ac:dyDescent="0.25">
      <c r="A4" s="373" t="s">
        <v>896</v>
      </c>
    </row>
    <row r="5" spans="1:1" x14ac:dyDescent="0.25">
      <c r="A5" s="80" t="s">
        <v>897</v>
      </c>
    </row>
    <row r="6" spans="1:1" x14ac:dyDescent="0.25">
      <c r="A6" s="80" t="s">
        <v>898</v>
      </c>
    </row>
    <row r="7" spans="1:1" x14ac:dyDescent="0.25">
      <c r="A7" s="80" t="s">
        <v>899</v>
      </c>
    </row>
    <row r="8" spans="1:1" x14ac:dyDescent="0.25">
      <c r="A8" s="80" t="s">
        <v>900</v>
      </c>
    </row>
    <row r="9" spans="1:1" x14ac:dyDescent="0.25">
      <c r="A9" s="80" t="s">
        <v>901</v>
      </c>
    </row>
    <row r="10" spans="1:1" x14ac:dyDescent="0.25">
      <c r="A10" s="80" t="s">
        <v>902</v>
      </c>
    </row>
    <row r="11" spans="1:1" x14ac:dyDescent="0.25">
      <c r="A11" s="80" t="s">
        <v>903</v>
      </c>
    </row>
    <row r="12" spans="1:1" x14ac:dyDescent="0.25">
      <c r="A12" s="80" t="s">
        <v>904</v>
      </c>
    </row>
    <row r="13" spans="1:1" x14ac:dyDescent="0.25">
      <c r="A13" s="80" t="s">
        <v>905</v>
      </c>
    </row>
    <row r="14" spans="1:1" x14ac:dyDescent="0.25">
      <c r="A14" s="80" t="s">
        <v>906</v>
      </c>
    </row>
    <row r="15" spans="1:1" x14ac:dyDescent="0.25">
      <c r="A15" s="80" t="s">
        <v>907</v>
      </c>
    </row>
    <row r="16" spans="1:1" x14ac:dyDescent="0.25">
      <c r="A16" s="80" t="s">
        <v>908</v>
      </c>
    </row>
    <row r="17" spans="1:1" x14ac:dyDescent="0.25">
      <c r="A17" s="80" t="s">
        <v>909</v>
      </c>
    </row>
    <row r="18" spans="1:1" x14ac:dyDescent="0.25">
      <c r="A18" s="80" t="s">
        <v>910</v>
      </c>
    </row>
    <row r="19" spans="1:1" x14ac:dyDescent="0.25">
      <c r="A19" s="80" t="s">
        <v>911</v>
      </c>
    </row>
    <row r="20" spans="1:1" x14ac:dyDescent="0.25">
      <c r="A20" s="80" t="s">
        <v>912</v>
      </c>
    </row>
    <row r="21" spans="1:1" x14ac:dyDescent="0.25">
      <c r="A21" s="80" t="s">
        <v>913</v>
      </c>
    </row>
    <row r="22" spans="1:1" x14ac:dyDescent="0.25">
      <c r="A22" s="80" t="s">
        <v>914</v>
      </c>
    </row>
    <row r="23" spans="1:1" x14ac:dyDescent="0.25">
      <c r="A23" s="80" t="s">
        <v>915</v>
      </c>
    </row>
    <row r="24" spans="1:1" x14ac:dyDescent="0.25">
      <c r="A24" s="80" t="s">
        <v>916</v>
      </c>
    </row>
    <row r="25" spans="1:1" x14ac:dyDescent="0.25">
      <c r="A25" s="80" t="s">
        <v>917</v>
      </c>
    </row>
    <row r="26" spans="1:1" x14ac:dyDescent="0.25">
      <c r="A26" s="80" t="s">
        <v>918</v>
      </c>
    </row>
    <row r="27" spans="1:1" x14ac:dyDescent="0.25">
      <c r="A27" s="80" t="s">
        <v>919</v>
      </c>
    </row>
    <row r="28" spans="1:1" x14ac:dyDescent="0.25">
      <c r="A28" s="80" t="s">
        <v>920</v>
      </c>
    </row>
    <row r="29" spans="1:1" x14ac:dyDescent="0.25">
      <c r="A29" s="80" t="s">
        <v>921</v>
      </c>
    </row>
    <row r="30" spans="1:1" x14ac:dyDescent="0.25">
      <c r="A30" s="80" t="s">
        <v>922</v>
      </c>
    </row>
    <row r="31" spans="1:1" x14ac:dyDescent="0.25">
      <c r="A31" s="80" t="s">
        <v>923</v>
      </c>
    </row>
    <row r="32" spans="1:1" x14ac:dyDescent="0.25">
      <c r="A32" s="80" t="s">
        <v>925</v>
      </c>
    </row>
    <row r="33" spans="1:1" x14ac:dyDescent="0.25">
      <c r="A33" s="80" t="s">
        <v>924</v>
      </c>
    </row>
    <row r="35" spans="1:1" x14ac:dyDescent="0.25">
      <c r="A35" s="373" t="s">
        <v>756</v>
      </c>
    </row>
    <row r="36" spans="1:1" x14ac:dyDescent="0.25">
      <c r="A36" s="80" t="s">
        <v>757</v>
      </c>
    </row>
    <row r="38" spans="1:1" x14ac:dyDescent="0.25">
      <c r="A38" s="373" t="s">
        <v>754</v>
      </c>
    </row>
    <row r="39" spans="1:1" x14ac:dyDescent="0.25">
      <c r="A39" s="80" t="s">
        <v>755</v>
      </c>
    </row>
    <row r="41" spans="1:1" x14ac:dyDescent="0.25">
      <c r="A41" s="373" t="s">
        <v>751</v>
      </c>
    </row>
    <row r="42" spans="1:1" x14ac:dyDescent="0.25">
      <c r="A42" s="543" t="s">
        <v>752</v>
      </c>
    </row>
    <row r="44" spans="1:1" x14ac:dyDescent="0.25">
      <c r="A44" s="373" t="s">
        <v>748</v>
      </c>
    </row>
    <row r="45" spans="1:1" x14ac:dyDescent="0.25">
      <c r="A45" s="80" t="s">
        <v>749</v>
      </c>
    </row>
    <row r="46" spans="1:1" x14ac:dyDescent="0.25">
      <c r="A46" s="80" t="s">
        <v>750</v>
      </c>
    </row>
    <row r="48" spans="1:1" x14ac:dyDescent="0.25">
      <c r="A48" s="373" t="s">
        <v>723</v>
      </c>
    </row>
    <row r="49" spans="1:1" x14ac:dyDescent="0.25">
      <c r="A49" s="543" t="s">
        <v>724</v>
      </c>
    </row>
    <row r="50" spans="1:1" x14ac:dyDescent="0.25">
      <c r="A50" s="543" t="s">
        <v>725</v>
      </c>
    </row>
    <row r="51" spans="1:1" ht="31.5" x14ac:dyDescent="0.25">
      <c r="A51" s="542" t="s">
        <v>726</v>
      </c>
    </row>
    <row r="52" spans="1:1" x14ac:dyDescent="0.25">
      <c r="A52" s="543" t="s">
        <v>727</v>
      </c>
    </row>
    <row r="53" spans="1:1" x14ac:dyDescent="0.25">
      <c r="A53" s="543" t="s">
        <v>728</v>
      </c>
    </row>
    <row r="54" spans="1:1" x14ac:dyDescent="0.25">
      <c r="A54" s="543" t="s">
        <v>729</v>
      </c>
    </row>
    <row r="55" spans="1:1" x14ac:dyDescent="0.25">
      <c r="A55" s="543" t="s">
        <v>730</v>
      </c>
    </row>
    <row r="56" spans="1:1" x14ac:dyDescent="0.25">
      <c r="A56" s="543" t="s">
        <v>731</v>
      </c>
    </row>
    <row r="57" spans="1:1" x14ac:dyDescent="0.25">
      <c r="A57" s="543" t="s">
        <v>732</v>
      </c>
    </row>
    <row r="58" spans="1:1" x14ac:dyDescent="0.25">
      <c r="A58" s="543" t="s">
        <v>733</v>
      </c>
    </row>
    <row r="59" spans="1:1" x14ac:dyDescent="0.25">
      <c r="A59" s="543" t="s">
        <v>734</v>
      </c>
    </row>
    <row r="60" spans="1:1" x14ac:dyDescent="0.25">
      <c r="A60" s="543" t="s">
        <v>735</v>
      </c>
    </row>
    <row r="61" spans="1:1" x14ac:dyDescent="0.25">
      <c r="A61" s="543" t="s">
        <v>746</v>
      </c>
    </row>
    <row r="62" spans="1:1" x14ac:dyDescent="0.25">
      <c r="A62" s="543" t="s">
        <v>736</v>
      </c>
    </row>
    <row r="63" spans="1:1" x14ac:dyDescent="0.25">
      <c r="A63" s="543" t="s">
        <v>737</v>
      </c>
    </row>
    <row r="64" spans="1:1" x14ac:dyDescent="0.25">
      <c r="A64" s="543" t="s">
        <v>738</v>
      </c>
    </row>
    <row r="65" spans="1:1" x14ac:dyDescent="0.25">
      <c r="A65" s="543" t="s">
        <v>739</v>
      </c>
    </row>
    <row r="66" spans="1:1" x14ac:dyDescent="0.25">
      <c r="A66" s="543" t="s">
        <v>740</v>
      </c>
    </row>
    <row r="67" spans="1:1" x14ac:dyDescent="0.25">
      <c r="A67" s="543" t="s">
        <v>741</v>
      </c>
    </row>
    <row r="68" spans="1:1" x14ac:dyDescent="0.25">
      <c r="A68" s="543" t="s">
        <v>742</v>
      </c>
    </row>
    <row r="69" spans="1:1" x14ac:dyDescent="0.25">
      <c r="A69" s="543" t="s">
        <v>743</v>
      </c>
    </row>
    <row r="70" spans="1:1" x14ac:dyDescent="0.25">
      <c r="A70" s="543" t="s">
        <v>744</v>
      </c>
    </row>
    <row r="71" spans="1:1" x14ac:dyDescent="0.25">
      <c r="A71" s="543" t="s">
        <v>747</v>
      </c>
    </row>
    <row r="73" spans="1:1" x14ac:dyDescent="0.25">
      <c r="A73" s="373" t="s">
        <v>620</v>
      </c>
    </row>
    <row r="74" spans="1:1" ht="39" customHeight="1" x14ac:dyDescent="0.25">
      <c r="A74" s="334" t="s">
        <v>621</v>
      </c>
    </row>
    <row r="75" spans="1:1" ht="23.25" customHeight="1" x14ac:dyDescent="0.25"/>
    <row r="76" spans="1:1" x14ac:dyDescent="0.25">
      <c r="A76" s="373" t="s">
        <v>616</v>
      </c>
    </row>
    <row r="77" spans="1:1" x14ac:dyDescent="0.25">
      <c r="A77" s="80" t="s">
        <v>617</v>
      </c>
    </row>
    <row r="78" spans="1:1" x14ac:dyDescent="0.25">
      <c r="A78" s="80" t="s">
        <v>618</v>
      </c>
    </row>
    <row r="79" spans="1:1" x14ac:dyDescent="0.25">
      <c r="A79" s="80" t="s">
        <v>619</v>
      </c>
    </row>
    <row r="81" spans="1:1" x14ac:dyDescent="0.25">
      <c r="A81" s="376" t="s">
        <v>605</v>
      </c>
    </row>
    <row r="82" spans="1:1" x14ac:dyDescent="0.25">
      <c r="A82" s="80" t="s">
        <v>615</v>
      </c>
    </row>
    <row r="84" spans="1:1" x14ac:dyDescent="0.25">
      <c r="A84" s="373" t="s">
        <v>589</v>
      </c>
    </row>
    <row r="85" spans="1:1" x14ac:dyDescent="0.25">
      <c r="A85" s="374" t="s">
        <v>590</v>
      </c>
    </row>
    <row r="86" spans="1:1" x14ac:dyDescent="0.25">
      <c r="A86" s="374" t="s">
        <v>591</v>
      </c>
    </row>
    <row r="87" spans="1:1" x14ac:dyDescent="0.25">
      <c r="A87" s="374" t="s">
        <v>592</v>
      </c>
    </row>
    <row r="88" spans="1:1" x14ac:dyDescent="0.25">
      <c r="A88" s="372" t="s">
        <v>593</v>
      </c>
    </row>
    <row r="90" spans="1:1" x14ac:dyDescent="0.25">
      <c r="A90" s="346" t="s">
        <v>317</v>
      </c>
    </row>
    <row r="91" spans="1:1" x14ac:dyDescent="0.25">
      <c r="A91" s="80" t="s">
        <v>319</v>
      </c>
    </row>
    <row r="92" spans="1:1" x14ac:dyDescent="0.25">
      <c r="A92" s="80" t="s">
        <v>320</v>
      </c>
    </row>
    <row r="93" spans="1:1" x14ac:dyDescent="0.25">
      <c r="A93" s="80" t="s">
        <v>321</v>
      </c>
    </row>
    <row r="94" spans="1:1" x14ac:dyDescent="0.25">
      <c r="A94" s="80" t="s">
        <v>322</v>
      </c>
    </row>
    <row r="95" spans="1:1" x14ac:dyDescent="0.25">
      <c r="A95" s="80" t="s">
        <v>323</v>
      </c>
    </row>
    <row r="96" spans="1:1" x14ac:dyDescent="0.25">
      <c r="A96" s="80" t="s">
        <v>324</v>
      </c>
    </row>
    <row r="97" spans="1:1" x14ac:dyDescent="0.25">
      <c r="A97" s="80" t="s">
        <v>339</v>
      </c>
    </row>
    <row r="98" spans="1:1" x14ac:dyDescent="0.25">
      <c r="A98" s="80" t="s">
        <v>340</v>
      </c>
    </row>
    <row r="99" spans="1:1" x14ac:dyDescent="0.25">
      <c r="A99" s="80" t="s">
        <v>341</v>
      </c>
    </row>
    <row r="100" spans="1:1" x14ac:dyDescent="0.25">
      <c r="A100" s="80" t="s">
        <v>342</v>
      </c>
    </row>
    <row r="101" spans="1:1" x14ac:dyDescent="0.25">
      <c r="A101" s="80" t="s">
        <v>357</v>
      </c>
    </row>
    <row r="102" spans="1:1" ht="31.5" x14ac:dyDescent="0.25">
      <c r="A102" s="334" t="s">
        <v>358</v>
      </c>
    </row>
    <row r="103" spans="1:1" x14ac:dyDescent="0.25">
      <c r="A103" s="334" t="s">
        <v>367</v>
      </c>
    </row>
    <row r="104" spans="1:1" x14ac:dyDescent="0.25">
      <c r="A104" s="348" t="s">
        <v>370</v>
      </c>
    </row>
    <row r="105" spans="1:1" x14ac:dyDescent="0.25">
      <c r="A105" s="349" t="s">
        <v>371</v>
      </c>
    </row>
    <row r="107" spans="1:1" x14ac:dyDescent="0.25">
      <c r="A107" s="346" t="s">
        <v>312</v>
      </c>
    </row>
    <row r="108" spans="1:1" x14ac:dyDescent="0.25">
      <c r="A108" s="80" t="s">
        <v>313</v>
      </c>
    </row>
    <row r="109" spans="1:1" x14ac:dyDescent="0.25">
      <c r="A109" s="80" t="s">
        <v>314</v>
      </c>
    </row>
    <row r="111" spans="1:1" x14ac:dyDescent="0.25">
      <c r="A111" s="346" t="s">
        <v>310</v>
      </c>
    </row>
    <row r="112" spans="1:1" x14ac:dyDescent="0.25">
      <c r="A112" s="80" t="s">
        <v>311</v>
      </c>
    </row>
    <row r="114" spans="1:1" x14ac:dyDescent="0.25">
      <c r="A114" s="346" t="s">
        <v>308</v>
      </c>
    </row>
    <row r="115" spans="1:1" x14ac:dyDescent="0.25">
      <c r="A115" s="80" t="s">
        <v>309</v>
      </c>
    </row>
    <row r="117" spans="1:1" x14ac:dyDescent="0.25">
      <c r="A117" s="346" t="s">
        <v>305</v>
      </c>
    </row>
    <row r="118" spans="1:1" x14ac:dyDescent="0.25">
      <c r="A118" s="80" t="s">
        <v>306</v>
      </c>
    </row>
    <row r="119" spans="1:1" x14ac:dyDescent="0.25">
      <c r="A119" s="80" t="s">
        <v>307</v>
      </c>
    </row>
    <row r="121" spans="1:1" x14ac:dyDescent="0.25">
      <c r="A121" s="80" t="s">
        <v>301</v>
      </c>
    </row>
    <row r="122" spans="1:1" x14ac:dyDescent="0.25">
      <c r="A122" s="80" t="s">
        <v>302</v>
      </c>
    </row>
    <row r="123" spans="1:1" x14ac:dyDescent="0.25">
      <c r="A123" s="80" t="s">
        <v>303</v>
      </c>
    </row>
    <row r="124" spans="1:1" x14ac:dyDescent="0.25">
      <c r="A124" s="80" t="s">
        <v>304</v>
      </c>
    </row>
    <row r="126" spans="1:1" x14ac:dyDescent="0.25">
      <c r="A126" s="80" t="s">
        <v>297</v>
      </c>
    </row>
    <row r="127" spans="1:1" x14ac:dyDescent="0.25">
      <c r="A127" s="80" t="s">
        <v>298</v>
      </c>
    </row>
    <row r="128" spans="1:1" x14ac:dyDescent="0.25">
      <c r="A128" s="80" t="s">
        <v>299</v>
      </c>
    </row>
    <row r="130" spans="1:1" x14ac:dyDescent="0.25">
      <c r="A130" s="80" t="s">
        <v>295</v>
      </c>
    </row>
    <row r="131" spans="1:1" ht="34.5" customHeight="1" x14ac:dyDescent="0.25">
      <c r="A131" s="80" t="s">
        <v>296</v>
      </c>
    </row>
    <row r="133" spans="1:1" x14ac:dyDescent="0.25">
      <c r="A133" s="80" t="s">
        <v>250</v>
      </c>
    </row>
    <row r="134" spans="1:1" x14ac:dyDescent="0.25">
      <c r="A134" s="80" t="s">
        <v>251</v>
      </c>
    </row>
    <row r="135" spans="1:1" ht="31.5" x14ac:dyDescent="0.25">
      <c r="A135" s="334" t="s">
        <v>267</v>
      </c>
    </row>
    <row r="136" spans="1:1" x14ac:dyDescent="0.25">
      <c r="A136" s="80" t="s">
        <v>252</v>
      </c>
    </row>
    <row r="137" spans="1:1" x14ac:dyDescent="0.25">
      <c r="A137" s="80" t="s">
        <v>253</v>
      </c>
    </row>
    <row r="138" spans="1:1" x14ac:dyDescent="0.25">
      <c r="A138" s="80" t="s">
        <v>254</v>
      </c>
    </row>
    <row r="139" spans="1:1" x14ac:dyDescent="0.25">
      <c r="A139" s="80" t="s">
        <v>255</v>
      </c>
    </row>
    <row r="140" spans="1:1" ht="31.5" x14ac:dyDescent="0.25">
      <c r="A140" s="334" t="s">
        <v>235</v>
      </c>
    </row>
    <row r="141" spans="1:1" ht="31.5" x14ac:dyDescent="0.25">
      <c r="A141" s="334" t="s">
        <v>263</v>
      </c>
    </row>
    <row r="142" spans="1:1" ht="31.5" x14ac:dyDescent="0.25">
      <c r="A142" s="334" t="s">
        <v>256</v>
      </c>
    </row>
    <row r="143" spans="1:1" x14ac:dyDescent="0.25">
      <c r="A143" s="334" t="s">
        <v>257</v>
      </c>
    </row>
    <row r="144" spans="1:1" ht="31.5" x14ac:dyDescent="0.25">
      <c r="A144" s="334" t="s">
        <v>258</v>
      </c>
    </row>
    <row r="145" spans="1:1" ht="33.75" customHeight="1" x14ac:dyDescent="0.25">
      <c r="A145" s="80" t="s">
        <v>259</v>
      </c>
    </row>
    <row r="146" spans="1:1" ht="26.25" customHeight="1" x14ac:dyDescent="0.25">
      <c r="A146" s="80" t="s">
        <v>260</v>
      </c>
    </row>
    <row r="147" spans="1:1" ht="33.75" customHeight="1" x14ac:dyDescent="0.25">
      <c r="A147" s="80" t="s">
        <v>261</v>
      </c>
    </row>
    <row r="148" spans="1:1" ht="30.75" customHeight="1" x14ac:dyDescent="0.25">
      <c r="A148" s="80" t="s">
        <v>266</v>
      </c>
    </row>
    <row r="149" spans="1:1" ht="21" customHeight="1" x14ac:dyDescent="0.25">
      <c r="A149" s="334" t="s">
        <v>264</v>
      </c>
    </row>
    <row r="150" spans="1:1" ht="38.25" customHeight="1" x14ac:dyDescent="0.25">
      <c r="A150" s="334" t="s">
        <v>229</v>
      </c>
    </row>
    <row r="151" spans="1:1" ht="33.75" customHeight="1" x14ac:dyDescent="0.25">
      <c r="A151" s="334" t="s">
        <v>236</v>
      </c>
    </row>
    <row r="152" spans="1:1" ht="33.75" customHeight="1" x14ac:dyDescent="0.25">
      <c r="A152" s="334" t="s">
        <v>230</v>
      </c>
    </row>
    <row r="153" spans="1:1" ht="33.75" customHeight="1" x14ac:dyDescent="0.25">
      <c r="A153" s="334" t="s">
        <v>231</v>
      </c>
    </row>
    <row r="154" spans="1:1" ht="33.75" customHeight="1" x14ac:dyDescent="0.25">
      <c r="A154" s="334" t="s">
        <v>232</v>
      </c>
    </row>
    <row r="155" spans="1:1" ht="31.5" x14ac:dyDescent="0.25">
      <c r="A155" s="334" t="s">
        <v>233</v>
      </c>
    </row>
    <row r="156" spans="1:1" ht="31.5" x14ac:dyDescent="0.25">
      <c r="A156" s="334" t="s">
        <v>237</v>
      </c>
    </row>
    <row r="157" spans="1:1" ht="31.5" x14ac:dyDescent="0.25">
      <c r="A157" s="334" t="s">
        <v>234</v>
      </c>
    </row>
    <row r="158" spans="1:1" ht="31.5" x14ac:dyDescent="0.25">
      <c r="A158" s="334" t="s">
        <v>238</v>
      </c>
    </row>
    <row r="159" spans="1:1" x14ac:dyDescent="0.25">
      <c r="A159" s="334" t="s">
        <v>244</v>
      </c>
    </row>
    <row r="161" spans="1:1" x14ac:dyDescent="0.25">
      <c r="A161" s="80" t="s">
        <v>188</v>
      </c>
    </row>
    <row r="162" spans="1:1" ht="47.25" x14ac:dyDescent="0.25">
      <c r="A162" s="334" t="s">
        <v>239</v>
      </c>
    </row>
    <row r="163" spans="1:1" x14ac:dyDescent="0.25">
      <c r="A163" s="80" t="s">
        <v>189</v>
      </c>
    </row>
    <row r="164" spans="1:1" x14ac:dyDescent="0.25">
      <c r="A164" s="80" t="s">
        <v>193</v>
      </c>
    </row>
    <row r="165" spans="1:1" x14ac:dyDescent="0.25">
      <c r="A165" s="80" t="s">
        <v>194</v>
      </c>
    </row>
    <row r="166" spans="1:1" x14ac:dyDescent="0.25">
      <c r="A166" s="80" t="s">
        <v>190</v>
      </c>
    </row>
    <row r="167" spans="1:1" x14ac:dyDescent="0.25">
      <c r="A167" s="80" t="s">
        <v>191</v>
      </c>
    </row>
    <row r="168" spans="1:1" x14ac:dyDescent="0.25">
      <c r="A168" s="80" t="s">
        <v>192</v>
      </c>
    </row>
    <row r="169" spans="1:1" x14ac:dyDescent="0.25">
      <c r="A169" s="334" t="s">
        <v>195</v>
      </c>
    </row>
    <row r="170" spans="1:1" x14ac:dyDescent="0.25">
      <c r="A170" s="80" t="s">
        <v>196</v>
      </c>
    </row>
    <row r="171" spans="1:1" x14ac:dyDescent="0.25">
      <c r="A171" s="80" t="s">
        <v>197</v>
      </c>
    </row>
    <row r="172" spans="1:1" x14ac:dyDescent="0.25">
      <c r="A172" s="80" t="s">
        <v>240</v>
      </c>
    </row>
    <row r="173" spans="1:1" x14ac:dyDescent="0.25">
      <c r="A173" s="80" t="s">
        <v>198</v>
      </c>
    </row>
    <row r="174" spans="1:1" x14ac:dyDescent="0.25">
      <c r="A174" s="80" t="s">
        <v>241</v>
      </c>
    </row>
    <row r="175" spans="1:1" x14ac:dyDescent="0.25">
      <c r="A175" s="80" t="s">
        <v>199</v>
      </c>
    </row>
    <row r="176" spans="1:1" x14ac:dyDescent="0.25">
      <c r="A176" s="80" t="s">
        <v>242</v>
      </c>
    </row>
    <row r="177" spans="1:1" x14ac:dyDescent="0.25">
      <c r="A177" s="80" t="s">
        <v>200</v>
      </c>
    </row>
    <row r="178" spans="1:1" x14ac:dyDescent="0.25">
      <c r="A178" s="80" t="s">
        <v>204</v>
      </c>
    </row>
    <row r="179" spans="1:1" x14ac:dyDescent="0.25">
      <c r="A179" s="80" t="s">
        <v>243</v>
      </c>
    </row>
    <row r="180" spans="1:1" x14ac:dyDescent="0.25">
      <c r="A180" s="80" t="s">
        <v>219</v>
      </c>
    </row>
    <row r="181" spans="1:1" x14ac:dyDescent="0.25">
      <c r="A181" s="80" t="s">
        <v>220</v>
      </c>
    </row>
    <row r="182" spans="1:1" x14ac:dyDescent="0.25">
      <c r="A182" s="80" t="s">
        <v>221</v>
      </c>
    </row>
    <row r="183" spans="1:1" x14ac:dyDescent="0.25">
      <c r="A183" s="80" t="s">
        <v>205</v>
      </c>
    </row>
    <row r="184" spans="1:1" x14ac:dyDescent="0.25">
      <c r="A184" s="80" t="s">
        <v>206</v>
      </c>
    </row>
    <row r="185" spans="1:1" x14ac:dyDescent="0.25">
      <c r="A185" s="80" t="s">
        <v>207</v>
      </c>
    </row>
    <row r="186" spans="1:1" x14ac:dyDescent="0.25">
      <c r="A186" s="80" t="s">
        <v>216</v>
      </c>
    </row>
    <row r="187" spans="1:1" x14ac:dyDescent="0.25">
      <c r="A187" s="80" t="s">
        <v>217</v>
      </c>
    </row>
    <row r="188" spans="1:1" x14ac:dyDescent="0.25">
      <c r="A188" s="80" t="s">
        <v>218</v>
      </c>
    </row>
    <row r="189" spans="1:1" x14ac:dyDescent="0.25">
      <c r="A189" s="80" t="s">
        <v>228</v>
      </c>
    </row>
    <row r="190" spans="1:1" x14ac:dyDescent="0.25">
      <c r="A190"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936</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22, 2012</v>
      </c>
      <c r="E9" s="356"/>
      <c r="F9" s="356"/>
      <c r="J9" s="721" t="s">
        <v>849</v>
      </c>
    </row>
    <row r="10" spans="1:10" x14ac:dyDescent="0.25">
      <c r="A10" s="357" t="s">
        <v>374</v>
      </c>
      <c r="B10" s="359" t="s">
        <v>937</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938</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939</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41112</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22</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8"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6" t="s">
        <v>70</v>
      </c>
      <c r="C1" s="776"/>
      <c r="D1" s="776"/>
      <c r="E1" s="776"/>
      <c r="F1" s="776"/>
      <c r="G1" s="776"/>
      <c r="H1" s="14">
        <f>inputPrYr!D5</f>
        <v>2013</v>
      </c>
    </row>
    <row r="2" spans="2:8" s="14" customFormat="1" x14ac:dyDescent="0.25">
      <c r="C2" s="145"/>
      <c r="D2" s="145"/>
      <c r="E2" s="145"/>
      <c r="F2" s="145"/>
      <c r="G2" s="62"/>
    </row>
    <row r="3" spans="2:8" s="14" customFormat="1" x14ac:dyDescent="0.25">
      <c r="B3" s="785" t="str">
        <f>CONCATENATE("To the Clerk of ",inputPrYr!D3,", State of Kansas")</f>
        <v>To the Clerk of Osborne County, State of Kansas</v>
      </c>
      <c r="C3" s="784"/>
      <c r="D3" s="784"/>
      <c r="E3" s="784"/>
      <c r="F3" s="784"/>
      <c r="G3" s="784"/>
      <c r="H3" s="784"/>
    </row>
    <row r="4" spans="2:8" s="14" customFormat="1" x14ac:dyDescent="0.25">
      <c r="B4" s="785" t="s">
        <v>152</v>
      </c>
      <c r="C4" s="787"/>
      <c r="D4" s="787"/>
      <c r="E4" s="787"/>
      <c r="F4" s="787"/>
      <c r="G4" s="787"/>
    </row>
    <row r="5" spans="2:8" s="14" customFormat="1" x14ac:dyDescent="0.25">
      <c r="B5" s="788" t="str">
        <f>inputPrYr!D2</f>
        <v>Jackson Township</v>
      </c>
      <c r="C5" s="787"/>
      <c r="D5" s="787"/>
      <c r="E5" s="787"/>
      <c r="F5" s="787"/>
      <c r="G5" s="787"/>
    </row>
    <row r="6" spans="2:8" s="14" customFormat="1" x14ac:dyDescent="0.25">
      <c r="B6" s="783" t="s">
        <v>150</v>
      </c>
      <c r="C6" s="784"/>
      <c r="D6" s="784"/>
      <c r="E6" s="784"/>
      <c r="F6" s="784"/>
      <c r="G6" s="784"/>
    </row>
    <row r="7" spans="2:8" s="14" customFormat="1" ht="15.75" customHeight="1" x14ac:dyDescent="0.25">
      <c r="B7" s="785" t="s">
        <v>151</v>
      </c>
      <c r="C7" s="786"/>
      <c r="D7" s="786"/>
      <c r="E7" s="786"/>
      <c r="F7" s="786"/>
      <c r="G7" s="786"/>
    </row>
    <row r="8" spans="2:8" s="14" customFormat="1" ht="15.75" customHeight="1" x14ac:dyDescent="0.25">
      <c r="B8" s="785"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85"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80" t="str">
        <f>CONCATENATE("",H1," Adopted Budget")</f>
        <v>2013 Adopted Budget</v>
      </c>
      <c r="F11" s="781"/>
      <c r="G11" s="782"/>
    </row>
    <row r="12" spans="2:8" s="14" customFormat="1" x14ac:dyDescent="0.25">
      <c r="B12" s="22"/>
      <c r="D12" s="66"/>
      <c r="E12" s="255" t="s">
        <v>278</v>
      </c>
      <c r="F12" s="777" t="str">
        <f>CONCATENATE("Amount of ",H1-1," Ad Valorem Tax")</f>
        <v>Amount of 2012 Ad Valorem Tax</v>
      </c>
      <c r="G12" s="23" t="s">
        <v>279</v>
      </c>
    </row>
    <row r="13" spans="2:8" s="14" customFormat="1" x14ac:dyDescent="0.25">
      <c r="D13" s="23" t="s">
        <v>280</v>
      </c>
      <c r="E13" s="528" t="s">
        <v>209</v>
      </c>
      <c r="F13" s="778"/>
      <c r="G13" s="156" t="s">
        <v>281</v>
      </c>
    </row>
    <row r="14" spans="2:8" s="14" customFormat="1" x14ac:dyDescent="0.25">
      <c r="B14" s="71" t="s">
        <v>282</v>
      </c>
      <c r="C14" s="20"/>
      <c r="D14" s="26" t="s">
        <v>283</v>
      </c>
      <c r="E14" s="529" t="s">
        <v>720</v>
      </c>
      <c r="F14" s="779"/>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3011</v>
      </c>
      <c r="F21" s="732">
        <f>IF(gen!$E$57&lt;&gt;0,gen!$E$57,0)</f>
        <v>2327</v>
      </c>
      <c r="G21" s="733">
        <f>IF(AND(gen!E57=0,$C$40&gt;=0)," ",IF(AND(F21&gt;0,$C$40=0)," ",IF(AND(F21&gt;0,$C$40&gt;0),ROUND(F21/$C$40*1000,3))))</f>
        <v>1.9530000000000001</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15200</v>
      </c>
      <c r="F24" s="732">
        <f>IF(road!$E$50&lt;&gt;0,road!$E$50,"  ")</f>
        <v>13420</v>
      </c>
      <c r="G24" s="733">
        <f>IF(AND(road!E50=0,$C$40&gt;=0)," ",IF(AND(F24&gt;0,$C$40=0)," ",IF(AND(F24&gt;0,$C$40&gt;0),ROUND(F24/$C$40*1000,3))))</f>
        <v>11.263</v>
      </c>
    </row>
    <row r="25" spans="2:7" s="14" customFormat="1" x14ac:dyDescent="0.25">
      <c r="B25" s="85" t="str">
        <f>IF(inputPrYr!$B20&gt;"  ",inputPrYr!$B20,"  ")</f>
        <v xml:space="preserve">  </v>
      </c>
      <c r="C25" s="260" t="str">
        <f>IF(inputPrYr!C20&gt;0,inputPrYr!C20,"  ")</f>
        <v xml:space="preserve">  </v>
      </c>
      <c r="D25" s="261" t="str">
        <f>IF(levypage9!C81&gt;0,levypage9!C81,"  ")</f>
        <v xml:space="preserve">  </v>
      </c>
      <c r="E25" s="732" t="str">
        <f>IF(levypage9!$E$33&lt;&gt;0,levypage9!$E$33,"  ")</f>
        <v xml:space="preserve">  </v>
      </c>
      <c r="F25" s="732" t="str">
        <f>IF(levypage9!$E$40&lt;&gt;0,levypage9!$E$40,"  ")</f>
        <v xml:space="preserve">  </v>
      </c>
      <c r="G25" s="733" t="str">
        <f>IF(AND(levypage9!E40=0,$C$40&gt;=0)," ",IF(AND(F25&gt;0,$C$40=0)," ",IF(AND(F25&gt;0,$C$40&gt;0),ROUND(F25/$C$40*1000,3))))</f>
        <v xml:space="preserve"> </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18211</v>
      </c>
      <c r="F35" s="734">
        <f>SUM(F21:F30)</f>
        <v>15747</v>
      </c>
      <c r="G35" s="735">
        <f>IF(SUM(G21:G30)&gt;0,SUM(G21:G30),"")</f>
        <v>13.215999999999999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70" t="s">
        <v>124</v>
      </c>
      <c r="D39" s="771"/>
      <c r="E39" s="272"/>
      <c r="G39" s="22" t="s">
        <v>291</v>
      </c>
    </row>
    <row r="40" spans="2:8" s="14" customFormat="1" x14ac:dyDescent="0.25">
      <c r="B40" s="27" t="s">
        <v>98</v>
      </c>
      <c r="C40" s="772">
        <v>1191490</v>
      </c>
      <c r="D40" s="773"/>
      <c r="E40" s="273"/>
      <c r="G40" s="22"/>
    </row>
    <row r="41" spans="2:8" s="14" customFormat="1" x14ac:dyDescent="0.25">
      <c r="B41" s="274"/>
      <c r="C41" s="774" t="str">
        <f>CONCATENATE("Nov. 1, ",H1-1," Valuation")</f>
        <v>Nov. 1, 2012 Valuation</v>
      </c>
      <c r="D41" s="775"/>
      <c r="E41" s="272"/>
      <c r="G41" s="22"/>
    </row>
    <row r="42" spans="2:8" s="14" customFormat="1" x14ac:dyDescent="0.25">
      <c r="B42" s="274" t="s">
        <v>292</v>
      </c>
      <c r="E42" s="19"/>
      <c r="G42" s="22"/>
    </row>
    <row r="43" spans="2:8" s="14" customFormat="1" x14ac:dyDescent="0.25">
      <c r="B43" s="275" t="s">
        <v>940</v>
      </c>
      <c r="C43" s="275"/>
      <c r="E43" s="736" t="s">
        <v>853</v>
      </c>
      <c r="F43" s="736"/>
      <c r="G43" s="736"/>
    </row>
    <row r="44" spans="2:8" s="14" customFormat="1" x14ac:dyDescent="0.25">
      <c r="B44" s="276" t="s">
        <v>941</v>
      </c>
      <c r="C44" s="276"/>
      <c r="E44" s="737"/>
      <c r="F44" s="737"/>
      <c r="G44" s="737"/>
    </row>
    <row r="45" spans="2:8" s="14" customFormat="1" x14ac:dyDescent="0.25">
      <c r="B45" s="274" t="s">
        <v>145</v>
      </c>
      <c r="E45" s="736" t="s">
        <v>853</v>
      </c>
      <c r="F45" s="736"/>
      <c r="G45" s="736"/>
    </row>
    <row r="46" spans="2:8" s="14" customFormat="1" x14ac:dyDescent="0.25">
      <c r="B46" s="275" t="s">
        <v>942</v>
      </c>
      <c r="C46" s="275"/>
      <c r="D46" s="22"/>
      <c r="E46" s="736"/>
      <c r="F46" s="736"/>
      <c r="G46" s="736"/>
    </row>
    <row r="47" spans="2:8" s="14" customFormat="1" x14ac:dyDescent="0.25">
      <c r="B47" s="276" t="s">
        <v>943</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C39:D39"/>
    <mergeCell ref="C40:D40"/>
    <mergeCell ref="C41:D41"/>
    <mergeCell ref="B1:G1"/>
    <mergeCell ref="F12:F14"/>
    <mergeCell ref="E11:G11"/>
    <mergeCell ref="B6:G6"/>
    <mergeCell ref="B7:G7"/>
    <mergeCell ref="B3:H3"/>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Jackson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6"/>
      <c r="C3" s="776"/>
      <c r="D3" s="776"/>
      <c r="E3" s="776"/>
      <c r="F3" s="776"/>
      <c r="G3" s="776"/>
      <c r="H3" s="776"/>
      <c r="I3" s="776"/>
      <c r="J3" s="776"/>
    </row>
    <row r="4" spans="1:10" x14ac:dyDescent="0.25">
      <c r="A4" s="14"/>
      <c r="B4" s="14"/>
      <c r="C4" s="14"/>
      <c r="D4" s="14"/>
      <c r="E4" s="776"/>
      <c r="F4" s="776"/>
      <c r="G4" s="776"/>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15705</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15705</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0</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21015</v>
      </c>
      <c r="F14" s="246"/>
      <c r="G14" s="55"/>
      <c r="H14" s="55"/>
      <c r="I14" s="53"/>
      <c r="J14" s="55"/>
    </row>
    <row r="15" spans="1:10" x14ac:dyDescent="0.25">
      <c r="A15" s="245"/>
      <c r="B15" s="14" t="s">
        <v>87</v>
      </c>
      <c r="C15" s="14" t="str">
        <f>CONCATENATE("Personal Property ",J1-2,"")</f>
        <v>Personal Property 2011</v>
      </c>
      <c r="D15" s="245" t="s">
        <v>82</v>
      </c>
      <c r="E15" s="249">
        <f>inputOth!E11</f>
        <v>19604</v>
      </c>
      <c r="F15" s="246"/>
      <c r="G15" s="53"/>
      <c r="H15" s="53"/>
      <c r="I15" s="55"/>
      <c r="J15" s="55"/>
    </row>
    <row r="16" spans="1:10" x14ac:dyDescent="0.25">
      <c r="A16" s="245"/>
      <c r="B16" s="14" t="s">
        <v>88</v>
      </c>
      <c r="C16" s="14" t="s">
        <v>108</v>
      </c>
      <c r="D16" s="14"/>
      <c r="E16" s="55"/>
      <c r="F16" s="55" t="s">
        <v>15</v>
      </c>
      <c r="G16" s="247">
        <f>IF(E14&gt;E15,E14-E15,0)</f>
        <v>1411</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1781</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3192</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1191580</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1188388</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2.6859914438718668E-3</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42</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15747</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15747</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Jackson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1946</v>
      </c>
      <c r="E11" s="131">
        <f>IF(inputOth!D17&gt;0,inputOth!D17,"  ")</f>
        <v>1.7010000000000001</v>
      </c>
      <c r="F11" s="727"/>
      <c r="G11" s="161">
        <f>IF(inputPrYr!E16=0,0,G23-SUM(G12:G20))</f>
        <v>75</v>
      </c>
      <c r="H11" s="728"/>
      <c r="I11" s="161">
        <f>IF(inputPrYr!E16=0,0,I25-SUM(I12:I20))</f>
        <v>1</v>
      </c>
      <c r="J11" s="161">
        <f>IF(inputPrYr!E16=0,0,J27-SUM(J12:J20))</f>
        <v>37</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13759</v>
      </c>
      <c r="E14" s="131">
        <f>IF(inputOth!D20&gt;0,inputOth!D20,"  ")</f>
        <v>12.025</v>
      </c>
      <c r="F14" s="727"/>
      <c r="G14" s="161">
        <f>IF(inputPrYr!E19=0,0,ROUND(D14*$G$30,0))</f>
        <v>533</v>
      </c>
      <c r="H14" s="728"/>
      <c r="I14" s="161">
        <f>IF(inputPrYr!$E$19=0,0,ROUND($D$14*$I$32,0))</f>
        <v>8</v>
      </c>
      <c r="J14" s="161">
        <f>IF(inputPrYr!E19=0,0,ROUND($D14*$J$34,0))</f>
        <v>264</v>
      </c>
      <c r="K14" s="90"/>
      <c r="L14" s="90"/>
      <c r="M14" s="559"/>
    </row>
    <row r="15" spans="2:13" x14ac:dyDescent="0.25">
      <c r="B15" s="85" t="str">
        <f>IF(inputPrYr!$B20&gt;"  ",inputPrYr!$B20,"  ")</f>
        <v xml:space="preserve">  </v>
      </c>
      <c r="C15" s="234"/>
      <c r="D15" s="161">
        <f>IF(inputPrYr!E20&gt;=0,inputPrYr!E20,"  ")</f>
        <v>0</v>
      </c>
      <c r="E15" s="131" t="str">
        <f>IF(inputOth!D21&gt;0,inputOth!D21,"  ")</f>
        <v xml:space="preserve">  </v>
      </c>
      <c r="F15" s="727"/>
      <c r="G15" s="161">
        <f>IF(inputPrYr!E20=0,0,ROUND(D15*$G$30,0))</f>
        <v>0</v>
      </c>
      <c r="H15" s="728"/>
      <c r="I15" s="161">
        <f>IF(inputPrYr!$E$20=0,0,ROUND($D$15*$I$32,0))</f>
        <v>0</v>
      </c>
      <c r="J15" s="161">
        <f>IF(inputPrYr!E20=0,0,ROUND($D15*$J$34,0))</f>
        <v>0</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15705</v>
      </c>
      <c r="E21" s="730">
        <f>SUM(E11:E20)</f>
        <v>13.726000000000001</v>
      </c>
      <c r="F21" s="731"/>
      <c r="G21" s="729">
        <f>SUM(G11:G20)</f>
        <v>608</v>
      </c>
      <c r="H21" s="729"/>
      <c r="I21" s="729">
        <f>SUM(I11:I20)</f>
        <v>9</v>
      </c>
      <c r="J21" s="729">
        <f>SUM(J11:J20)</f>
        <v>301</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608</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9</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301</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3.8713785418656478E-2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5.7306590257879652E-4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1.9165870741801976E-2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Jackson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6" t="s">
        <v>169</v>
      </c>
      <c r="B5" s="776"/>
      <c r="C5" s="776"/>
      <c r="D5" s="776"/>
      <c r="E5" s="776"/>
      <c r="F5" s="776"/>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300</v>
      </c>
      <c r="D12" s="223">
        <f>gen!$D$45</f>
        <v>0</v>
      </c>
      <c r="E12" s="223">
        <f>gen!$E$45</f>
        <v>0</v>
      </c>
      <c r="F12" s="73" t="str">
        <f>IF(C12+D12+E12&gt;0,"80-122","")</f>
        <v>80-122</v>
      </c>
    </row>
    <row r="13" spans="1:6" ht="15" customHeight="1" x14ac:dyDescent="0.25">
      <c r="A13" s="73" t="s">
        <v>275</v>
      </c>
      <c r="B13" s="73" t="s">
        <v>288</v>
      </c>
      <c r="C13" s="223">
        <f>road!$C$38</f>
        <v>1100</v>
      </c>
      <c r="D13" s="223">
        <f>road!$D$38</f>
        <v>0</v>
      </c>
      <c r="E13" s="223">
        <f>road!$E$38</f>
        <v>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1400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1400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2012-07-10T19:39:22Z</cp:lastPrinted>
  <dcterms:created xsi:type="dcterms:W3CDTF">1998-08-26T16:30:41Z</dcterms:created>
  <dcterms:modified xsi:type="dcterms:W3CDTF">2012-12-05T17:01:35Z</dcterms:modified>
</cp:coreProperties>
</file>