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9630" windowHeight="5160" tabRatio="850" activeTab="4"/>
  </bookViews>
  <sheets>
    <sheet name="instructions" sheetId="1" r:id="rId1"/>
    <sheet name="inputPrYr" sheetId="2" r:id="rId2"/>
    <sheet name="inputOth" sheetId="20" r:id="rId3"/>
    <sheet name="inputBudSum" sheetId="31" r:id="rId4"/>
    <sheet name="cert" sheetId="3" r:id="rId5"/>
    <sheet name="computation" sheetId="14" r:id="rId6"/>
    <sheet name="mvalloc" sheetId="4" r:id="rId7"/>
    <sheet name="transfer" sheetId="21" r:id="rId8"/>
    <sheet name="TransferStatutes" sheetId="23" r:id="rId9"/>
    <sheet name="debt-lease" sheetId="13" r:id="rId10"/>
    <sheet name="Library Grant" sheetId="34" r:id="rId11"/>
    <sheet name="gen" sheetId="6" r:id="rId12"/>
    <sheet name="DebtSvs-Library" sheetId="35" r:id="rId13"/>
    <sheet name="road" sheetId="7" r:id="rId14"/>
    <sheet name="levypage9" sheetId="8" r:id="rId15"/>
    <sheet name="levypage10" sheetId="9" r:id="rId16"/>
    <sheet name="levypage11" sheetId="10" r:id="rId17"/>
    <sheet name="nolevypage12" sheetId="17" r:id="rId18"/>
    <sheet name="nonbud" sheetId="24" r:id="rId19"/>
    <sheet name="NonBudFunds" sheetId="30" r:id="rId20"/>
    <sheet name="summ" sheetId="12" r:id="rId21"/>
    <sheet name="nhood" sheetId="22" r:id="rId22"/>
    <sheet name="Resolution" sheetId="16" r:id="rId23"/>
    <sheet name="Tab A" sheetId="25" r:id="rId24"/>
    <sheet name="Tab B" sheetId="26" r:id="rId25"/>
    <sheet name="Tab C" sheetId="27" r:id="rId26"/>
    <sheet name="Tab D" sheetId="28" r:id="rId27"/>
    <sheet name="Tab E" sheetId="29" r:id="rId28"/>
    <sheet name="Mill Rate Computation" sheetId="32" r:id="rId29"/>
    <sheet name="Helpful Links" sheetId="33" r:id="rId30"/>
    <sheet name="legend" sheetId="15" r:id="rId31"/>
  </sheets>
  <definedNames>
    <definedName name="_xlnm.Print_Area" localSheetId="12">'DebtSvs-Library'!$B$1:$E$83</definedName>
    <definedName name="_xlnm.Print_Area" localSheetId="11">gen!$B$1:$E$61</definedName>
    <definedName name="_xlnm.Print_Area" localSheetId="1">inputPrYr!$A$1:$E$85</definedName>
    <definedName name="_xlnm.Print_Area" localSheetId="15">levypage10!$A$1:$E$86</definedName>
    <definedName name="_xlnm.Print_Area" localSheetId="16">levypage11!$A$1:$E$86</definedName>
    <definedName name="_xlnm.Print_Area" localSheetId="14">levypage9!$A$1:$E$86</definedName>
    <definedName name="_xlnm.Print_Area" localSheetId="10">'Library Grant'!$A$1:$J$40</definedName>
    <definedName name="_xlnm.Print_Area" localSheetId="13">road!$B$1:$F$68</definedName>
    <definedName name="_xlnm.Print_Area" localSheetId="20">summ!$B$2:$I$49</definedName>
  </definedNames>
  <calcPr calcId="145621"/>
</workbook>
</file>

<file path=xl/calcChain.xml><?xml version="1.0" encoding="utf-8"?>
<calcChain xmlns="http://schemas.openxmlformats.org/spreadsheetml/2006/main">
  <c r="D48" i="35" l="1"/>
  <c r="D60" i="35"/>
  <c r="D8" i="35"/>
  <c r="D20" i="35"/>
  <c r="D48" i="10"/>
  <c r="D8" i="10"/>
  <c r="D20" i="10"/>
  <c r="D48" i="9"/>
  <c r="D8" i="9"/>
  <c r="D20" i="9"/>
  <c r="D48" i="8"/>
  <c r="D8" i="8"/>
  <c r="D8" i="7"/>
  <c r="D8" i="6"/>
  <c r="D26" i="6"/>
  <c r="G18" i="2"/>
  <c r="D79" i="35"/>
  <c r="D39" i="35"/>
  <c r="D19" i="3"/>
  <c r="C61" i="6"/>
  <c r="D75" i="35"/>
  <c r="C75" i="35"/>
  <c r="C35" i="35"/>
  <c r="D35" i="35"/>
  <c r="B45" i="35"/>
  <c r="B19" i="3"/>
  <c r="B46" i="12"/>
  <c r="B47" i="12"/>
  <c r="G21" i="31"/>
  <c r="G23" i="31" s="1"/>
  <c r="B19" i="34"/>
  <c r="B18" i="34"/>
  <c r="B17" i="34"/>
  <c r="B16" i="34"/>
  <c r="B15" i="34"/>
  <c r="D23" i="3"/>
  <c r="D22" i="3"/>
  <c r="C23" i="3"/>
  <c r="B23" i="3"/>
  <c r="F20" i="12"/>
  <c r="E29" i="34"/>
  <c r="D20" i="12"/>
  <c r="B20" i="12"/>
  <c r="E8" i="22"/>
  <c r="D8" i="22"/>
  <c r="B8" i="22"/>
  <c r="D13" i="4"/>
  <c r="B13" i="4"/>
  <c r="A48" i="20"/>
  <c r="A19" i="20"/>
  <c r="B44" i="2"/>
  <c r="E19" i="34"/>
  <c r="E18" i="34"/>
  <c r="E17" i="34"/>
  <c r="E16" i="34"/>
  <c r="G16" i="34"/>
  <c r="G14" i="34"/>
  <c r="B84" i="34"/>
  <c r="E14" i="34"/>
  <c r="B8" i="34"/>
  <c r="B7" i="34"/>
  <c r="B5" i="34"/>
  <c r="B5" i="35"/>
  <c r="E1" i="35"/>
  <c r="H79" i="35"/>
  <c r="B1" i="35"/>
  <c r="D73" i="35"/>
  <c r="E20" i="12"/>
  <c r="C73" i="35"/>
  <c r="C20" i="12"/>
  <c r="C60" i="35"/>
  <c r="C61" i="35"/>
  <c r="C74" i="35"/>
  <c r="D33" i="35"/>
  <c r="E19" i="12"/>
  <c r="C33" i="35"/>
  <c r="C93" i="35"/>
  <c r="C20" i="35"/>
  <c r="C21" i="35"/>
  <c r="B78" i="34"/>
  <c r="B89" i="34"/>
  <c r="B2" i="4"/>
  <c r="J148" i="32"/>
  <c r="H134" i="32"/>
  <c r="C137" i="32"/>
  <c r="J137" i="32"/>
  <c r="H120" i="32"/>
  <c r="C123" i="32"/>
  <c r="F117" i="32"/>
  <c r="H117" i="32"/>
  <c r="F123" i="32"/>
  <c r="H114" i="32"/>
  <c r="C103" i="32"/>
  <c r="H100" i="32"/>
  <c r="H94" i="32"/>
  <c r="F97" i="32"/>
  <c r="H97" i="32"/>
  <c r="F103" i="32"/>
  <c r="H80" i="32"/>
  <c r="C83" i="32"/>
  <c r="F77" i="32"/>
  <c r="H77" i="32"/>
  <c r="F83" i="32"/>
  <c r="H74" i="32"/>
  <c r="H48" i="32"/>
  <c r="F50" i="32"/>
  <c r="J50" i="32"/>
  <c r="H41" i="32"/>
  <c r="H28" i="32"/>
  <c r="B28" i="32"/>
  <c r="H25" i="32"/>
  <c r="C25" i="32"/>
  <c r="G25" i="2"/>
  <c r="G24" i="2"/>
  <c r="G23" i="2"/>
  <c r="G22" i="2"/>
  <c r="G21" i="2"/>
  <c r="G20" i="2"/>
  <c r="G19" i="2"/>
  <c r="G17" i="2"/>
  <c r="G16" i="2"/>
  <c r="C31" i="12"/>
  <c r="D34" i="3"/>
  <c r="D30" i="3"/>
  <c r="D29" i="3"/>
  <c r="D28" i="3"/>
  <c r="D27" i="3"/>
  <c r="D26" i="3"/>
  <c r="D25" i="3"/>
  <c r="D24" i="3"/>
  <c r="D21" i="3"/>
  <c r="C59" i="7"/>
  <c r="C58" i="7"/>
  <c r="C63" i="7"/>
  <c r="C65" i="7"/>
  <c r="C57" i="7"/>
  <c r="D39" i="10"/>
  <c r="D79" i="10"/>
  <c r="D39" i="9"/>
  <c r="D79" i="9"/>
  <c r="E79" i="9"/>
  <c r="D39" i="8"/>
  <c r="D79" i="8"/>
  <c r="D49" i="7"/>
  <c r="D56" i="6"/>
  <c r="E56" i="6"/>
  <c r="C75" i="10"/>
  <c r="D75" i="10"/>
  <c r="C35" i="10"/>
  <c r="D35" i="10"/>
  <c r="C75" i="9"/>
  <c r="D75" i="9"/>
  <c r="C35" i="9"/>
  <c r="D35" i="9"/>
  <c r="C75" i="8"/>
  <c r="D75" i="8"/>
  <c r="C35" i="8"/>
  <c r="D35" i="8"/>
  <c r="C45" i="7"/>
  <c r="D45" i="7"/>
  <c r="C52" i="6"/>
  <c r="D52" i="6"/>
  <c r="A8" i="29"/>
  <c r="A46" i="28"/>
  <c r="A41" i="28"/>
  <c r="A6" i="28"/>
  <c r="A38" i="27"/>
  <c r="A33" i="27"/>
  <c r="A19" i="27"/>
  <c r="A6" i="27"/>
  <c r="A34" i="26"/>
  <c r="A33" i="26"/>
  <c r="A6" i="26"/>
  <c r="A77" i="25"/>
  <c r="A74" i="25"/>
  <c r="A33" i="25"/>
  <c r="A28" i="25"/>
  <c r="A25" i="25"/>
  <c r="A16" i="25"/>
  <c r="A6" i="25"/>
  <c r="B7" i="12"/>
  <c r="B9" i="12"/>
  <c r="D19" i="22"/>
  <c r="B30" i="12"/>
  <c r="B33" i="3"/>
  <c r="D33" i="3"/>
  <c r="I5" i="24"/>
  <c r="G5" i="24"/>
  <c r="E5" i="24"/>
  <c r="C5" i="24"/>
  <c r="A5" i="24"/>
  <c r="K1" i="24"/>
  <c r="F2" i="24"/>
  <c r="A1" i="24"/>
  <c r="J28" i="24"/>
  <c r="H28" i="24"/>
  <c r="F28" i="24"/>
  <c r="D28" i="24"/>
  <c r="B28" i="24"/>
  <c r="J17" i="24"/>
  <c r="J18" i="24"/>
  <c r="H17" i="24"/>
  <c r="H18" i="24"/>
  <c r="F17" i="24"/>
  <c r="F18" i="24"/>
  <c r="D17" i="24"/>
  <c r="D18" i="24"/>
  <c r="B17" i="24"/>
  <c r="B18" i="24"/>
  <c r="K7" i="24"/>
  <c r="E14" i="2"/>
  <c r="G15" i="2"/>
  <c r="D14" i="2"/>
  <c r="D14" i="4"/>
  <c r="D20" i="4"/>
  <c r="D19" i="4"/>
  <c r="D18" i="4"/>
  <c r="D17" i="4"/>
  <c r="D16" i="4"/>
  <c r="D15" i="4"/>
  <c r="D12" i="4"/>
  <c r="E12" i="21"/>
  <c r="D12" i="21"/>
  <c r="F12" i="21"/>
  <c r="C12" i="21"/>
  <c r="D11" i="4"/>
  <c r="J6" i="14"/>
  <c r="A26" i="2"/>
  <c r="D43" i="7"/>
  <c r="D74" i="7"/>
  <c r="C43" i="7"/>
  <c r="C74" i="7"/>
  <c r="D23" i="7"/>
  <c r="E13" i="7"/>
  <c r="C26" i="6"/>
  <c r="C27" i="6"/>
  <c r="C46" i="6"/>
  <c r="C50" i="6"/>
  <c r="C44" i="6"/>
  <c r="E13" i="6"/>
  <c r="E14" i="6"/>
  <c r="E26" i="2"/>
  <c r="G23" i="4"/>
  <c r="I25" i="4"/>
  <c r="J27" i="4"/>
  <c r="C20" i="10"/>
  <c r="C21" i="10"/>
  <c r="C33" i="10"/>
  <c r="G38" i="10"/>
  <c r="D33" i="10"/>
  <c r="D60" i="10"/>
  <c r="D59" i="10"/>
  <c r="C60" i="10"/>
  <c r="C61" i="10"/>
  <c r="C73" i="10"/>
  <c r="G78" i="10"/>
  <c r="D73" i="10"/>
  <c r="D72" i="10"/>
  <c r="C20" i="9"/>
  <c r="C21" i="9"/>
  <c r="C33" i="9"/>
  <c r="G38" i="9"/>
  <c r="D33" i="9"/>
  <c r="C73" i="9"/>
  <c r="G78" i="9"/>
  <c r="C60" i="9"/>
  <c r="C59" i="9"/>
  <c r="D60" i="9"/>
  <c r="D73" i="9"/>
  <c r="D72" i="9"/>
  <c r="D60" i="8"/>
  <c r="C20" i="8"/>
  <c r="C21" i="8"/>
  <c r="C33" i="8"/>
  <c r="G38" i="8"/>
  <c r="D20" i="8"/>
  <c r="D33" i="8"/>
  <c r="D92" i="8"/>
  <c r="C73" i="8"/>
  <c r="G78" i="8"/>
  <c r="C60" i="8"/>
  <c r="D11" i="21"/>
  <c r="E13" i="21"/>
  <c r="D13" i="21"/>
  <c r="D27" i="21"/>
  <c r="D29" i="21"/>
  <c r="E33" i="12"/>
  <c r="C13" i="21"/>
  <c r="C11" i="21"/>
  <c r="C27" i="21"/>
  <c r="C29" i="21"/>
  <c r="C33" i="12"/>
  <c r="C23" i="7"/>
  <c r="C24" i="7"/>
  <c r="D73" i="8"/>
  <c r="D72" i="8"/>
  <c r="E1" i="10"/>
  <c r="H38" i="10"/>
  <c r="B35" i="10"/>
  <c r="E1" i="9"/>
  <c r="H86" i="9"/>
  <c r="C40" i="9"/>
  <c r="E1" i="8"/>
  <c r="H38" i="8"/>
  <c r="C80" i="8"/>
  <c r="E1" i="7"/>
  <c r="H55" i="7"/>
  <c r="C54" i="7"/>
  <c r="E1" i="6"/>
  <c r="H62" i="6"/>
  <c r="D28" i="17"/>
  <c r="C28" i="17"/>
  <c r="C27" i="17"/>
  <c r="D59" i="17"/>
  <c r="E29" i="12"/>
  <c r="C59" i="17"/>
  <c r="E1" i="17"/>
  <c r="B30" i="17"/>
  <c r="C30" i="17"/>
  <c r="D61" i="17"/>
  <c r="D62" i="17"/>
  <c r="C61" i="17"/>
  <c r="D30" i="17"/>
  <c r="D31" i="2"/>
  <c r="A31" i="2"/>
  <c r="A55" i="2"/>
  <c r="A54" i="2"/>
  <c r="D40" i="2"/>
  <c r="G11" i="14"/>
  <c r="E14" i="14"/>
  <c r="E15" i="14"/>
  <c r="G18" i="14"/>
  <c r="E22" i="14"/>
  <c r="E1" i="20"/>
  <c r="A39" i="20"/>
  <c r="D37" i="3"/>
  <c r="D38" i="3"/>
  <c r="D6" i="22"/>
  <c r="E6" i="22"/>
  <c r="E47" i="6"/>
  <c r="E50" i="6"/>
  <c r="D7" i="22"/>
  <c r="D16" i="22" s="1"/>
  <c r="E7" i="22"/>
  <c r="E30" i="35" s="1"/>
  <c r="E33" i="35" s="1"/>
  <c r="D14" i="22"/>
  <c r="E14" i="22"/>
  <c r="E30" i="10" s="1"/>
  <c r="E33" i="10" s="1"/>
  <c r="D15" i="22"/>
  <c r="E15" i="22"/>
  <c r="E70" i="10" s="1"/>
  <c r="E73" i="10" s="1"/>
  <c r="D9" i="22"/>
  <c r="E9" i="22"/>
  <c r="D10" i="22"/>
  <c r="E10" i="22"/>
  <c r="E30" i="8" s="1"/>
  <c r="E33" i="8" s="1"/>
  <c r="D11" i="22"/>
  <c r="E11" i="22"/>
  <c r="E70" i="8" s="1"/>
  <c r="E73" i="8" s="1"/>
  <c r="D12" i="22"/>
  <c r="E12" i="22"/>
  <c r="E30" i="9" s="1"/>
  <c r="E33" i="9" s="1"/>
  <c r="D13" i="22"/>
  <c r="E13" i="22"/>
  <c r="E70" i="9" s="1"/>
  <c r="E73" i="9" s="1"/>
  <c r="J1" i="14"/>
  <c r="B18" i="14"/>
  <c r="D21" i="22"/>
  <c r="D23" i="22"/>
  <c r="D25" i="22"/>
  <c r="E46" i="17"/>
  <c r="E45" i="17"/>
  <c r="D46" i="17"/>
  <c r="D45" i="17"/>
  <c r="C46" i="17"/>
  <c r="C45" i="17"/>
  <c r="E59" i="17"/>
  <c r="E58" i="17"/>
  <c r="C25" i="6"/>
  <c r="D32" i="8"/>
  <c r="C72" i="8"/>
  <c r="C32" i="9"/>
  <c r="C19" i="9"/>
  <c r="C72" i="10"/>
  <c r="C59" i="10"/>
  <c r="C32" i="10"/>
  <c r="C19" i="10"/>
  <c r="E28" i="17"/>
  <c r="E27" i="17"/>
  <c r="E15" i="17"/>
  <c r="E14" i="17"/>
  <c r="D15" i="17"/>
  <c r="D14" i="17"/>
  <c r="C15" i="17"/>
  <c r="C14" i="17"/>
  <c r="F1" i="22"/>
  <c r="A29" i="22"/>
  <c r="A1" i="22"/>
  <c r="B15" i="22"/>
  <c r="B14" i="22"/>
  <c r="B13" i="22"/>
  <c r="B12" i="22"/>
  <c r="B11" i="22"/>
  <c r="B10" i="22"/>
  <c r="B9" i="22"/>
  <c r="B7" i="22"/>
  <c r="B6" i="22"/>
  <c r="C16" i="22"/>
  <c r="E16" i="4"/>
  <c r="C47" i="17"/>
  <c r="C60" i="17"/>
  <c r="C16" i="17"/>
  <c r="C29" i="17"/>
  <c r="C32" i="17"/>
  <c r="A57" i="20"/>
  <c r="A56" i="20"/>
  <c r="A55" i="20"/>
  <c r="A54" i="20"/>
  <c r="A53" i="20"/>
  <c r="A52" i="20"/>
  <c r="A51" i="20"/>
  <c r="A50" i="20"/>
  <c r="A49" i="20"/>
  <c r="A47" i="20"/>
  <c r="A46" i="20"/>
  <c r="E12" i="4"/>
  <c r="E14" i="4"/>
  <c r="E15" i="4"/>
  <c r="E17" i="4"/>
  <c r="E18" i="4"/>
  <c r="E19" i="4"/>
  <c r="E20" i="4"/>
  <c r="E11" i="4"/>
  <c r="J1" i="4"/>
  <c r="B10" i="4"/>
  <c r="G37" i="12"/>
  <c r="G27" i="34"/>
  <c r="G29" i="12"/>
  <c r="G28" i="12"/>
  <c r="E28" i="12"/>
  <c r="D27" i="20"/>
  <c r="F27" i="12"/>
  <c r="G84" i="10"/>
  <c r="F26" i="12"/>
  <c r="G44" i="10"/>
  <c r="F25" i="12"/>
  <c r="G84" i="9"/>
  <c r="F24" i="12"/>
  <c r="G44" i="9"/>
  <c r="F23" i="12"/>
  <c r="G84" i="8"/>
  <c r="F22" i="12"/>
  <c r="G44" i="8"/>
  <c r="F21" i="12"/>
  <c r="G54" i="7"/>
  <c r="F19" i="12"/>
  <c r="G44" i="35"/>
  <c r="F18" i="12"/>
  <c r="G61" i="6"/>
  <c r="C37" i="12"/>
  <c r="A26" i="20"/>
  <c r="A25" i="20"/>
  <c r="A24" i="20"/>
  <c r="A23" i="20"/>
  <c r="A22" i="20"/>
  <c r="A21" i="20"/>
  <c r="A20" i="20"/>
  <c r="A18" i="20"/>
  <c r="A17" i="20"/>
  <c r="H25" i="4"/>
  <c r="F15" i="13"/>
  <c r="G41" i="12"/>
  <c r="F1" i="21"/>
  <c r="D9" i="21"/>
  <c r="B32" i="21"/>
  <c r="A2" i="21"/>
  <c r="E37" i="12"/>
  <c r="E27" i="34"/>
  <c r="H1" i="3"/>
  <c r="C41" i="3"/>
  <c r="A52" i="2"/>
  <c r="E42" i="12"/>
  <c r="E41" i="12"/>
  <c r="C42" i="12"/>
  <c r="C43" i="12"/>
  <c r="C41" i="12"/>
  <c r="E40" i="12"/>
  <c r="E43" i="12"/>
  <c r="C40" i="12"/>
  <c r="E58" i="2"/>
  <c r="D58" i="2"/>
  <c r="A8" i="20"/>
  <c r="A2" i="20"/>
  <c r="A1" i="20"/>
  <c r="A41" i="2"/>
  <c r="A13" i="2"/>
  <c r="A7" i="16"/>
  <c r="A11" i="16"/>
  <c r="A26" i="16"/>
  <c r="A30" i="16"/>
  <c r="F11" i="13"/>
  <c r="G40" i="12"/>
  <c r="J16" i="13"/>
  <c r="L15" i="13"/>
  <c r="K15" i="13"/>
  <c r="J15" i="13"/>
  <c r="I15" i="13"/>
  <c r="L11" i="13"/>
  <c r="L16" i="13"/>
  <c r="K11" i="13"/>
  <c r="K16" i="13"/>
  <c r="J11" i="13"/>
  <c r="I11" i="13"/>
  <c r="I16" i="13"/>
  <c r="I1" i="12"/>
  <c r="K43" i="12"/>
  <c r="D19" i="12"/>
  <c r="B12" i="4"/>
  <c r="L1" i="13"/>
  <c r="G23" i="13"/>
  <c r="B43" i="2"/>
  <c r="C22" i="3"/>
  <c r="B3" i="3"/>
  <c r="A36" i="14"/>
  <c r="B22" i="14"/>
  <c r="C14" i="14"/>
  <c r="B6" i="14"/>
  <c r="A3" i="14"/>
  <c r="D33" i="16"/>
  <c r="A21" i="16"/>
  <c r="A6" i="16"/>
  <c r="C28" i="12"/>
  <c r="C29" i="12"/>
  <c r="D32" i="3"/>
  <c r="D31" i="3"/>
  <c r="B29" i="12"/>
  <c r="B28" i="12"/>
  <c r="B32" i="3"/>
  <c r="B31" i="3"/>
  <c r="B1" i="17"/>
  <c r="B36" i="17"/>
  <c r="B5" i="17"/>
  <c r="A12" i="16"/>
  <c r="I6" i="16"/>
  <c r="C30" i="3"/>
  <c r="C29" i="3"/>
  <c r="C28" i="3"/>
  <c r="C27" i="3"/>
  <c r="C26" i="3"/>
  <c r="C25" i="3"/>
  <c r="C24" i="3"/>
  <c r="B30" i="3"/>
  <c r="B29" i="3"/>
  <c r="B28" i="3"/>
  <c r="B27" i="3"/>
  <c r="B26" i="3"/>
  <c r="B25" i="3"/>
  <c r="B24" i="3"/>
  <c r="D36" i="3"/>
  <c r="C21" i="3"/>
  <c r="B21" i="3"/>
  <c r="B5" i="3"/>
  <c r="C1" i="14"/>
  <c r="I36" i="13"/>
  <c r="H36" i="13"/>
  <c r="G36" i="13"/>
  <c r="B2" i="13"/>
  <c r="B1" i="13"/>
  <c r="B5" i="6"/>
  <c r="B1" i="6"/>
  <c r="D52" i="2"/>
  <c r="B51" i="2"/>
  <c r="B50" i="2"/>
  <c r="B49" i="2"/>
  <c r="B48" i="2"/>
  <c r="B47" i="2"/>
  <c r="B46" i="2"/>
  <c r="B45" i="2"/>
  <c r="B42" i="2"/>
  <c r="B20" i="4"/>
  <c r="B19" i="4"/>
  <c r="B18" i="4"/>
  <c r="B17" i="4"/>
  <c r="B16" i="4"/>
  <c r="B15" i="4"/>
  <c r="B14" i="4"/>
  <c r="B11" i="4"/>
  <c r="B1" i="4"/>
  <c r="B1" i="7"/>
  <c r="B5" i="7"/>
  <c r="G42" i="12"/>
  <c r="G43" i="12"/>
  <c r="B27" i="12"/>
  <c r="B26" i="12"/>
  <c r="B25" i="12"/>
  <c r="B24" i="12"/>
  <c r="B23" i="12"/>
  <c r="B22" i="12"/>
  <c r="B21" i="12"/>
  <c r="E21" i="12"/>
  <c r="D27" i="12"/>
  <c r="D26" i="12"/>
  <c r="D25" i="12"/>
  <c r="D24" i="12"/>
  <c r="D23" i="12"/>
  <c r="D22" i="12"/>
  <c r="D21" i="12"/>
  <c r="D18" i="12"/>
  <c r="C35" i="12"/>
  <c r="B18" i="12"/>
  <c r="B6" i="12"/>
  <c r="B5" i="12"/>
  <c r="E25" i="12"/>
  <c r="C24" i="12"/>
  <c r="E24" i="12"/>
  <c r="E27" i="12"/>
  <c r="C27" i="12"/>
  <c r="C26" i="12"/>
  <c r="E26" i="12"/>
  <c r="E23" i="12"/>
  <c r="C23" i="12"/>
  <c r="C22" i="12"/>
  <c r="E22" i="12"/>
  <c r="B1" i="8"/>
  <c r="B45" i="8"/>
  <c r="B5" i="8"/>
  <c r="B45" i="9"/>
  <c r="B5" i="9"/>
  <c r="B1" i="9"/>
  <c r="B45" i="10"/>
  <c r="B5" i="10"/>
  <c r="B1" i="10"/>
  <c r="A11" i="20"/>
  <c r="B44" i="20"/>
  <c r="A12" i="20"/>
  <c r="A6" i="20"/>
  <c r="A29" i="20"/>
  <c r="A10" i="20"/>
  <c r="A7" i="20"/>
  <c r="A15" i="20"/>
  <c r="B61" i="17"/>
  <c r="C40" i="10"/>
  <c r="B75" i="10"/>
  <c r="C61" i="8"/>
  <c r="C74" i="8"/>
  <c r="C59" i="8"/>
  <c r="E35" i="12"/>
  <c r="J5" i="14"/>
  <c r="J7" i="14"/>
  <c r="C40" i="8"/>
  <c r="B75" i="8"/>
  <c r="C61" i="9"/>
  <c r="C74" i="9"/>
  <c r="D32" i="9"/>
  <c r="D32" i="10"/>
  <c r="E11" i="3"/>
  <c r="I6" i="13"/>
  <c r="I23" i="13"/>
  <c r="F16" i="13"/>
  <c r="A31" i="20"/>
  <c r="A13" i="20"/>
  <c r="C44" i="20"/>
  <c r="A9" i="20"/>
  <c r="C80" i="10"/>
  <c r="F12" i="3"/>
  <c r="E14" i="12"/>
  <c r="G39" i="12"/>
  <c r="E9" i="21"/>
  <c r="B35" i="8"/>
  <c r="B52" i="6"/>
  <c r="F7" i="13"/>
  <c r="C9" i="21"/>
  <c r="E5" i="22"/>
  <c r="D5" i="22"/>
  <c r="K6" i="13"/>
  <c r="B11" i="14"/>
  <c r="D6" i="17"/>
  <c r="D16" i="17"/>
  <c r="D29" i="17"/>
  <c r="E32" i="3"/>
  <c r="J29" i="24"/>
  <c r="J30" i="24"/>
  <c r="H29" i="24"/>
  <c r="H30" i="24"/>
  <c r="F29" i="24"/>
  <c r="F30" i="24"/>
  <c r="D29" i="24"/>
  <c r="D30" i="24"/>
  <c r="K28" i="24"/>
  <c r="C30" i="12"/>
  <c r="H23" i="13"/>
  <c r="E39" i="12"/>
  <c r="B75" i="9"/>
  <c r="B11" i="12"/>
  <c r="E9" i="4"/>
  <c r="B29" i="24"/>
  <c r="B30" i="24"/>
  <c r="K18" i="24"/>
  <c r="K17" i="24"/>
  <c r="D58" i="17"/>
  <c r="C58" i="17"/>
  <c r="E31" i="3"/>
  <c r="D27" i="17"/>
  <c r="C25" i="12"/>
  <c r="C32" i="8"/>
  <c r="D42" i="7"/>
  <c r="A19" i="22"/>
  <c r="F13" i="21"/>
  <c r="E11" i="21"/>
  <c r="E27" i="21"/>
  <c r="E29" i="21"/>
  <c r="G33" i="12"/>
  <c r="D44" i="6"/>
  <c r="D31" i="17"/>
  <c r="C62" i="17"/>
  <c r="C31" i="17"/>
  <c r="C63" i="17"/>
  <c r="D37" i="17"/>
  <c r="D47" i="17"/>
  <c r="D60" i="17"/>
  <c r="C72" i="9"/>
  <c r="C80" i="9"/>
  <c r="D94" i="10"/>
  <c r="C94" i="10"/>
  <c r="D92" i="10"/>
  <c r="B37" i="10"/>
  <c r="C92" i="10"/>
  <c r="D94" i="9"/>
  <c r="C94" i="9"/>
  <c r="D92" i="9"/>
  <c r="C34" i="9"/>
  <c r="D6" i="9"/>
  <c r="C92" i="9"/>
  <c r="B37" i="9"/>
  <c r="C94" i="8"/>
  <c r="C92" i="8"/>
  <c r="B37" i="8"/>
  <c r="C21" i="12"/>
  <c r="C42" i="7"/>
  <c r="D21" i="4"/>
  <c r="G30" i="4"/>
  <c r="G13" i="4"/>
  <c r="C22" i="7"/>
  <c r="C93" i="9"/>
  <c r="G18" i="4"/>
  <c r="E50" i="9"/>
  <c r="G20" i="4"/>
  <c r="E50" i="10"/>
  <c r="G19" i="4"/>
  <c r="E10" i="10"/>
  <c r="G15" i="4"/>
  <c r="E10" i="8"/>
  <c r="G17" i="4"/>
  <c r="E10" i="9"/>
  <c r="G16" i="4"/>
  <c r="E50" i="8"/>
  <c r="C39" i="12"/>
  <c r="C57" i="6"/>
  <c r="C50" i="7"/>
  <c r="K27" i="12"/>
  <c r="K40" i="12"/>
  <c r="K28" i="12"/>
  <c r="K32" i="12"/>
  <c r="K41" i="12"/>
  <c r="K29" i="24"/>
  <c r="K30" i="24"/>
  <c r="A43" i="20"/>
  <c r="D58" i="7"/>
  <c r="G22" i="31"/>
  <c r="G20" i="31" s="1"/>
  <c r="G24" i="31"/>
  <c r="B15" i="3"/>
  <c r="E21" i="4"/>
  <c r="B77" i="9"/>
  <c r="G16" i="14"/>
  <c r="C95" i="35"/>
  <c r="D59" i="8"/>
  <c r="D19" i="8"/>
  <c r="D59" i="9"/>
  <c r="D22" i="7"/>
  <c r="D5" i="35"/>
  <c r="C19" i="35"/>
  <c r="C32" i="35"/>
  <c r="H35" i="35"/>
  <c r="H38" i="35"/>
  <c r="H43" i="35"/>
  <c r="C45" i="35"/>
  <c r="H45" i="35"/>
  <c r="G64" i="35"/>
  <c r="G71" i="35"/>
  <c r="D72" i="35"/>
  <c r="H73" i="35"/>
  <c r="G78" i="35"/>
  <c r="H83" i="35"/>
  <c r="H85" i="35"/>
  <c r="C5" i="35"/>
  <c r="G24" i="35"/>
  <c r="G31" i="35"/>
  <c r="H34" i="35"/>
  <c r="G38" i="35"/>
  <c r="C40" i="35"/>
  <c r="B75" i="35"/>
  <c r="H76" i="35"/>
  <c r="B47" i="34"/>
  <c r="B91" i="34"/>
  <c r="H32" i="4"/>
  <c r="J19" i="4"/>
  <c r="E12" i="10"/>
  <c r="D10" i="4"/>
  <c r="J83" i="32"/>
  <c r="J123" i="32"/>
  <c r="J103" i="32"/>
  <c r="I19" i="4"/>
  <c r="E11" i="10"/>
  <c r="I20" i="4"/>
  <c r="E51" i="10"/>
  <c r="I17" i="4"/>
  <c r="E11" i="9"/>
  <c r="I18" i="4"/>
  <c r="E51" i="9"/>
  <c r="I16" i="4"/>
  <c r="E51" i="8"/>
  <c r="D5" i="6"/>
  <c r="D5" i="9"/>
  <c r="D45" i="9"/>
  <c r="G41" i="6"/>
  <c r="G48" i="6"/>
  <c r="H51" i="6"/>
  <c r="H53" i="6"/>
  <c r="H56" i="6"/>
  <c r="H61" i="6"/>
  <c r="H63" i="6"/>
  <c r="G38" i="7"/>
  <c r="H45" i="7"/>
  <c r="H53" i="7"/>
  <c r="G24" i="8"/>
  <c r="G31" i="8"/>
  <c r="H34" i="8"/>
  <c r="H36" i="8"/>
  <c r="H43" i="8"/>
  <c r="H45" i="8"/>
  <c r="G64" i="8"/>
  <c r="G71" i="8"/>
  <c r="H74" i="8"/>
  <c r="H76" i="8"/>
  <c r="H79" i="8"/>
  <c r="H84" i="8"/>
  <c r="H86" i="8"/>
  <c r="H33" i="9"/>
  <c r="H39" i="9"/>
  <c r="H46" i="9"/>
  <c r="H73" i="9"/>
  <c r="H78" i="9"/>
  <c r="H85" i="9"/>
  <c r="G24" i="10"/>
  <c r="G31" i="10"/>
  <c r="H34" i="10"/>
  <c r="H36" i="10"/>
  <c r="H43" i="10"/>
  <c r="H45" i="10"/>
  <c r="G64" i="10"/>
  <c r="G71" i="10"/>
  <c r="H74" i="10"/>
  <c r="H76" i="10"/>
  <c r="H79" i="10"/>
  <c r="H84" i="10"/>
  <c r="H86" i="10"/>
  <c r="H38" i="9"/>
  <c r="C5" i="6"/>
  <c r="E5" i="6"/>
  <c r="E5" i="7"/>
  <c r="G45" i="6"/>
  <c r="H50" i="6"/>
  <c r="H52" i="6"/>
  <c r="H55" i="6"/>
  <c r="H60" i="6"/>
  <c r="G34" i="7"/>
  <c r="H44" i="7"/>
  <c r="H49" i="7"/>
  <c r="G28" i="8"/>
  <c r="H33" i="8"/>
  <c r="H35" i="8"/>
  <c r="H39" i="8"/>
  <c r="H44" i="8"/>
  <c r="H46" i="8"/>
  <c r="G68" i="8"/>
  <c r="H73" i="8"/>
  <c r="H75" i="8"/>
  <c r="H78" i="8"/>
  <c r="H83" i="8"/>
  <c r="H85" i="8"/>
  <c r="G24" i="9"/>
  <c r="H34" i="9"/>
  <c r="H43" i="9"/>
  <c r="G64" i="9"/>
  <c r="H74" i="9"/>
  <c r="H79" i="9"/>
  <c r="G28" i="10"/>
  <c r="H33" i="10"/>
  <c r="H35" i="10"/>
  <c r="H39" i="10"/>
  <c r="H44" i="10"/>
  <c r="H46" i="10"/>
  <c r="G68" i="10"/>
  <c r="H73" i="10"/>
  <c r="H75" i="10"/>
  <c r="H78" i="10"/>
  <c r="H83" i="10"/>
  <c r="H85" i="10"/>
  <c r="G12" i="4"/>
  <c r="E10" i="35"/>
  <c r="J16" i="4"/>
  <c r="E52" i="8"/>
  <c r="J18" i="4"/>
  <c r="E52" i="9"/>
  <c r="J17" i="4"/>
  <c r="E12" i="9"/>
  <c r="J20" i="4"/>
  <c r="E52" i="10"/>
  <c r="C34" i="35"/>
  <c r="C94" i="35"/>
  <c r="D32" i="35"/>
  <c r="D93" i="35"/>
  <c r="C72" i="35"/>
  <c r="G48" i="7"/>
  <c r="C19" i="8"/>
  <c r="C34" i="10"/>
  <c r="C93" i="10"/>
  <c r="C74" i="10"/>
  <c r="E70" i="35"/>
  <c r="E73" i="35" s="1"/>
  <c r="E40" i="7"/>
  <c r="E43" i="7" s="1"/>
  <c r="F32" i="12"/>
  <c r="G86" i="35"/>
  <c r="K35" i="12"/>
  <c r="K25" i="12"/>
  <c r="K42" i="12"/>
  <c r="K34" i="12"/>
  <c r="K21" i="12"/>
  <c r="N42" i="12"/>
  <c r="G14" i="12"/>
  <c r="C14" i="12"/>
  <c r="H15" i="12"/>
  <c r="B12" i="12"/>
  <c r="G84" i="35"/>
  <c r="D46" i="10"/>
  <c r="D61" i="10"/>
  <c r="D74" i="10"/>
  <c r="C95" i="10"/>
  <c r="D6" i="10"/>
  <c r="C44" i="7"/>
  <c r="D6" i="7"/>
  <c r="C39" i="7"/>
  <c r="D95" i="35"/>
  <c r="B77" i="35"/>
  <c r="D46" i="35"/>
  <c r="C96" i="35"/>
  <c r="C59" i="35"/>
  <c r="D6" i="35"/>
  <c r="C5" i="7"/>
  <c r="C5" i="17"/>
  <c r="C36" i="17"/>
  <c r="C5" i="10"/>
  <c r="C45" i="10"/>
  <c r="C5" i="9"/>
  <c r="C45" i="9"/>
  <c r="C5" i="8"/>
  <c r="C45" i="8"/>
  <c r="E5" i="17"/>
  <c r="E36" i="17"/>
  <c r="E5" i="10"/>
  <c r="E45" i="10"/>
  <c r="E5" i="9"/>
  <c r="E45" i="9"/>
  <c r="E5" i="8"/>
  <c r="E45" i="8"/>
  <c r="D5" i="17"/>
  <c r="D36" i="17"/>
  <c r="D5" i="8"/>
  <c r="D45" i="8"/>
  <c r="D5" i="10"/>
  <c r="D45" i="10"/>
  <c r="D5" i="7"/>
  <c r="E39" i="10"/>
  <c r="E39" i="9"/>
  <c r="E39" i="35"/>
  <c r="G46" i="9"/>
  <c r="G86" i="9"/>
  <c r="C75" i="7"/>
  <c r="E79" i="10"/>
  <c r="E79" i="8"/>
  <c r="E39" i="8"/>
  <c r="J27" i="9"/>
  <c r="J28" i="9"/>
  <c r="J29" i="9"/>
  <c r="J68" i="35"/>
  <c r="J69" i="35"/>
  <c r="J67" i="35"/>
  <c r="J28" i="35"/>
  <c r="J29" i="35"/>
  <c r="J27" i="35"/>
  <c r="J28" i="8"/>
  <c r="J29" i="8"/>
  <c r="J68" i="9"/>
  <c r="J69" i="9"/>
  <c r="J27" i="10"/>
  <c r="J28" i="10"/>
  <c r="J29" i="10"/>
  <c r="J67" i="9"/>
  <c r="J27" i="8"/>
  <c r="E49" i="7"/>
  <c r="J45" i="6"/>
  <c r="J46" i="6"/>
  <c r="J68" i="10"/>
  <c r="J69" i="10"/>
  <c r="J67" i="10"/>
  <c r="J68" i="8"/>
  <c r="J69" i="8"/>
  <c r="J67" i="8"/>
  <c r="N43" i="12"/>
  <c r="J44" i="6"/>
  <c r="J38" i="7"/>
  <c r="J39" i="7"/>
  <c r="J37" i="7"/>
  <c r="G18" i="12"/>
  <c r="E54" i="6"/>
  <c r="F53" i="6"/>
  <c r="E21" i="3"/>
  <c r="E49" i="6"/>
  <c r="D25" i="6"/>
  <c r="D21" i="9"/>
  <c r="D34" i="9"/>
  <c r="D19" i="9"/>
  <c r="D21" i="10"/>
  <c r="D34" i="10"/>
  <c r="D19" i="10"/>
  <c r="E28" i="34"/>
  <c r="N27" i="12"/>
  <c r="N35" i="12"/>
  <c r="G46" i="8"/>
  <c r="G46" i="10"/>
  <c r="G86" i="8"/>
  <c r="G86" i="10"/>
  <c r="N23" i="12"/>
  <c r="E16" i="22"/>
  <c r="H84" i="9"/>
  <c r="H76" i="9"/>
  <c r="G71" i="9"/>
  <c r="H45" i="9"/>
  <c r="H36" i="9"/>
  <c r="G31" i="9"/>
  <c r="H54" i="7"/>
  <c r="H46" i="7"/>
  <c r="G41" i="7"/>
  <c r="H83" i="9"/>
  <c r="H75" i="9"/>
  <c r="G68" i="9"/>
  <c r="H44" i="9"/>
  <c r="H35" i="9"/>
  <c r="G28" i="9"/>
  <c r="H56" i="7"/>
  <c r="H48" i="7"/>
  <c r="H43" i="7"/>
  <c r="B5" i="22"/>
  <c r="I32" i="4"/>
  <c r="I14" i="4"/>
  <c r="E11" i="7"/>
  <c r="I13" i="4"/>
  <c r="E51" i="35"/>
  <c r="G18" i="34"/>
  <c r="G9" i="4"/>
  <c r="J34" i="4"/>
  <c r="J14" i="4"/>
  <c r="B46" i="34"/>
  <c r="H78" i="35"/>
  <c r="H75" i="35"/>
  <c r="D45" i="35"/>
  <c r="H33" i="35"/>
  <c r="G28" i="35"/>
  <c r="E5" i="35"/>
  <c r="H86" i="35"/>
  <c r="H84" i="35"/>
  <c r="C80" i="35"/>
  <c r="H74" i="35"/>
  <c r="G68" i="35"/>
  <c r="H46" i="35"/>
  <c r="E45" i="35"/>
  <c r="H44" i="35"/>
  <c r="H39" i="35"/>
  <c r="H36" i="35"/>
  <c r="B35" i="35"/>
  <c r="E15" i="34"/>
  <c r="E22" i="34"/>
  <c r="B9" i="3"/>
  <c r="C51" i="3"/>
  <c r="G14" i="4"/>
  <c r="E10" i="7"/>
  <c r="F11" i="21"/>
  <c r="C5" i="22"/>
  <c r="B35" i="9"/>
  <c r="B13" i="14"/>
  <c r="B3" i="22"/>
  <c r="B45" i="7"/>
  <c r="B8" i="3"/>
  <c r="B5" i="14"/>
  <c r="B9" i="14"/>
  <c r="C15" i="14"/>
  <c r="B32" i="14"/>
  <c r="D61" i="35"/>
  <c r="D74" i="35"/>
  <c r="D59" i="35"/>
  <c r="D19" i="35"/>
  <c r="D21" i="35"/>
  <c r="D34" i="35"/>
  <c r="G33" i="35"/>
  <c r="G11" i="4"/>
  <c r="G21" i="4"/>
  <c r="E50" i="35"/>
  <c r="D94" i="35"/>
  <c r="J12" i="4"/>
  <c r="E12" i="35"/>
  <c r="E6" i="10"/>
  <c r="G33" i="10"/>
  <c r="D93" i="10"/>
  <c r="G33" i="9"/>
  <c r="J13" i="4"/>
  <c r="E52" i="35"/>
  <c r="I12" i="4"/>
  <c r="E46" i="35"/>
  <c r="G17" i="34"/>
  <c r="E11" i="35"/>
  <c r="E20" i="35"/>
  <c r="C34" i="8"/>
  <c r="C93" i="8"/>
  <c r="D32" i="12"/>
  <c r="J15" i="4"/>
  <c r="E12" i="8"/>
  <c r="I15" i="4"/>
  <c r="E11" i="8"/>
  <c r="E10" i="6"/>
  <c r="I11" i="4"/>
  <c r="I21" i="4"/>
  <c r="E12" i="7"/>
  <c r="E23" i="7"/>
  <c r="G44" i="7" s="1"/>
  <c r="E11" i="6"/>
  <c r="E20" i="9"/>
  <c r="G34" i="9"/>
  <c r="E60" i="9"/>
  <c r="E60" i="35"/>
  <c r="E61" i="35"/>
  <c r="E20" i="8"/>
  <c r="B47" i="7"/>
  <c r="E20" i="10"/>
  <c r="G74" i="9"/>
  <c r="E6" i="35"/>
  <c r="E21" i="35"/>
  <c r="D93" i="9"/>
  <c r="B38" i="9"/>
  <c r="E6" i="9"/>
  <c r="E21" i="9"/>
  <c r="B38" i="10"/>
  <c r="B38" i="35"/>
  <c r="C51" i="6"/>
  <c r="C49" i="6"/>
  <c r="G55" i="6"/>
  <c r="C72" i="6"/>
  <c r="C18" i="12"/>
  <c r="E37" i="17"/>
  <c r="E47" i="17"/>
  <c r="E60" i="17"/>
  <c r="E61" i="17"/>
  <c r="D63" i="17"/>
  <c r="E6" i="17"/>
  <c r="E16" i="17"/>
  <c r="E29" i="17"/>
  <c r="E30" i="17"/>
  <c r="D32" i="17"/>
  <c r="E19" i="35"/>
  <c r="G34" i="35"/>
  <c r="G19" i="34"/>
  <c r="G34" i="8"/>
  <c r="D96" i="35"/>
  <c r="B78" i="35"/>
  <c r="G73" i="35"/>
  <c r="D95" i="10"/>
  <c r="E46" i="10"/>
  <c r="G73" i="10"/>
  <c r="E60" i="8"/>
  <c r="E60" i="10"/>
  <c r="D46" i="9"/>
  <c r="D61" i="9"/>
  <c r="D74" i="9"/>
  <c r="C95" i="9"/>
  <c r="D46" i="8"/>
  <c r="D61" i="8"/>
  <c r="D74" i="8"/>
  <c r="C95" i="8"/>
  <c r="D24" i="7"/>
  <c r="G56" i="7"/>
  <c r="G63" i="6"/>
  <c r="G46" i="35"/>
  <c r="B77" i="8"/>
  <c r="G20" i="14"/>
  <c r="B37" i="35"/>
  <c r="D94" i="8"/>
  <c r="C19" i="12"/>
  <c r="D6" i="8"/>
  <c r="D21" i="8"/>
  <c r="D34" i="8"/>
  <c r="E6" i="8"/>
  <c r="E21" i="8"/>
  <c r="J11" i="4"/>
  <c r="E12" i="6"/>
  <c r="E26" i="6"/>
  <c r="G51" i="6"/>
  <c r="J21" i="4"/>
  <c r="E59" i="35"/>
  <c r="G74" i="35"/>
  <c r="E21" i="10"/>
  <c r="G34" i="10"/>
  <c r="D95" i="8"/>
  <c r="G73" i="8"/>
  <c r="E46" i="8"/>
  <c r="D39" i="7"/>
  <c r="D44" i="7"/>
  <c r="G74" i="8"/>
  <c r="E61" i="8"/>
  <c r="B78" i="8"/>
  <c r="E61" i="10"/>
  <c r="G74" i="10"/>
  <c r="C32" i="12"/>
  <c r="C34" i="12"/>
  <c r="C73" i="6"/>
  <c r="D6" i="6"/>
  <c r="D27" i="6"/>
  <c r="G73" i="9"/>
  <c r="D95" i="9"/>
  <c r="B78" i="9"/>
  <c r="E46" i="9"/>
  <c r="E61" i="9"/>
  <c r="D93" i="8"/>
  <c r="B38" i="8"/>
  <c r="G33" i="8"/>
  <c r="D46" i="6"/>
  <c r="D50" i="6"/>
  <c r="G43" i="7"/>
  <c r="E6" i="7"/>
  <c r="D75" i="7"/>
  <c r="B48" i="7"/>
  <c r="D72" i="6"/>
  <c r="B54" i="6"/>
  <c r="E18" i="12"/>
  <c r="E32" i="12"/>
  <c r="E34" i="12"/>
  <c r="D49" i="6"/>
  <c r="D51" i="6"/>
  <c r="E6" i="6"/>
  <c r="E27" i="6"/>
  <c r="D73" i="6"/>
  <c r="B55" i="6"/>
  <c r="G50" i="6"/>
  <c r="E55" i="6"/>
  <c r="E57" i="6" s="1"/>
  <c r="G19" i="31"/>
  <c r="D9" i="31" l="1"/>
  <c r="E24" i="7"/>
  <c r="E46" i="6"/>
  <c r="F21" i="3"/>
  <c r="G52" i="6"/>
  <c r="G24" i="14"/>
  <c r="G26" i="14" s="1"/>
  <c r="J28" i="14" s="1"/>
  <c r="J30" i="14" s="1"/>
  <c r="E44" i="6"/>
  <c r="E25" i="6"/>
  <c r="G21" i="3"/>
  <c r="H18" i="12"/>
  <c r="I18" i="12" s="1"/>
  <c r="E42" i="7"/>
  <c r="E47" i="7"/>
  <c r="F46" i="7"/>
  <c r="G21" i="12"/>
  <c r="E24" i="3"/>
  <c r="G20" i="12"/>
  <c r="E23" i="3"/>
  <c r="E77" i="35"/>
  <c r="E78" i="35" s="1"/>
  <c r="F76" i="35"/>
  <c r="E72" i="35"/>
  <c r="F76" i="9"/>
  <c r="G25" i="12"/>
  <c r="E28" i="3"/>
  <c r="E77" i="9"/>
  <c r="E78" i="9" s="1"/>
  <c r="E80" i="9" s="1"/>
  <c r="E72" i="9"/>
  <c r="E37" i="9"/>
  <c r="E38" i="9" s="1"/>
  <c r="E40" i="9" s="1"/>
  <c r="G24" i="12"/>
  <c r="E27" i="3"/>
  <c r="F36" i="9"/>
  <c r="E32" i="9"/>
  <c r="E77" i="8"/>
  <c r="E78" i="8" s="1"/>
  <c r="E80" i="8" s="1"/>
  <c r="F76" i="8"/>
  <c r="E72" i="8"/>
  <c r="E26" i="3"/>
  <c r="G23" i="12"/>
  <c r="E25" i="3"/>
  <c r="F36" i="8"/>
  <c r="E37" i="8"/>
  <c r="E38" i="8" s="1"/>
  <c r="E40" i="8" s="1"/>
  <c r="G22" i="12"/>
  <c r="E32" i="8"/>
  <c r="E77" i="10"/>
  <c r="E78" i="10" s="1"/>
  <c r="E80" i="10" s="1"/>
  <c r="G27" i="12"/>
  <c r="E30" i="3"/>
  <c r="F76" i="10"/>
  <c r="E72" i="10"/>
  <c r="E32" i="10"/>
  <c r="G26" i="12"/>
  <c r="E37" i="10"/>
  <c r="E38" i="10" s="1"/>
  <c r="E40" i="10" s="1"/>
  <c r="F36" i="10"/>
  <c r="E29" i="3"/>
  <c r="E22" i="3"/>
  <c r="F36" i="35"/>
  <c r="G19" i="12"/>
  <c r="G32" i="12" s="1"/>
  <c r="G34" i="12" s="1"/>
  <c r="E37" i="35"/>
  <c r="E38" i="35" s="1"/>
  <c r="E40" i="35" s="1"/>
  <c r="E32" i="35"/>
  <c r="E48" i="7" l="1"/>
  <c r="E50" i="7" s="1"/>
  <c r="E39" i="7" s="1"/>
  <c r="G53" i="6"/>
  <c r="G56" i="6" s="1"/>
  <c r="K52" i="6"/>
  <c r="E35" i="3"/>
  <c r="G75" i="10"/>
  <c r="F30" i="3"/>
  <c r="E59" i="10"/>
  <c r="G30" i="3"/>
  <c r="I27" i="12"/>
  <c r="G83" i="10" s="1"/>
  <c r="H27" i="12"/>
  <c r="H23" i="12"/>
  <c r="G75" i="8"/>
  <c r="G26" i="3"/>
  <c r="I23" i="12"/>
  <c r="G83" i="8" s="1"/>
  <c r="F26" i="3"/>
  <c r="E59" i="8"/>
  <c r="F22" i="3"/>
  <c r="I19" i="12"/>
  <c r="G43" i="35" s="1"/>
  <c r="H19" i="12"/>
  <c r="J32" i="14"/>
  <c r="J34" i="14" s="1"/>
  <c r="G35" i="35"/>
  <c r="G22" i="3"/>
  <c r="F29" i="3"/>
  <c r="G29" i="3"/>
  <c r="I26" i="12"/>
  <c r="G43" i="10" s="1"/>
  <c r="H26" i="12"/>
  <c r="E19" i="10"/>
  <c r="G35" i="10"/>
  <c r="H22" i="12"/>
  <c r="F25" i="3"/>
  <c r="I22" i="12"/>
  <c r="G43" i="8" s="1"/>
  <c r="G35" i="8"/>
  <c r="G25" i="3"/>
  <c r="E19" i="8"/>
  <c r="I24" i="12"/>
  <c r="G43" i="9" s="1"/>
  <c r="G35" i="9"/>
  <c r="G27" i="3"/>
  <c r="E19" i="9"/>
  <c r="F27" i="3"/>
  <c r="H24" i="12"/>
  <c r="F28" i="3"/>
  <c r="H25" i="12"/>
  <c r="I25" i="12"/>
  <c r="G83" i="9" s="1"/>
  <c r="G28" i="3"/>
  <c r="G75" i="9"/>
  <c r="E59" i="9"/>
  <c r="E79" i="35"/>
  <c r="E80" i="35" s="1"/>
  <c r="G45" i="7"/>
  <c r="H21" i="12"/>
  <c r="I21" i="12" s="1"/>
  <c r="G53" i="7" s="1"/>
  <c r="E22" i="7"/>
  <c r="G60" i="6"/>
  <c r="F24" i="3" l="1"/>
  <c r="G24" i="3" s="1"/>
  <c r="G23" i="3"/>
  <c r="G15" i="34"/>
  <c r="G22" i="34" s="1"/>
  <c r="H20" i="12"/>
  <c r="H32" i="12" s="1"/>
  <c r="N34" i="12" s="1"/>
  <c r="N36" i="12" s="1"/>
  <c r="I20" i="12"/>
  <c r="F23" i="3"/>
  <c r="K45" i="7"/>
  <c r="G46" i="7"/>
  <c r="G49" i="7" s="1"/>
  <c r="G36" i="9"/>
  <c r="G39" i="9" s="1"/>
  <c r="K35" i="9"/>
  <c r="K35" i="8"/>
  <c r="G36" i="8"/>
  <c r="G39" i="8" s="1"/>
  <c r="G36" i="10"/>
  <c r="G39" i="10" s="1"/>
  <c r="K35" i="10"/>
  <c r="K75" i="10"/>
  <c r="G76" i="10"/>
  <c r="G79" i="10" s="1"/>
  <c r="G75" i="35"/>
  <c r="K75" i="9"/>
  <c r="G76" i="9"/>
  <c r="G79" i="9" s="1"/>
  <c r="K35" i="35"/>
  <c r="G36" i="35"/>
  <c r="G39" i="35" s="1"/>
  <c r="F35" i="3"/>
  <c r="F37" i="3" s="1"/>
  <c r="K75" i="8"/>
  <c r="G76" i="8"/>
  <c r="G79" i="8" s="1"/>
  <c r="G35" i="3" l="1"/>
  <c r="N30" i="12"/>
  <c r="K30" i="12" s="1"/>
  <c r="N29" i="12"/>
  <c r="K29" i="12" s="1"/>
  <c r="G29" i="34"/>
  <c r="E30" i="34" s="1"/>
  <c r="D31" i="34" s="1"/>
  <c r="G83" i="35"/>
  <c r="I32" i="12"/>
  <c r="D24" i="34"/>
  <c r="E23" i="34"/>
  <c r="G76" i="35"/>
  <c r="G79" i="35" s="1"/>
  <c r="K75" i="35"/>
  <c r="G85" i="10" l="1"/>
  <c r="G85" i="8"/>
  <c r="N40" i="12"/>
  <c r="G85" i="35"/>
  <c r="G62" i="6"/>
  <c r="G45" i="8"/>
  <c r="G45" i="35"/>
  <c r="G85" i="9"/>
  <c r="G55" i="7"/>
  <c r="G45" i="9"/>
  <c r="G45" i="10"/>
  <c r="F33" i="34"/>
  <c r="F80" i="35" s="1"/>
</calcChain>
</file>

<file path=xl/sharedStrings.xml><?xml version="1.0" encoding="utf-8"?>
<sst xmlns="http://schemas.openxmlformats.org/spreadsheetml/2006/main" count="1567" uniqueCount="950">
  <si>
    <t>Special Road Election held ___________ for ___Mills for ___ years.</t>
  </si>
  <si>
    <t>First levy in ______.</t>
  </si>
  <si>
    <t>$</t>
  </si>
  <si>
    <t>Rate</t>
  </si>
  <si>
    <t>Amount</t>
  </si>
  <si>
    <t>County Treasurer's Motor Vehicle Estimate</t>
  </si>
  <si>
    <t>County Treasurer's Recreational Vehicle Estimate</t>
  </si>
  <si>
    <t>Motor Vehicle Factor</t>
  </si>
  <si>
    <t>Recreational Vehicle Factor</t>
  </si>
  <si>
    <t>Page No.</t>
  </si>
  <si>
    <t>Adopted Budget</t>
  </si>
  <si>
    <t>Prior Year</t>
  </si>
  <si>
    <t>Current Year</t>
  </si>
  <si>
    <t>Proposed Budget</t>
  </si>
  <si>
    <t>Unencumbered Cash Balance, Jan 1</t>
  </si>
  <si>
    <t>+</t>
  </si>
  <si>
    <t>Ad Valorem Tax</t>
  </si>
  <si>
    <t>Delinquent Tax</t>
  </si>
  <si>
    <t>Motor Vehicle Tax</t>
  </si>
  <si>
    <t>Recreational Vehicle Tax</t>
  </si>
  <si>
    <t>Gross Earnings (Intangibles) Tax</t>
  </si>
  <si>
    <t>Other</t>
  </si>
  <si>
    <t>Interest on Idle Funds</t>
  </si>
  <si>
    <t>Total Receipts</t>
  </si>
  <si>
    <t>Resources Available:</t>
  </si>
  <si>
    <t>Expenditures:</t>
  </si>
  <si>
    <t>Total Expenditures</t>
  </si>
  <si>
    <t>Unencumbered Cash Balance, Dec 31</t>
  </si>
  <si>
    <t>Tax Required</t>
  </si>
  <si>
    <t>%</t>
  </si>
  <si>
    <t xml:space="preserve">Special Machinery </t>
  </si>
  <si>
    <t xml:space="preserve">     K.S.A. 68-141g</t>
  </si>
  <si>
    <t>Actual</t>
  </si>
  <si>
    <t>Transfers from:</t>
  </si>
  <si>
    <t xml:space="preserve">  Road Fund</t>
  </si>
  <si>
    <t xml:space="preserve">        </t>
  </si>
  <si>
    <t>Supplies</t>
  </si>
  <si>
    <t xml:space="preserve">       </t>
  </si>
  <si>
    <t xml:space="preserve">     </t>
  </si>
  <si>
    <t>The governing body of</t>
  </si>
  <si>
    <t>Est.</t>
  </si>
  <si>
    <t>Tax</t>
  </si>
  <si>
    <t>Expenditures</t>
  </si>
  <si>
    <t>Rate*</t>
  </si>
  <si>
    <t>Less: Transfers</t>
  </si>
  <si>
    <t>Net Expenditure</t>
  </si>
  <si>
    <t>Total Tax Levied</t>
  </si>
  <si>
    <t>Assessed Valuation:</t>
  </si>
  <si>
    <t xml:space="preserve">  Township</t>
  </si>
  <si>
    <t>Outstanding Indebtedness,</t>
  </si>
  <si>
    <t xml:space="preserve">  Jan 1</t>
  </si>
  <si>
    <t>G.O. Bonds</t>
  </si>
  <si>
    <t xml:space="preserve">     Total</t>
  </si>
  <si>
    <t xml:space="preserve">  *Tax rates are expressed in mills.</t>
  </si>
  <si>
    <t>Date</t>
  </si>
  <si>
    <t xml:space="preserve">   Amount Due</t>
  </si>
  <si>
    <t>of</t>
  </si>
  <si>
    <t xml:space="preserve">  Date Due</t>
  </si>
  <si>
    <t>Issue</t>
  </si>
  <si>
    <t>Issued</t>
  </si>
  <si>
    <t>Term</t>
  </si>
  <si>
    <t>Interest</t>
  </si>
  <si>
    <t>Principal</t>
  </si>
  <si>
    <t>Payments</t>
  </si>
  <si>
    <t xml:space="preserve">  Contract</t>
  </si>
  <si>
    <t>Contract</t>
  </si>
  <si>
    <t>Financed</t>
  </si>
  <si>
    <t>Due</t>
  </si>
  <si>
    <t>(Months)</t>
  </si>
  <si>
    <t>16/20 M Vehicle Tax</t>
  </si>
  <si>
    <t>CERTIFICATE</t>
  </si>
  <si>
    <t>NOTICE OF BUDGET HEARING</t>
  </si>
  <si>
    <t>BUDGET SUMMARY</t>
  </si>
  <si>
    <t>STATEMENT OF CONDITIONAL LEASE-PURCHASE AND CERTIFICATE OF PARTICIPATION*</t>
  </si>
  <si>
    <t>STATEMENT OF INDEBTEDNESS</t>
  </si>
  <si>
    <t>County Treasurer's 16/20M Vehicle Estimate</t>
  </si>
  <si>
    <t>16/20M Vehicle Factor</t>
  </si>
  <si>
    <t>MVT</t>
  </si>
  <si>
    <t>RVT</t>
  </si>
  <si>
    <t>Amount of Levy</t>
  </si>
  <si>
    <t xml:space="preserve"> 1.</t>
  </si>
  <si>
    <t xml:space="preserve"> 2.</t>
  </si>
  <si>
    <t>-</t>
  </si>
  <si>
    <t xml:space="preserve"> 3.</t>
  </si>
  <si>
    <t xml:space="preserve"> 4.</t>
  </si>
  <si>
    <t xml:space="preserve"> 5.</t>
  </si>
  <si>
    <t>5a.</t>
  </si>
  <si>
    <t>5b.</t>
  </si>
  <si>
    <t>5c.</t>
  </si>
  <si>
    <t>6.</t>
  </si>
  <si>
    <t>7.</t>
  </si>
  <si>
    <t>8.</t>
  </si>
  <si>
    <t>9.</t>
  </si>
  <si>
    <t>10.</t>
  </si>
  <si>
    <t>11.</t>
  </si>
  <si>
    <t>12.</t>
  </si>
  <si>
    <t>(Use Only if &gt; 0)</t>
  </si>
  <si>
    <t>Final Assessed Valuation:</t>
  </si>
  <si>
    <t xml:space="preserve">     Township</t>
  </si>
  <si>
    <t>16/20M Vehicle Tax</t>
  </si>
  <si>
    <t>Special Highway/Gasoline Tax</t>
  </si>
  <si>
    <t>Officers Pay</t>
  </si>
  <si>
    <t>Employee Benefits</t>
  </si>
  <si>
    <t>Equipment</t>
  </si>
  <si>
    <t>Transfer to Special Machinery</t>
  </si>
  <si>
    <t>Road Materials</t>
  </si>
  <si>
    <t>Balance On</t>
  </si>
  <si>
    <t>Tax Levy Excluding Debt Service</t>
  </si>
  <si>
    <t>Increase in Personal Property (5a minus 5b)</t>
  </si>
  <si>
    <r>
      <t xml:space="preserve">Total Valuation Adjustment </t>
    </r>
    <r>
      <rPr>
        <sz val="12"/>
        <rFont val="Times New Roman"/>
        <family val="1"/>
      </rPr>
      <t>(Sum of 4, 5c, 6)</t>
    </r>
  </si>
  <si>
    <t>Total Valuation less Valuation Adjustment (8 minus 7)</t>
  </si>
  <si>
    <t>Factor for Increase (7 divided by 9)</t>
  </si>
  <si>
    <t>Amount of Increase (10 times 3)</t>
  </si>
  <si>
    <t>adopt a resolution to exceed this limit and attach a copy to this budget.</t>
  </si>
  <si>
    <t>13.</t>
  </si>
  <si>
    <t>14.</t>
  </si>
  <si>
    <t>Maximum Tax Levy, excluding debt service,  without Resolution (3 plus 11)</t>
  </si>
  <si>
    <t>Maximum levy, including debt service, without a Resolution (12 plus 13)</t>
  </si>
  <si>
    <t>Unencumbered Cash Balance January 1</t>
  </si>
  <si>
    <t>Unencumbered Cash Balance Dec 31</t>
  </si>
  <si>
    <t>Receipts:</t>
  </si>
  <si>
    <t>16/20M Veh</t>
  </si>
  <si>
    <t>Outstanding</t>
  </si>
  <si>
    <t>(Beginning Principal)</t>
  </si>
  <si>
    <t>County Clerk's Use Only</t>
  </si>
  <si>
    <t>Salaries &amp; Wages</t>
  </si>
  <si>
    <t>Buildings Maintenance</t>
  </si>
  <si>
    <t>Road Maintenance</t>
  </si>
  <si>
    <t>Insurance</t>
  </si>
  <si>
    <t>TOWNSHIP RESOLUTION</t>
  </si>
  <si>
    <t>RESOLUTION NO.__________________</t>
  </si>
  <si>
    <r>
      <t>Whereas,</t>
    </r>
    <r>
      <rPr>
        <sz val="11"/>
        <rFont val="Times New Roman"/>
        <family val="1"/>
      </rPr>
      <t xml:space="preserve"> K.S.A. 79-2925b provides that a resolution be adopted if property taxes levied</t>
    </r>
  </si>
  <si>
    <r>
      <t xml:space="preserve">Whereas, </t>
    </r>
    <r>
      <rPr>
        <sz val="11"/>
        <rFont val="Times New Roman"/>
        <family val="1"/>
      </rPr>
      <t>budgeting, taxing and service level decisions for all township services are the responsibility of the township board; and</t>
    </r>
  </si>
  <si>
    <r>
      <t>Whereas,</t>
    </r>
    <r>
      <rPr>
        <sz val="11"/>
        <rFont val="Times New Roman"/>
        <family val="1"/>
      </rPr>
      <t xml:space="preserve"> the cost of provision of these services continues to increase.</t>
    </r>
  </si>
  <si>
    <t>___________________________________.</t>
  </si>
  <si>
    <t>(Attach a signed copy to the budget)</t>
  </si>
  <si>
    <t>valuation of oil and gas leaseholds and mobile homes; and 3) property which has changed in use during the past year, or with regard to revenue produced for the purpose of repaying the principal of and interest upon bonded indebtedness, temporary notes, or no-fund warrants; and</t>
  </si>
  <si>
    <t xml:space="preserve"> ___________________________________.</t>
  </si>
  <si>
    <t>, Trustee</t>
  </si>
  <si>
    <t>, Treasurer</t>
  </si>
  <si>
    <t>, Clerk</t>
  </si>
  <si>
    <t>Statement of Indebt. &amp; Lease/Purchase</t>
  </si>
  <si>
    <t>Other Fund Names:</t>
  </si>
  <si>
    <t>FUND PAGE FOR FUNDS WITH NO TAX LEVY</t>
  </si>
  <si>
    <t>Unencumbered Cash Balance Jan 1</t>
  </si>
  <si>
    <t>Address:</t>
  </si>
  <si>
    <t>Enter year being budgeted (YYYY)</t>
  </si>
  <si>
    <t xml:space="preserve">The input for the following comes directly from </t>
  </si>
  <si>
    <t xml:space="preserve">Enter the following information from the sources shown.  This information will be entered on the budget </t>
  </si>
  <si>
    <t>Attest: ____________________,</t>
  </si>
  <si>
    <t xml:space="preserve">certify that:  (1) the hearing mentioned in the attached publication was held; </t>
  </si>
  <si>
    <t>(2) after the Budget Hearing this budget was approved and adopted as the</t>
  </si>
  <si>
    <t>We, the undersigned, officers of</t>
  </si>
  <si>
    <t>10-113</t>
  </si>
  <si>
    <t>Total G.O. Bonds</t>
  </si>
  <si>
    <t>Total Other</t>
  </si>
  <si>
    <t>Resolution</t>
  </si>
  <si>
    <t>Is a Resolution required?</t>
  </si>
  <si>
    <t>Note:  All amounts are to be entered in as whole numbers only.</t>
  </si>
  <si>
    <t>Motor Vehicle Tax Estimate</t>
  </si>
  <si>
    <t>16\20 M Vehicle Tax</t>
  </si>
  <si>
    <t>LAVTR</t>
  </si>
  <si>
    <t xml:space="preserve">   </t>
  </si>
  <si>
    <t>Computation of Delinquency</t>
  </si>
  <si>
    <r>
      <t>**</t>
    </r>
    <r>
      <rPr>
        <b/>
        <u/>
        <sz val="12"/>
        <rFont val="Times New Roman"/>
        <family val="1"/>
      </rPr>
      <t>Note</t>
    </r>
    <r>
      <rPr>
        <sz val="12"/>
        <rFont val="Times New Roman"/>
        <family val="1"/>
      </rPr>
      <t>: The delinquency rate can be up to 5% more than the actual delinquency rate from the previous year.</t>
    </r>
  </si>
  <si>
    <t xml:space="preserve">  G.O. Bonds</t>
  </si>
  <si>
    <t xml:space="preserve">  No-Fund Warrant</t>
  </si>
  <si>
    <t xml:space="preserve">  Lease Purchase Principal</t>
  </si>
  <si>
    <t>Budget Summary</t>
  </si>
  <si>
    <t>Schedule of Transfers</t>
  </si>
  <si>
    <t>Current</t>
  </si>
  <si>
    <t>Proposed</t>
  </si>
  <si>
    <t>Transfers</t>
  </si>
  <si>
    <t>Amount for</t>
  </si>
  <si>
    <t xml:space="preserve">Authorized by </t>
  </si>
  <si>
    <t>From:</t>
  </si>
  <si>
    <t xml:space="preserve">  To:</t>
  </si>
  <si>
    <t>Adjusted Totals</t>
  </si>
  <si>
    <t>Read these instructions carefully.  If after reviewing them you still have questions, call Municipal Services at 785-296-2311 or e-mail : armunis@da.ks.gov</t>
  </si>
  <si>
    <t>When the page numbers are changed on the fund pages, the Certificate page will also be changed.</t>
  </si>
  <si>
    <t xml:space="preserve">General Instructions </t>
  </si>
  <si>
    <t>All dollar amounts should be rounded to whole dollars (do not record cents).</t>
  </si>
  <si>
    <t xml:space="preserve">Enter information  in all areas that are green if they apply to the budget you are preparing. </t>
  </si>
  <si>
    <t>The blue areas indicated where the information comes from to complete the section input.</t>
  </si>
  <si>
    <t>To print the spreadsheets, you can either print one sheet at a time or all of the sheets at once.</t>
  </si>
  <si>
    <t>Computer Spreadsheet Preparation</t>
  </si>
  <si>
    <t>2a.  Enter the Computation of Delinquency information. Please note that K.S.A. 79-2930 states that such allowance shall not exceed by more than 5% the percentage of delinquency for the preceding tax year.  Such allowance is not mandatory, but may be used if the municipality wishes.</t>
  </si>
  <si>
    <t>Township Spreadsheet Instructions</t>
  </si>
  <si>
    <t>The following were changed to this spreadsheet on 8/06/2007</t>
  </si>
  <si>
    <t>2. All pages have a revision date.</t>
  </si>
  <si>
    <t>5. Computation to Determine Limit now has the debts amounts link within the spreadsheet.</t>
  </si>
  <si>
    <t>6. Schedule of Transfers have the transfers totaled and link to the budget summary page.</t>
  </si>
  <si>
    <t xml:space="preserve">7. Now have the indebtedness prior year added to the input page and link with the budget summary page. </t>
  </si>
  <si>
    <t xml:space="preserve">3. Hard coded the Bond &amp; Interest, and Road on Certificate and Summary pages. </t>
  </si>
  <si>
    <t xml:space="preserve">4.  All dates on the spreadsheet are controlled from input on the input Prior Year page. </t>
  </si>
  <si>
    <t>8. Added  LAVTR and Slider to the input page and to the General Fund page.</t>
  </si>
  <si>
    <t>9. Changed the Budget Summary Heading to include Actual/Estimate/Proposed with the budget year.</t>
  </si>
  <si>
    <t>10. Changed the delinquency rate formula for all levy funds.</t>
  </si>
  <si>
    <t>12. Using the actual ad valorem rates from the Clerk's information versus from the Certificate page.</t>
  </si>
  <si>
    <t>14. Added column to show when debt retired on the Indebtedness page.</t>
  </si>
  <si>
    <t>16. Resolution page has a space for a page number.</t>
  </si>
  <si>
    <t>forms in the appropriate locations.  If any of the numbers are wrong, change them on this input sheet.</t>
  </si>
  <si>
    <t>Outstanding Indebtedness, January 1:</t>
  </si>
  <si>
    <t xml:space="preserve">The yellowed shaded areas of the budget worksheets contain formulas or links which should not be changed, and are protected.  Most errors occur because of information entered on the input pages.  If you are experiencing a problem with a protected cell, first check to see how the information was entered on the input pages.  If the information was entered correctly, and you still continue to experience problems, please contact us for assistance. </t>
  </si>
  <si>
    <t>17. Added to instructions about non-appropriated funds limit of 5%.</t>
  </si>
  <si>
    <t>22. Added Slider to the Vehicle Allocation table and linked to fund pages.</t>
  </si>
  <si>
    <t>23. Added to all budgeted fund pages the budget authority for the actual year, budget violation, and cash violation.</t>
  </si>
  <si>
    <t>24. Added instruction on the addition for item 23.</t>
  </si>
  <si>
    <t>Funds</t>
  </si>
  <si>
    <t>Budget Authority</t>
  </si>
  <si>
    <t xml:space="preserve">expenditure amounts should reflect the amended </t>
  </si>
  <si>
    <t>expenditure amounts.</t>
  </si>
  <si>
    <t>TOTAL</t>
  </si>
  <si>
    <t>Miscellaneous</t>
  </si>
  <si>
    <t>Does miscellaneous exceed 10% of Total Receipts</t>
  </si>
  <si>
    <t>Neighborhood Revitalization Rebate</t>
  </si>
  <si>
    <t>25. Link the Road fund transfer to Special Machinery fund and check for exceeding 25%.</t>
  </si>
  <si>
    <t>26. Added 'miscellaneous' category to the receipt/expenditure for all fund pages and set error message.</t>
  </si>
  <si>
    <t>27. Added to the instruction about correct the error message for the miscellaneous.</t>
  </si>
  <si>
    <t>19. Added Neighborhood Revitalization table and linked the tax levy fund pages.</t>
  </si>
  <si>
    <t>20. Added Neighborhood Revitalization expenditures to all the tax levy fund pages.</t>
  </si>
  <si>
    <t>21. Added Neighborhood Revitalization page number to the Certificate page table of content.</t>
  </si>
  <si>
    <t xml:space="preserve">Submitting the Budget </t>
  </si>
  <si>
    <t>Red areas are for notes or indicate a problem area that will need possible corrective action taken.</t>
  </si>
  <si>
    <r>
      <t xml:space="preserve">Budgets are required to be sent to the County Clerk </t>
    </r>
    <r>
      <rPr>
        <b/>
        <sz val="12"/>
        <rFont val="Times New Roman"/>
        <family val="1"/>
      </rPr>
      <t>by August 25</t>
    </r>
    <r>
      <rPr>
        <sz val="12"/>
        <rFont val="Times New Roman"/>
        <family val="1"/>
      </rPr>
      <t xml:space="preserve"> of each year. </t>
    </r>
  </si>
  <si>
    <t xml:space="preserve">The worksheets are named (see the tab) in each budget workbook.  We will identify the worksheet by referencing the tab in parentheses (i.e. General Fund reference would be (gen). </t>
  </si>
  <si>
    <t>Enter County Name followed by 'County"</t>
  </si>
  <si>
    <t>Enter Township Name followed by 'Township'</t>
  </si>
  <si>
    <t>28. Added 9a to the instruction to explain about County Treasurers Jan 1 and Dec 31 balances.</t>
  </si>
  <si>
    <t>14. If road transfer funds to special machinery, the transfers are linked and to the Schedule of Transfers.</t>
  </si>
  <si>
    <r>
      <t>14b. Special Machinery also has error message '</t>
    </r>
    <r>
      <rPr>
        <sz val="12"/>
        <color indexed="10"/>
        <rFont val="Times New Roman"/>
        <family val="1"/>
      </rPr>
      <t>Exceeds 25% of Resources Available</t>
    </r>
    <r>
      <rPr>
        <sz val="12"/>
        <rFont val="Times New Roman"/>
        <family val="1"/>
      </rPr>
      <t>'.</t>
    </r>
  </si>
  <si>
    <t>14c. Schedule of Transfer has the transfers link and will show statute allowing for the transfer for actual year only.</t>
  </si>
  <si>
    <t>15. Added transfers on the general fund page and questions pertaining to the transfers.</t>
  </si>
  <si>
    <r>
      <t xml:space="preserve">15a. The first transfer checks for if ad valorem taxes were levied. If so, then transfer block turns </t>
    </r>
    <r>
      <rPr>
        <sz val="12"/>
        <color indexed="10"/>
        <rFont val="Times New Roman"/>
        <family val="1"/>
      </rPr>
      <t>red</t>
    </r>
    <r>
      <rPr>
        <sz val="12"/>
        <rFont val="Times New Roman"/>
        <family val="1"/>
      </rPr>
      <t xml:space="preserve"> and error message '</t>
    </r>
    <r>
      <rPr>
        <sz val="12"/>
        <color indexed="10"/>
        <rFont val="Times New Roman"/>
        <family val="1"/>
      </rPr>
      <t>Not Authorized</t>
    </r>
    <r>
      <rPr>
        <sz val="12"/>
        <rFont val="Times New Roman"/>
        <family val="1"/>
      </rPr>
      <t>' appears.</t>
    </r>
  </si>
  <si>
    <t>15c. Transfers are linked from general fund to special machinery and to Schedule of Transfers. Transfers for actual year will also have the statute reference shown.</t>
  </si>
  <si>
    <t>4. All tax levy fund pages abbreviated the non-appropriated, total expenditures/non-appropriated, and delinquency computation rate.</t>
  </si>
  <si>
    <r>
      <t xml:space="preserve">14a. Road transfer is checked to see if exceeds 25%, if so, then block turns </t>
    </r>
    <r>
      <rPr>
        <sz val="12"/>
        <color indexed="10"/>
        <rFont val="Times New Roman"/>
        <family val="1"/>
      </rPr>
      <t>red</t>
    </r>
    <r>
      <rPr>
        <sz val="12"/>
        <rFont val="Times New Roman"/>
        <family val="1"/>
      </rPr>
      <t xml:space="preserve"> and below statement will appear '</t>
    </r>
    <r>
      <rPr>
        <sz val="12"/>
        <color indexed="10"/>
        <rFont val="Times New Roman"/>
        <family val="1"/>
      </rPr>
      <t>Exceeds 25%</t>
    </r>
    <r>
      <rPr>
        <sz val="12"/>
        <rFont val="Times New Roman"/>
        <family val="1"/>
      </rPr>
      <t xml:space="preserve">'. </t>
    </r>
  </si>
  <si>
    <r>
      <t xml:space="preserve">15b. Second transfer checks to see if exceeds 25% limitation. If so, then transfer block turns </t>
    </r>
    <r>
      <rPr>
        <sz val="12"/>
        <color indexed="10"/>
        <rFont val="Times New Roman"/>
        <family val="1"/>
      </rPr>
      <t xml:space="preserve">red </t>
    </r>
    <r>
      <rPr>
        <sz val="12"/>
        <rFont val="Times New Roman"/>
        <family val="1"/>
      </rPr>
      <t>and error message '</t>
    </r>
    <r>
      <rPr>
        <sz val="12"/>
        <color indexed="10"/>
        <rFont val="Times New Roman"/>
        <family val="1"/>
      </rPr>
      <t>Exceeds 25%</t>
    </r>
    <r>
      <rPr>
        <sz val="12"/>
        <rFont val="Times New Roman"/>
        <family val="1"/>
      </rPr>
      <t>' appears.</t>
    </r>
  </si>
  <si>
    <r>
      <t>16. Error messages will appear next to transfers for the special machinery transfers from the general fund if both transfer blocks indicate a transfer. A error message will appear '</t>
    </r>
    <r>
      <rPr>
        <sz val="12"/>
        <color indexed="10"/>
        <rFont val="Times New Roman"/>
        <family val="1"/>
      </rPr>
      <t>Not Authorized Two Transfers - Only One</t>
    </r>
    <r>
      <rPr>
        <sz val="12"/>
        <rFont val="Times New Roman"/>
        <family val="1"/>
      </rPr>
      <t>'</t>
    </r>
  </si>
  <si>
    <t>1. instruction were changed: POC change from Roger to armunis, got rid about us providing disk, took the input page and split to input prior budget information and input other, with more in-depth of forms and fund page, and more in-depth on the budget summary page.</t>
  </si>
  <si>
    <t>11. Changed the Certificate page so the county name flows instead of having unneeded spaces.</t>
  </si>
  <si>
    <t>13. Delinquency rate for actual for 3 decimal and note that rate can be up to 5% over the actual rate.</t>
  </si>
  <si>
    <t>15. Budget Summary changed the sentence "will meet…" so the year automatically changes.</t>
  </si>
  <si>
    <t>18. Added warning "Exceeds 5%" on all fund pages for the non-appropriated balance.</t>
  </si>
  <si>
    <t>17. Deleted lines pertaining to the beginning and ending balance for the County Treasurer.</t>
  </si>
  <si>
    <t>29. Added 'excluding oil, gas, and mobile homes' to lines 9 and 11 on Clerks budget info on tab inputoth.</t>
  </si>
  <si>
    <t>***If you are merely leasing/renting with no intent to purchase, do not list--such transactions are not lease-purchases.</t>
  </si>
  <si>
    <t xml:space="preserve">  General Fund(No Levy)</t>
  </si>
  <si>
    <t xml:space="preserve">  General Fund(Gen has Levy)</t>
  </si>
  <si>
    <t xml:space="preserve">General </t>
  </si>
  <si>
    <t>The following were changed to this spreadsheet on 10/14/2008</t>
  </si>
  <si>
    <t>1. Input tab (inputPrYr) added column for the current year expenditures.</t>
  </si>
  <si>
    <t xml:space="preserve">3. All tax levy funds and no tax levy funds fund pages made the following changes: </t>
  </si>
  <si>
    <t>3a. Made the total expenditures block for the actual and current year to turn 'Red' if violation occurs.</t>
  </si>
  <si>
    <r>
      <t>3b. Unencumbered Cash for the actual year turn '</t>
    </r>
    <r>
      <rPr>
        <sz val="12"/>
        <color indexed="10"/>
        <rFont val="Times New Roman"/>
        <family val="1"/>
      </rPr>
      <t>Red</t>
    </r>
    <r>
      <rPr>
        <sz val="12"/>
        <rFont val="Times New Roman"/>
        <family val="1"/>
      </rPr>
      <t>' if violation occurs.</t>
    </r>
  </si>
  <si>
    <r>
      <t xml:space="preserve">3c. In statements about violations, if no violation occurs, then a red </t>
    </r>
    <r>
      <rPr>
        <sz val="12"/>
        <color indexed="10"/>
        <rFont val="Times New Roman"/>
        <family val="1"/>
      </rPr>
      <t>'No'</t>
    </r>
    <r>
      <rPr>
        <sz val="12"/>
        <rFont val="Times New Roman"/>
        <family val="1"/>
      </rPr>
      <t xml:space="preserve"> will appear.</t>
    </r>
  </si>
  <si>
    <t>6. Neighborhood Revitalization (nhood) took off the protection for the page number and made the estimate rebate round the figures to whole dollars.</t>
  </si>
  <si>
    <t xml:space="preserve">7. Instruction page have changed all reference for Bond &amp; Interest to Debt Service. </t>
  </si>
  <si>
    <t>8. Added to the instruction page lines 11a - 11c to provide a little more insight for the Neighborhood Revitalization rebate.</t>
  </si>
  <si>
    <t>9. Added instruction line 2b to explain how to delete delinquency rate from tax levy fund pages.</t>
  </si>
  <si>
    <t>10. Changed the Bond &amp; Interest tab (B&amp;I) to Debt Service tab (DebtService).</t>
  </si>
  <si>
    <t>11. Changed the revised date on all pages changed.</t>
  </si>
  <si>
    <t>2b. If the township chooses not to use the delinquency rate for all tax levy funds, then the township must delete the rate from those funds. First step, go to the fund tab the fund not requiring the delinquency rate, take the protection off the sheet by going to the 'Tools' and scrolling down to 'Protect' slide to right to 'Unprotect' and press enter. Next, go to the delinquency rate cell and press 'delete' key and put the protection back on by going to 'Tools' and scrolling down to 'Protect Sheet' and press the 'OK' button. Go to the next fund tab and complete the same steps.</t>
  </si>
  <si>
    <r>
      <t xml:space="preserve">5. All no tax levy fund pages added to the proposed column unencumbered cash balance block will turn </t>
    </r>
    <r>
      <rPr>
        <sz val="12"/>
        <color indexed="10"/>
        <rFont val="Times New Roman"/>
        <family val="1"/>
      </rPr>
      <t>red</t>
    </r>
    <r>
      <rPr>
        <sz val="12"/>
        <rFont val="Times New Roman"/>
        <family val="1"/>
      </rPr>
      <t xml:space="preserve"> and below will say in red '</t>
    </r>
    <r>
      <rPr>
        <sz val="12"/>
        <color indexed="10"/>
        <rFont val="Times New Roman"/>
        <family val="1"/>
      </rPr>
      <t>Budget Violation</t>
    </r>
    <r>
      <rPr>
        <sz val="12"/>
        <rFont val="Times New Roman"/>
        <family val="1"/>
      </rPr>
      <t>' if the cash balance is negative.</t>
    </r>
  </si>
  <si>
    <t>13. Allow the General Fund transfer of 25% to Special Machinery to include ad valorem taxes into the computation of the 25% limitation in the proposed column.</t>
  </si>
  <si>
    <t>Does the General Fund have a tax levy</t>
  </si>
  <si>
    <t>12. Added instruction lines 9g to 9l for additional edits for budget authority.</t>
  </si>
  <si>
    <t>2. Added to all tax levy fund pages the miscellaneous receipt for the proposed year comparison takes into account the ad valorem taxes for the 10% Rule.</t>
  </si>
  <si>
    <t>Transfer to Spec. Mach.(No Levy)</t>
  </si>
  <si>
    <t>Transfer to Spec. Mach.(Gen has Levy)</t>
  </si>
  <si>
    <t>Input sheet for Township budget form</t>
  </si>
  <si>
    <t>Statute</t>
  </si>
  <si>
    <t>Fund name for all funds with a tax levy:</t>
  </si>
  <si>
    <t>General</t>
  </si>
  <si>
    <t>79-1962</t>
  </si>
  <si>
    <t>Road</t>
  </si>
  <si>
    <t>Total</t>
  </si>
  <si>
    <t>Recreational Vehicle Tax Estimate</t>
  </si>
  <si>
    <t xml:space="preserve"> </t>
  </si>
  <si>
    <t>County</t>
  </si>
  <si>
    <t>Page</t>
  </si>
  <si>
    <t>Clerk's</t>
  </si>
  <si>
    <t>Table of Contents:</t>
  </si>
  <si>
    <t>No.</t>
  </si>
  <si>
    <t>Expenditure</t>
  </si>
  <si>
    <t>Use Only</t>
  </si>
  <si>
    <t>Fund</t>
  </si>
  <si>
    <t>K.S.A.</t>
  </si>
  <si>
    <t>Special Machinery</t>
  </si>
  <si>
    <t>Totals</t>
  </si>
  <si>
    <t>x</t>
  </si>
  <si>
    <t xml:space="preserve">         </t>
  </si>
  <si>
    <t>Assisted by:</t>
  </si>
  <si>
    <t xml:space="preserve">    Governing Body</t>
  </si>
  <si>
    <t>County Clerk</t>
  </si>
  <si>
    <t>The following were changed to this spreadsheet on 2/02/09</t>
  </si>
  <si>
    <t>1. General fund cell c51formula changed to calulate the Unecumber Cash Balance correctly.</t>
  </si>
  <si>
    <t>The following were changed to this spreadsheet on 2/23/09</t>
  </si>
  <si>
    <t>1. Instruction under Submitting of Budget ….required electronic submission.</t>
  </si>
  <si>
    <t>2. Input other tab line 45 change from Budget Summary to Budget Certificate.</t>
  </si>
  <si>
    <t>Debt Service</t>
  </si>
  <si>
    <t>The following were changed to this spreadsheet on 3/19/09</t>
  </si>
  <si>
    <t>1. Certificat page changed fund name from Bond &amp; Interest to Debt Service</t>
  </si>
  <si>
    <t>2. Debt Service fund page name from Bond &amp; Interest to Debt Service</t>
  </si>
  <si>
    <t>3.Budget Summary changed fund name from Bond &amp; Interest to Debt Service</t>
  </si>
  <si>
    <t>The following were changed to this spreadsheet on 4/3/09</t>
  </si>
  <si>
    <t>1. Corrected mvalloc column d for ad valorem tax as was picking up expenditures instead</t>
  </si>
  <si>
    <t>2. Corrected gen unencumbered cash balances for both actual and current columns</t>
  </si>
  <si>
    <t>The following were changed to this spreadsheet on 5/5/09</t>
  </si>
  <si>
    <t>1. Summ tab, the special machinery's expenditure block B34 link was changed from C63 to B63</t>
  </si>
  <si>
    <t>The following were changed to this spreadsheet on 5/13/09</t>
  </si>
  <si>
    <t>1. Transfer tab, changed cells c12, d12, and e12 to reflect link on the gen tab transfer from 43 to 45</t>
  </si>
  <si>
    <t>The following were changed to this spreadsheet on 5/14/09</t>
  </si>
  <si>
    <t>1. Mvalloc tab, changed cell d10  to -2 vs -1 to reflect correct year to tax</t>
  </si>
  <si>
    <t xml:space="preserve">2. Mvalloc tab, changed cells d12-21 to add = in formula to prevent VALUE error - affects very few townships </t>
  </si>
  <si>
    <t>68-518c</t>
  </si>
  <si>
    <r>
      <rPr>
        <b/>
        <sz val="12"/>
        <color indexed="10"/>
        <rFont val="Times New Roman"/>
        <family val="1"/>
      </rPr>
      <t>*</t>
    </r>
    <r>
      <rPr>
        <b/>
        <sz val="12"/>
        <rFont val="Times New Roman"/>
        <family val="1"/>
      </rPr>
      <t>If amended, then use the amended figures.</t>
    </r>
    <r>
      <rPr>
        <b/>
        <sz val="12"/>
        <color indexed="10"/>
        <rFont val="Times New Roman"/>
        <family val="1"/>
      </rPr>
      <t>*</t>
    </r>
  </si>
  <si>
    <t>The following were changed to this spreadsheet on 8/25/09</t>
  </si>
  <si>
    <t>Transfers - Townships</t>
  </si>
  <si>
    <t>1. Cert tab line 14, added 'If amended….'</t>
  </si>
  <si>
    <t>2. Mvalloc tab changed reference from 'D' to 'E'  in each cell of table</t>
  </si>
  <si>
    <t>3. Transfer tab line 13, changed General/Road to Road/Special Machinery</t>
  </si>
  <si>
    <t>4. Transfer tab changed second statute reference from 80-1406b to 80-122</t>
  </si>
  <si>
    <t>5. TransferStatute tab created</t>
  </si>
  <si>
    <t>6. Instructions tab added 6c for the TransferStatute tab</t>
  </si>
  <si>
    <t xml:space="preserve">Townships can use the township.xls,  township1.xls, township2 or township3.xls files.   You must choose a form that meets the needs for the number of funds.  If you don't need all the funds, just leave the pages blank and number the completed pages sequentially. </t>
  </si>
  <si>
    <t xml:space="preserve">NON-BUDGETED FUNDS </t>
  </si>
  <si>
    <t>Non-Budgeted Funds</t>
  </si>
  <si>
    <t>(1) Fund Name:</t>
  </si>
  <si>
    <t>(2) Fund Name:</t>
  </si>
  <si>
    <t>(3) Fund Name:</t>
  </si>
  <si>
    <t>(4) Fund Name:</t>
  </si>
  <si>
    <t>(5) Fund Name:</t>
  </si>
  <si>
    <t xml:space="preserve">Unencumbered </t>
  </si>
  <si>
    <t>Cash Balance Jan 1</t>
  </si>
  <si>
    <t>Cash Balance Dec 31</t>
  </si>
  <si>
    <t>**</t>
  </si>
  <si>
    <t>** Note: These two block figures should agree.</t>
  </si>
  <si>
    <t>Non-budgeted funds:</t>
  </si>
  <si>
    <t>7. Instruction tab added 9m to explain about Non-Budgeted Form</t>
  </si>
  <si>
    <t>8. Cert tab added Non-Budgeted Funds line A35</t>
  </si>
  <si>
    <t>9. Added nonbud tab for the Non-Budgeted Funds</t>
  </si>
  <si>
    <t>10. Summ tab added A34 for Non-Budgeted Funds</t>
  </si>
  <si>
    <r>
      <rPr>
        <sz val="12"/>
        <color indexed="10"/>
        <rFont val="Times New Roman"/>
        <family val="1"/>
      </rPr>
      <t>*</t>
    </r>
    <r>
      <rPr>
        <sz val="12"/>
        <rFont val="Times New Roman"/>
        <family val="1"/>
      </rPr>
      <t>Expenditures</t>
    </r>
    <r>
      <rPr>
        <sz val="12"/>
        <color indexed="10"/>
        <rFont val="Times New Roman"/>
        <family val="1"/>
      </rPr>
      <t>*</t>
    </r>
  </si>
  <si>
    <t>Non-Budgeted Funds - Townships</t>
  </si>
  <si>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Special ambulance or emergency medical service equipment fund. </t>
    </r>
    <r>
      <rPr>
        <sz val="12"/>
        <color indexed="8"/>
        <rFont val="Times New Roman"/>
        <family val="1"/>
      </rPr>
      <t xml:space="preserve"> The governing body may create a special reserve fund for replacement of ambulance or emergency medical service equipment.</t>
    </r>
  </si>
  <si>
    <r>
      <t xml:space="preserve">K.S.A. </t>
    </r>
    <r>
      <rPr>
        <b/>
        <sz val="12"/>
        <color indexed="8"/>
        <rFont val="Times New Roman"/>
        <family val="1"/>
      </rPr>
      <t>12-631p</t>
    </r>
    <r>
      <rPr>
        <sz val="12"/>
        <color indexed="8"/>
        <rFont val="Times New Roman"/>
        <family val="1"/>
      </rPr>
      <t xml:space="preserve">.  </t>
    </r>
    <r>
      <rPr>
        <b/>
        <sz val="12"/>
        <color indexed="8"/>
        <rFont val="Times New Roman"/>
        <family val="1"/>
      </rPr>
      <t>Sewerage system reserve fund.</t>
    </r>
    <r>
      <rPr>
        <sz val="12"/>
        <color indexed="8"/>
        <rFont val="Times New Roman"/>
        <family val="1"/>
      </rPr>
      <t xml:space="preserve">  The governing body may create a sewer system reserve fund for the future maintenance and operation of its system and for the construction of improvements and expansions to such system.</t>
    </r>
  </si>
  <si>
    <r>
      <t xml:space="preserve">K.S.A. </t>
    </r>
    <r>
      <rPr>
        <b/>
        <sz val="12"/>
        <color indexed="8"/>
        <rFont val="Times New Roman"/>
        <family val="1"/>
      </rPr>
      <t>12-1663.</t>
    </r>
    <r>
      <rPr>
        <sz val="12"/>
        <color indexed="8"/>
        <rFont val="Times New Roman"/>
        <family val="1"/>
      </rPr>
      <t xml:space="preserve">  </t>
    </r>
    <r>
      <rPr>
        <b/>
        <sz val="12"/>
        <color indexed="8"/>
        <rFont val="Times New Roman"/>
        <family val="1"/>
      </rPr>
      <t>Federal grants (e.g. FEMA).</t>
    </r>
    <r>
      <rPr>
        <sz val="12"/>
        <color indexed="8"/>
        <rFont val="Times New Roman"/>
        <family val="1"/>
      </rPr>
      <t xml:space="preserve">  Federal aid intended to be used alone or with funds of the public agency may be expended without regard to budget limitations and over, above or outside the budget.</t>
    </r>
  </si>
  <si>
    <r>
      <t xml:space="preserve">K.S.A. </t>
    </r>
    <r>
      <rPr>
        <b/>
        <sz val="12"/>
        <color indexed="8"/>
        <rFont val="Times New Roman"/>
        <family val="1"/>
      </rPr>
      <t>12-16,111.</t>
    </r>
    <r>
      <rPr>
        <sz val="12"/>
        <color indexed="8"/>
        <rFont val="Times New Roman"/>
        <family val="1"/>
      </rPr>
      <t xml:space="preserve">  </t>
    </r>
    <r>
      <rPr>
        <b/>
        <sz val="12"/>
        <color indexed="8"/>
        <rFont val="Times New Roman"/>
        <family val="1"/>
      </rPr>
      <t>State loans and grants.</t>
    </r>
    <r>
      <rPr>
        <sz val="12"/>
        <color indexed="8"/>
        <rFont val="Times New Roman"/>
        <family val="1"/>
      </rPr>
      <t xml:space="preserve">  State loans or grants may be expended without regard to budget limitations and over, above or outside the budget.</t>
    </r>
  </si>
  <si>
    <r>
      <t xml:space="preserve">K.S.A. </t>
    </r>
    <r>
      <rPr>
        <b/>
        <sz val="12"/>
        <color indexed="8"/>
        <rFont val="Times New Roman"/>
        <family val="1"/>
      </rPr>
      <t>12-17,118.</t>
    </r>
    <r>
      <rPr>
        <sz val="12"/>
        <color indexed="8"/>
        <rFont val="Times New Roman"/>
        <family val="1"/>
      </rPr>
      <t xml:space="preserve">  N</t>
    </r>
    <r>
      <rPr>
        <b/>
        <sz val="12"/>
        <color indexed="8"/>
        <rFont val="Times New Roman"/>
        <family val="1"/>
      </rPr>
      <t>eighborhood revitalization fund.</t>
    </r>
    <r>
      <rPr>
        <sz val="12"/>
        <color indexed="8"/>
        <rFont val="Times New Roman"/>
        <family val="1"/>
      </rPr>
      <t xml:space="preserve">  After adoption of a neighborhood revitalization plan the governing body shall create a neighborhood revitalization fund.</t>
    </r>
  </si>
  <si>
    <r>
      <t xml:space="preserve">K.S.A. </t>
    </r>
    <r>
      <rPr>
        <b/>
        <sz val="12"/>
        <color indexed="8"/>
        <rFont val="Times New Roman"/>
        <family val="1"/>
      </rPr>
      <t>68-141g.</t>
    </r>
    <r>
      <rPr>
        <sz val="12"/>
        <color indexed="8"/>
        <rFont val="Times New Roman"/>
        <family val="1"/>
      </rPr>
      <t xml:space="preserve">  </t>
    </r>
    <r>
      <rPr>
        <b/>
        <sz val="12"/>
        <color indexed="8"/>
        <rFont val="Times New Roman"/>
        <family val="1"/>
      </rPr>
      <t>Special road, bridge or street building machinery, equipment and bridge building fund.</t>
    </r>
    <r>
      <rPr>
        <sz val="12"/>
        <color indexed="8"/>
        <rFont val="Times New Roman"/>
        <family val="1"/>
      </rPr>
      <t xml:space="preserve">  Authorizes a special road, bridge or street building machinery, equipment and bridge building fund and the annual transfer of not to exceed 25% of the budgeted amount of the corresponding operating fund.</t>
    </r>
  </si>
  <si>
    <r>
      <t xml:space="preserve">K.S.A. </t>
    </r>
    <r>
      <rPr>
        <b/>
        <sz val="12"/>
        <color indexed="8"/>
        <rFont val="Times New Roman"/>
        <family val="1"/>
      </rPr>
      <t>75-6110.</t>
    </r>
    <r>
      <rPr>
        <sz val="12"/>
        <color indexed="8"/>
        <rFont val="Times New Roman"/>
        <family val="1"/>
      </rPr>
      <t xml:space="preserve">  </t>
    </r>
    <r>
      <rPr>
        <b/>
        <sz val="12"/>
        <color indexed="8"/>
        <rFont val="Times New Roman"/>
        <family val="1"/>
      </rPr>
      <t>Special liability expense fund.</t>
    </r>
    <r>
      <rPr>
        <sz val="12"/>
        <color indexed="8"/>
        <rFont val="Times New Roman"/>
        <family val="1"/>
      </rPr>
      <t xml:space="preserve">  Authorizes the creation of special liability expense fund for payment of costs and claims against the municipality or its employees.</t>
    </r>
  </si>
  <si>
    <r>
      <t xml:space="preserve">K.S.A. </t>
    </r>
    <r>
      <rPr>
        <b/>
        <sz val="12"/>
        <color indexed="8"/>
        <rFont val="Times New Roman"/>
        <family val="1"/>
      </rPr>
      <t>79-1808.</t>
    </r>
    <r>
      <rPr>
        <sz val="12"/>
        <color indexed="8"/>
        <rFont val="Times New Roman"/>
        <family val="1"/>
      </rPr>
      <t xml:space="preserve">  </t>
    </r>
    <r>
      <rPr>
        <b/>
        <sz val="12"/>
        <color indexed="8"/>
        <rFont val="Times New Roman"/>
        <family val="1"/>
      </rPr>
      <t>Special assessment fund.</t>
    </r>
    <r>
      <rPr>
        <sz val="12"/>
        <color indexed="8"/>
        <rFont val="Times New Roman"/>
        <family val="1"/>
      </rPr>
      <t xml:space="preserve">  Proceeds of tax levy to raise funds to pay special assessments against municipality-owned property and, for cities and counties, to pay debt service, shall be placed in a special assessment fund.</t>
    </r>
  </si>
  <si>
    <r>
      <t xml:space="preserve">K.S.A. </t>
    </r>
    <r>
      <rPr>
        <b/>
        <sz val="12"/>
        <color indexed="8"/>
        <rFont val="Times New Roman"/>
        <family val="1"/>
      </rPr>
      <t>79-2925.</t>
    </r>
    <r>
      <rPr>
        <sz val="12"/>
        <color indexed="8"/>
        <rFont val="Times New Roman"/>
        <family val="1"/>
      </rPr>
      <t xml:space="preserve">   </t>
    </r>
    <r>
      <rPr>
        <b/>
        <sz val="12"/>
        <color indexed="8"/>
        <rFont val="Times New Roman"/>
        <family val="1"/>
      </rPr>
      <t>Budgets exempt from the state budget law.</t>
    </r>
    <r>
      <rPr>
        <sz val="12"/>
        <color indexed="8"/>
        <rFont val="Times New Roman"/>
        <family val="1"/>
      </rPr>
      <t xml:space="preserve">  The state budget law does not apply to townships in counties having the county road unit system which have an annual expenditure of less than $200, and to any money received as a gift or bequest.</t>
    </r>
  </si>
  <si>
    <r>
      <t xml:space="preserve">K.S.A. </t>
    </r>
    <r>
      <rPr>
        <b/>
        <sz val="12"/>
        <color indexed="8"/>
        <rFont val="Times New Roman"/>
        <family val="1"/>
      </rPr>
      <t>80-122.</t>
    </r>
    <r>
      <rPr>
        <sz val="12"/>
        <color indexed="8"/>
        <rFont val="Times New Roman"/>
        <family val="1"/>
      </rPr>
      <t xml:space="preserve">  </t>
    </r>
    <r>
      <rPr>
        <b/>
        <sz val="12"/>
        <color indexed="8"/>
        <rFont val="Times New Roman"/>
        <family val="1"/>
      </rPr>
      <t>Township equipment reserve fund.</t>
    </r>
    <r>
      <rPr>
        <sz val="12"/>
        <color indexed="8"/>
        <rFont val="Times New Roman"/>
        <family val="1"/>
      </rPr>
      <t xml:space="preserve">  Authorizes a township to create a</t>
    </r>
    <r>
      <rPr>
        <b/>
        <sz val="12"/>
        <color indexed="8"/>
        <rFont val="Times New Roman"/>
        <family val="1"/>
      </rPr>
      <t xml:space="preserve"> </t>
    </r>
    <r>
      <rPr>
        <sz val="12"/>
        <color indexed="8"/>
        <rFont val="Times New Roman"/>
        <family val="1"/>
      </rPr>
      <t>township equipment reserve fund to finance the acquisition of equipment and to budget and transfer each year to such fund up to 25% of the general fund.</t>
    </r>
  </si>
  <si>
    <r>
      <t xml:space="preserve">K.S.A. </t>
    </r>
    <r>
      <rPr>
        <b/>
        <sz val="12"/>
        <color indexed="8"/>
        <rFont val="Times New Roman"/>
        <family val="1"/>
      </rPr>
      <t>80-1558.</t>
    </r>
    <r>
      <rPr>
        <sz val="12"/>
        <color indexed="8"/>
        <rFont val="Times New Roman"/>
        <family val="1"/>
      </rPr>
      <t xml:space="preserve">  </t>
    </r>
    <r>
      <rPr>
        <b/>
        <sz val="12"/>
        <color indexed="8"/>
        <rFont val="Times New Roman"/>
        <family val="1"/>
      </rPr>
      <t>Township special fire protection reserve fund.</t>
    </r>
    <r>
      <rPr>
        <sz val="12"/>
        <color indexed="8"/>
        <rFont val="Times New Roman"/>
        <family val="1"/>
      </rPr>
      <t xml:space="preserve">  Authorizes a township to create a</t>
    </r>
    <r>
      <rPr>
        <b/>
        <sz val="12"/>
        <color indexed="8"/>
        <rFont val="Times New Roman"/>
        <family val="1"/>
      </rPr>
      <t xml:space="preserve"> </t>
    </r>
    <r>
      <rPr>
        <sz val="12"/>
        <color indexed="8"/>
        <rFont val="Times New Roman"/>
        <family val="1"/>
      </rPr>
      <t>township special fire protection reserve fund to finance the acquisition of fire-fighting equipment, land, and buildings, and to transfer each year to such fund up to 25% of the money credited to the fire fund.</t>
    </r>
  </si>
  <si>
    <t xml:space="preserve">K.S.A. 79-2926 requires budgets to be submitted by electronic means. Contact your County Clerk for the specify instruction as to submission of the budget.  </t>
  </si>
  <si>
    <t>11. Added Tabs A to E for violations</t>
  </si>
  <si>
    <t>12. Changed each fund page taking out the 'Yes' and 'No' and replacing them with See Tab when a possible violation occurrs</t>
  </si>
  <si>
    <r>
      <t>K.S.A. 10-117a</t>
    </r>
    <r>
      <rPr>
        <sz val="12"/>
        <rFont val="Times New Roman"/>
        <family val="1"/>
      </rPr>
      <t xml:space="preserve">.  </t>
    </r>
    <r>
      <rPr>
        <b/>
        <sz val="12"/>
        <rFont val="Times New Roman"/>
        <family val="1"/>
      </rPr>
      <t>Transfer from debt service fund.</t>
    </r>
    <r>
      <rPr>
        <sz val="12"/>
        <rFont val="Times New Roman"/>
        <family val="1"/>
      </rPr>
      <t xml:space="preserve">  W</t>
    </r>
    <r>
      <rPr>
        <sz val="12"/>
        <color indexed="8"/>
        <rFont val="Times New Roman"/>
        <family val="1"/>
      </rPr>
      <t>henever all bond issues have been completely retired the governing body may transfer to the general fund the unexpended balance in the debt service fund.</t>
    </r>
  </si>
  <si>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Transfer to special ambulance or emergency medical service equipment fund.  </t>
    </r>
    <r>
      <rPr>
        <sz val="12"/>
        <color indexed="8"/>
        <rFont val="Times New Roman"/>
        <family val="1"/>
      </rPr>
      <t>May transfer annually any funds received from a tax levy specifically authorized to be made for ambulance or emergency medical service, to a special reserve fund for replacement of ambulance or emergency medical service equipment.</t>
    </r>
  </si>
  <si>
    <r>
      <t>K.S.A. 68-141g</t>
    </r>
    <r>
      <rPr>
        <sz val="12"/>
        <color indexed="8"/>
        <rFont val="Times New Roman"/>
        <family val="1"/>
      </rPr>
      <t>.</t>
    </r>
    <r>
      <rPr>
        <b/>
        <sz val="12"/>
        <color indexed="8"/>
        <rFont val="Times New Roman"/>
        <family val="1"/>
      </rPr>
      <t xml:space="preserve">  Transfer to special machinery or equipment fund.</t>
    </r>
    <r>
      <rPr>
        <sz val="12"/>
        <color indexed="8"/>
        <rFont val="Times New Roman"/>
        <family val="1"/>
      </rPr>
      <t xml:space="preserve">  Authorizes an annual transfer, not to exceed 25%, from the road, bridge or street fund to a special road, bridge or street building machinery, equipment and bridge building fund. </t>
    </r>
  </si>
  <si>
    <r>
      <t>K.S.A. 79-2958</t>
    </r>
    <r>
      <rPr>
        <sz val="12"/>
        <rFont val="Times New Roman"/>
        <family val="1"/>
      </rPr>
      <t xml:space="preserve">.  </t>
    </r>
    <r>
      <rPr>
        <b/>
        <sz val="12"/>
        <rFont val="Times New Roman"/>
        <family val="1"/>
      </rPr>
      <t>Transfer from closed tax levy fund.</t>
    </r>
    <r>
      <rPr>
        <sz val="12"/>
        <rFont val="Times New Roman"/>
        <family val="1"/>
      </rPr>
      <t xml:space="preserve">  </t>
    </r>
    <r>
      <rPr>
        <sz val="12"/>
        <color indexed="8"/>
        <rFont val="Times New Roman"/>
        <family val="1"/>
      </rPr>
      <t>Whenever there shall remain in any fund moneys received from the levy of a tax, after all obligations of such fund have been fully paid, the treasurer shall close out the fund and credit the excess to the general fund.  Should any back taxes for such levy afterwards be received by the taxing subdivision, it shall be credited to the fund for general purposes.</t>
    </r>
  </si>
  <si>
    <r>
      <t>K.S.A. 80-122</t>
    </r>
    <r>
      <rPr>
        <sz val="12"/>
        <rFont val="Times New Roman"/>
        <family val="1"/>
      </rPr>
      <t>.</t>
    </r>
    <r>
      <rPr>
        <b/>
        <sz val="12"/>
        <rFont val="Times New Roman"/>
        <family val="1"/>
      </rPr>
      <t xml:space="preserve">  Transfer from general fund to equipment reserve fund.</t>
    </r>
    <r>
      <rPr>
        <sz val="12"/>
        <rFont val="Times New Roman"/>
        <family val="1"/>
      </rPr>
      <t xml:space="preserve">  Authorizes and annual budgeted transfer of up to </t>
    </r>
    <r>
      <rPr>
        <sz val="12"/>
        <color indexed="8"/>
        <rFont val="Times New Roman"/>
        <family val="1"/>
      </rPr>
      <t>25% of the general fund to an equipment reserve fund to finance the acquisition of equipment</t>
    </r>
  </si>
  <si>
    <r>
      <t>K.S.A. 80-1406b</t>
    </r>
    <r>
      <rPr>
        <sz val="12"/>
        <rFont val="Times New Roman"/>
        <family val="1"/>
      </rPr>
      <t>.</t>
    </r>
    <r>
      <rPr>
        <b/>
        <sz val="12"/>
        <rFont val="Times New Roman"/>
        <family val="1"/>
      </rPr>
      <t xml:space="preserve">  Transfer from general fund.</t>
    </r>
    <r>
      <rPr>
        <sz val="12"/>
        <rFont val="Times New Roman"/>
        <family val="1"/>
      </rPr>
      <t xml:space="preserve">  </t>
    </r>
    <r>
      <rPr>
        <sz val="12"/>
        <color indexed="8"/>
        <rFont val="Times New Roman"/>
        <family val="1"/>
      </rPr>
      <t>The township board of any township which did not make a tax levy for the township general fund in the year next preceding and which has a surplus of moneys in the general fund may transfer all or any part of such surplus to any other fund.</t>
    </r>
  </si>
  <si>
    <r>
      <t>K.S.A. 80-1558</t>
    </r>
    <r>
      <rPr>
        <sz val="11"/>
        <rFont val="Times New Roman"/>
        <family val="1"/>
      </rPr>
      <t>.</t>
    </r>
    <r>
      <rPr>
        <b/>
        <sz val="11"/>
        <rFont val="Times New Roman"/>
        <family val="1"/>
      </rPr>
      <t xml:space="preserve">  Transfer to special fire protection reserve fund.</t>
    </r>
    <r>
      <rPr>
        <sz val="11"/>
        <rFont val="Times New Roman"/>
        <family val="1"/>
      </rPr>
      <t xml:space="preserve">  A</t>
    </r>
    <r>
      <rPr>
        <sz val="11"/>
        <color indexed="8"/>
        <rFont val="Times New Roman"/>
        <family val="1"/>
      </rPr>
      <t>uthorizes an annual transfer of up to 25% from the fire fund to a special fire protection reserve fund.</t>
    </r>
    <r>
      <rPr>
        <b/>
        <sz val="11"/>
        <color indexed="8"/>
        <rFont val="Times New Roman"/>
        <family val="1"/>
      </rPr>
      <t xml:space="preserve"> </t>
    </r>
  </si>
  <si>
    <t>Valuation Factor:</t>
  </si>
  <si>
    <t>13. NonBud tab changed Net Vaulation to July 1</t>
  </si>
  <si>
    <t>Neighborhood Revitalization Subj to Rebate:</t>
  </si>
  <si>
    <t>Neighborhood Revitalization factor:</t>
  </si>
  <si>
    <t>14. Certificate tab moved the Assisted By: and added more lines for governing body signatures</t>
  </si>
  <si>
    <t>15. Created NonBudFunds tab</t>
  </si>
  <si>
    <t>This tab will put the date and time and location of the budget hearing on the Budget Summary page.  Also, provide the location where as the budget can be reveiwed.  Please input information in the green areas.</t>
  </si>
  <si>
    <t>Date:</t>
  </si>
  <si>
    <t>Time:</t>
  </si>
  <si>
    <t>Location:</t>
  </si>
  <si>
    <t>Available at:</t>
  </si>
  <si>
    <t>Examples</t>
  </si>
  <si>
    <t>August 12, 2010</t>
  </si>
  <si>
    <t>7:00 PM or 7:00 AM</t>
  </si>
  <si>
    <t>Shawnee County Clerk's Office</t>
  </si>
  <si>
    <t>John Boy's residence 2310 S Highway, Ike City</t>
  </si>
  <si>
    <t>Possible Budget Law Violation</t>
  </si>
  <si>
    <t xml:space="preserve">Welcome.  You have been directed to this tab because your </t>
  </si>
  <si>
    <t>In short, you are looking at a potential budget law violation.</t>
  </si>
  <si>
    <t>However, the good news is that you may have options available</t>
  </si>
  <si>
    <t>that will allow you to avoid a budget law violation.</t>
  </si>
  <si>
    <t>Can the potential violation be corrected at this time?</t>
  </si>
  <si>
    <r>
      <t xml:space="preserve">If the municipality financial records have </t>
    </r>
    <r>
      <rPr>
        <b/>
        <u/>
        <sz val="12"/>
        <rFont val="Courier"/>
        <family val="3"/>
      </rPr>
      <t>not been</t>
    </r>
    <r>
      <rPr>
        <sz val="12"/>
        <rFont val="Courier"/>
        <family val="3"/>
      </rPr>
      <t xml:space="preserve"> closed</t>
    </r>
  </si>
  <si>
    <t xml:space="preserve">budget has not been submitted to the county clerk) then the </t>
  </si>
  <si>
    <t xml:space="preserve">budget law violation can be fixed before submission of the </t>
  </si>
  <si>
    <t>budget to the county clerk.</t>
  </si>
  <si>
    <t>What should I do?</t>
  </si>
  <si>
    <t xml:space="preserve">First, review the input page information (inputPrYr tab) </t>
  </si>
  <si>
    <t>to ensure that the correct amount was entered for this</t>
  </si>
  <si>
    <t>use the amended, higher budget amount?</t>
  </si>
  <si>
    <t xml:space="preserve">reduced or eliminated.  For example, are you showing any </t>
  </si>
  <si>
    <t>transfers from this fund to another?  If so, consider whether</t>
  </si>
  <si>
    <t>you can reduce or eliminate one or more transfers.</t>
  </si>
  <si>
    <t>(e.g. FEMA)?  If so, instead of showing the reimbursement as a</t>
  </si>
  <si>
    <r>
      <t xml:space="preserve">receipt, show the reimbursement as a negative </t>
    </r>
    <r>
      <rPr>
        <i/>
        <sz val="12"/>
        <rFont val="Courier"/>
        <family val="3"/>
      </rPr>
      <t>expenditure</t>
    </r>
    <r>
      <rPr>
        <sz val="12"/>
        <rFont val="Courier"/>
        <family val="3"/>
      </rPr>
      <t>.</t>
    </r>
  </si>
  <si>
    <t>Another option is to consider whether your fund shares</t>
  </si>
  <si>
    <t>one of those funds is in trouble, you might be able to allocate</t>
  </si>
  <si>
    <t>a little more in salaries to the healthy fund in order to</t>
  </si>
  <si>
    <t>eliminate the violation (be sure, though, that the</t>
  </si>
  <si>
    <t>healthy fund has sufficient budget authority and cash</t>
  </si>
  <si>
    <t>available).</t>
  </si>
  <si>
    <t>The shifting of expenditures between funds, as described in</t>
  </si>
  <si>
    <t>the preceding paragraph, can be accomplished between any funds</t>
  </si>
  <si>
    <t>that share expenses.</t>
  </si>
  <si>
    <t>Finally, if your general fund is healthy - it has enough budget</t>
  </si>
  <si>
    <t>authority and cash - then it might be used to cover the excess</t>
  </si>
  <si>
    <t>expenditures. (AGO No. 85-181)</t>
  </si>
  <si>
    <t>Is amending the budget an option?</t>
  </si>
  <si>
    <t xml:space="preserve">Amending the budget is a timing issue.  In order to amend the </t>
  </si>
  <si>
    <t>budget, you must have the complete amending process completed</t>
  </si>
  <si>
    <t xml:space="preserve">before the end of the calandar year.  If you start at the </t>
  </si>
  <si>
    <t xml:space="preserve">beginning of December, then you should have enough time to </t>
  </si>
  <si>
    <t xml:space="preserve">amend the budget.  But, if started during the middle of </t>
  </si>
  <si>
    <t>December, then you might not have enough time to complete</t>
  </si>
  <si>
    <t xml:space="preserve">the amending process.  Remember the complete processing must </t>
  </si>
  <si>
    <t xml:space="preserve">be completed on or before the end of December and you must have </t>
  </si>
  <si>
    <t xml:space="preserve">at least 10 days between when published in local newspaper and </t>
  </si>
  <si>
    <t xml:space="preserve">when the budget hearing is held. So, if your local newspaper only </t>
  </si>
  <si>
    <t xml:space="preserve">publishes once a week or bi-weekly, then there might not be </t>
  </si>
  <si>
    <t xml:space="preserve">time enough to have the 10 day requirement between publication </t>
  </si>
  <si>
    <t>and the hearing.</t>
  </si>
  <si>
    <t>Amending the budget can be done at any time during the budgeted</t>
  </si>
  <si>
    <t xml:space="preserve">year.  But, amending the budget should take place before the </t>
  </si>
  <si>
    <t>expenditures exceed the budget authority.</t>
  </si>
  <si>
    <t xml:space="preserve">Well, if the municipality financial records have been closed </t>
  </si>
  <si>
    <t>adopted budget has been submitted to the county clerk), then</t>
  </si>
  <si>
    <t xml:space="preserve">the violation cannot be fixed and must be shown as it occurred. </t>
  </si>
  <si>
    <t xml:space="preserve">No punitive action will be taken as a result of the </t>
  </si>
  <si>
    <t>violation, but you should determine what caused the violation</t>
  </si>
  <si>
    <t>and take steps to avoid future violations of this nature.</t>
  </si>
  <si>
    <t>Thank you.</t>
  </si>
  <si>
    <t>Possible Cash Basis Law Violation</t>
  </si>
  <si>
    <t>Welcome.  You have been directed to this tab because your</t>
  </si>
  <si>
    <t>negative unencumbered cash balance in this fund.</t>
  </si>
  <si>
    <t xml:space="preserve">However, the good news is that you may have one or more </t>
  </si>
  <si>
    <t>options available that will allow you to avoid a cash basis</t>
  </si>
  <si>
    <t>law violation.</t>
  </si>
  <si>
    <t xml:space="preserve">Is this a violation?  </t>
  </si>
  <si>
    <t>Hopefully not.  The first thing that you might do is</t>
  </si>
  <si>
    <t>to review K.S.A. 10-1116 to see if your fund might be one of</t>
  </si>
  <si>
    <t xml:space="preserve">those for which a negative cash balance is permitted. </t>
  </si>
  <si>
    <t>What if K.S.A. 10-1116 applies?</t>
  </si>
  <si>
    <t xml:space="preserve">If the fund falls into one of the categories, then a cash  </t>
  </si>
  <si>
    <t>basis law violation has not occurred. Please annotate to the</t>
  </si>
  <si>
    <r>
      <t>left of the 'See Tab B' as follows:  "</t>
    </r>
    <r>
      <rPr>
        <i/>
        <u/>
        <sz val="12"/>
        <rFont val="Courier"/>
        <family val="3"/>
      </rPr>
      <t>10-1116 applies.</t>
    </r>
    <r>
      <rPr>
        <sz val="12"/>
        <rFont val="Courier"/>
        <family val="3"/>
      </rPr>
      <t>"</t>
    </r>
  </si>
  <si>
    <t>What if K.S.A. 10-1116 does not apply?</t>
  </si>
  <si>
    <t xml:space="preserve">If the fund does not fall into one of the categories, then </t>
  </si>
  <si>
    <t xml:space="preserve">let's explore your options, below, to see if we can help you </t>
  </si>
  <si>
    <t>avoid a cash basis law violation.</t>
  </si>
  <si>
    <t>Options</t>
  </si>
  <si>
    <t xml:space="preserve">budget has not been submitted to the county clerk) then </t>
  </si>
  <si>
    <t xml:space="preserve">either your fund receipts will need to be increased </t>
  </si>
  <si>
    <t>(transfer from another fund) or your expenditures will</t>
  </si>
  <si>
    <t>need to be decreased (shifting of expenditures to another</t>
  </si>
  <si>
    <t>fund), or a combination of the two.</t>
  </si>
  <si>
    <t>Increasing your receipts through one or more transfers</t>
  </si>
  <si>
    <t>is contingent upon the available cash, budget authority,</t>
  </si>
  <si>
    <t>and statutory authority for the transfer from the fund or</t>
  </si>
  <si>
    <t>funds from which one or more transfers might be made.</t>
  </si>
  <si>
    <t xml:space="preserve">Another option for you to consider is the shifting of </t>
  </si>
  <si>
    <t xml:space="preserve">expenditures from this fund to another fund.  Again, the </t>
  </si>
  <si>
    <t>fund to which expenditures are shifted must have available</t>
  </si>
  <si>
    <t>cash and budget authority in order to absorb the additional</t>
  </si>
  <si>
    <t xml:space="preserve">expenditures.  </t>
  </si>
  <si>
    <t>What if K.S.A. 10-1116 does not apply, and no options</t>
  </si>
  <si>
    <t>are available to me?</t>
  </si>
  <si>
    <t xml:space="preserve">Unfortunately, under this scenario you are pretty much stuck </t>
  </si>
  <si>
    <t>with a cash basis law violation.  However, you can accept</t>
  </si>
  <si>
    <t>the violation as a learning tool to help you prevent violations</t>
  </si>
  <si>
    <t>in the future.</t>
  </si>
  <si>
    <t>Regular reviews of current year budget performance, especially</t>
  </si>
  <si>
    <t>from the end of the third quarter on, might allow you to determine</t>
  </si>
  <si>
    <t>in a timely fashion whether an increase in revenue or a decrease</t>
  </si>
  <si>
    <t>in expenditures is going to be needed before the end of the fiscal</t>
  </si>
  <si>
    <t>year in order to ensure that a fund finishes the year in good</t>
  </si>
  <si>
    <t>shape.</t>
  </si>
  <si>
    <t>In addition to the options discussed above, during the later</t>
  </si>
  <si>
    <t>part of the year if a utility fund or the general fund has</t>
  </si>
  <si>
    <t>the cash, but not the budget authority, amending the budget</t>
  </si>
  <si>
    <t xml:space="preserve">might be done in order to increase budget authority so that </t>
  </si>
  <si>
    <t>a transfer can then be made to the struggling fund or, in</t>
  </si>
  <si>
    <t>the case of the general fund, there can be a shifting of</t>
  </si>
  <si>
    <t>expenditures from the struggling fund to the general fund.</t>
  </si>
  <si>
    <t>If, in the future, you choose to amend the budget as described</t>
  </si>
  <si>
    <t>in the paragraph above, please remember that the amendment</t>
  </si>
  <si>
    <t>must occur before the end of the fiscal year.</t>
  </si>
  <si>
    <t>Current Year - Possible Budget Law Violation</t>
  </si>
  <si>
    <t>budget authority.'</t>
  </si>
  <si>
    <t>In short, you are looking at a potential budget law violation</t>
  </si>
  <si>
    <t>if you truly end up the year as your current estimates</t>
  </si>
  <si>
    <t xml:space="preserve">reflect.  The good news is that you have an early </t>
  </si>
  <si>
    <t>indication of possible issues which can be addressed</t>
  </si>
  <si>
    <t>sooner rather than later.</t>
  </si>
  <si>
    <t xml:space="preserve">Should the potential for a violation be corrected at </t>
  </si>
  <si>
    <t xml:space="preserve">this time? </t>
  </si>
  <si>
    <t xml:space="preserve">Naturally, our preference would be that you consider </t>
  </si>
  <si>
    <t>ensure that your expenditures do not, at year-end, exceed your</t>
  </si>
  <si>
    <t>budget authority for this fund.</t>
  </si>
  <si>
    <t>What should I do at this time?</t>
  </si>
  <si>
    <t>Well, the easiest thing to do at this time is to increase</t>
  </si>
  <si>
    <t>any underestimated revenue numbers, or decrease</t>
  </si>
  <si>
    <t>any overestimated expenditure numbers, or a combination</t>
  </si>
  <si>
    <t>of the two.</t>
  </si>
  <si>
    <t>What if I check my estimates and find that we're still</t>
  </si>
  <si>
    <t>on pace for a budget law violation?</t>
  </si>
  <si>
    <t xml:space="preserve">be reduced or eliminated.  For example, are you showing any </t>
  </si>
  <si>
    <t>one of those funds is in trouble you might be able to allocate</t>
  </si>
  <si>
    <t>eliminate the potential violation (be sure, though, that</t>
  </si>
  <si>
    <t>the healthy fund has sufficient budget authority and cash</t>
  </si>
  <si>
    <t>A sometimes overlooked option is to use your general</t>
  </si>
  <si>
    <t>fund to cover the excess expenditures, assuming that the</t>
  </si>
  <si>
    <t>general fund is not the one that's in trouble and that it</t>
  </si>
  <si>
    <t>has the budget authority and cash to absorb additional</t>
  </si>
  <si>
    <t>expenditures.</t>
  </si>
  <si>
    <t>Finally, If none of the above options can be applied and the</t>
  </si>
  <si>
    <t>fund has an unencumbered cash balance which will cover</t>
  </si>
  <si>
    <t>the estimated overage, the budget can be amended before</t>
  </si>
  <si>
    <t>the end of the fiscal year.  Remember, though, that</t>
  </si>
  <si>
    <t xml:space="preserve">the amendment process must occur before the end of the </t>
  </si>
  <si>
    <t>fiscal year.</t>
  </si>
  <si>
    <t>If the fund does not have enough ending cash so that an</t>
  </si>
  <si>
    <t>amendment will cover the expected overage, but another fund</t>
  </si>
  <si>
    <t>does have enough unemcumbered cash (along with budget</t>
  </si>
  <si>
    <t xml:space="preserve">authority and statutory authority to transfer to the </t>
  </si>
  <si>
    <t>fund with the potential budget law violation), go ahead</t>
  </si>
  <si>
    <t>and make the transfer and then amend the budget.</t>
  </si>
  <si>
    <t>Current Year - Possible Cash Basis Law Violation</t>
  </si>
  <si>
    <t>you will have a negative unencumbered cash balance in this</t>
  </si>
  <si>
    <t>fund.</t>
  </si>
  <si>
    <t>Should this be fixed?</t>
  </si>
  <si>
    <t>Yes, by all means.  You really don't want to end this year</t>
  </si>
  <si>
    <t>with a negative cash balance in the fund.  At a minimum</t>
  </si>
  <si>
    <t>you will want your ending cash balance to be $0.</t>
  </si>
  <si>
    <t>Now, it is possible that this is one of those funds which</t>
  </si>
  <si>
    <t>may, under K.S.A. 10-1116, end the year with a negative cash</t>
  </si>
  <si>
    <t>balance, but otherwise you will want to make sure that it</t>
  </si>
  <si>
    <t>does not.</t>
  </si>
  <si>
    <t xml:space="preserve">Either your fund receipts will need to be increased before </t>
  </si>
  <si>
    <t>the end of the year (transfer from another fund) or your</t>
  </si>
  <si>
    <t>expenditures will need to be decreased before the end of the</t>
  </si>
  <si>
    <t>year (shifting of expenditures to another fund), or a</t>
  </si>
  <si>
    <t>combination of the two.</t>
  </si>
  <si>
    <t xml:space="preserve">On the revenue side of the fund you might increase your </t>
  </si>
  <si>
    <t>receipts through one or more transfers, contingent upon</t>
  </si>
  <si>
    <t xml:space="preserve">available cash, budget authority, and statutory authority for </t>
  </si>
  <si>
    <t>the transfer from the fund or funds from which one or</t>
  </si>
  <si>
    <t>more transfers might be made.</t>
  </si>
  <si>
    <t>Proposed Budget Year - Possible Budget Law Violation</t>
  </si>
  <si>
    <t>No Levy Funds</t>
  </si>
  <si>
    <t>Unemcumbered cash balance Dec 31.'</t>
  </si>
  <si>
    <t>In short, you are looking at a budget law violation if you</t>
  </si>
  <si>
    <t>adopt a budget in which there exists a fund with a negative</t>
  </si>
  <si>
    <t>ending cash balance.</t>
  </si>
  <si>
    <t>Should this be fixed before we adopt the budget?</t>
  </si>
  <si>
    <t xml:space="preserve">Yes.  The budget law mandates that fund expenditures </t>
  </si>
  <si>
    <t>shall balance with anticipated revenue.  A fund ending</t>
  </si>
  <si>
    <t>cash balance should end either in $0 or a positive cash</t>
  </si>
  <si>
    <t>balance.</t>
  </si>
  <si>
    <t>How do I fix the violation?</t>
  </si>
  <si>
    <t xml:space="preserve">The negative cash balance can be remedied by increasing </t>
  </si>
  <si>
    <t xml:space="preserve">the anticipated receipts or by reducing the proposed </t>
  </si>
  <si>
    <t>expenditures, or a combination of the two.</t>
  </si>
  <si>
    <t>Is there a benefit to having a positive cash balance?</t>
  </si>
  <si>
    <t xml:space="preserve">If the municipality governing body chooses to adopt a </t>
  </si>
  <si>
    <t xml:space="preserve">budget whereby the no levy fund has a positive ending </t>
  </si>
  <si>
    <t>balance, that's okay.  But, we recommend that the fund</t>
  </si>
  <si>
    <t>be budgeted to end with a $0 balance.</t>
  </si>
  <si>
    <t>Why?  Well, remember that no levy funds do not result in a</t>
  </si>
  <si>
    <t>levy of property tax dollars.  So, there is no impact to the</t>
  </si>
  <si>
    <t>property taxpayer from a budget which utilizes all anticipated</t>
  </si>
  <si>
    <t>revenue in the upcoming year.</t>
  </si>
  <si>
    <t>The advantage to the municipality of budgeting the no levy fund</t>
  </si>
  <si>
    <t>to end the budget year with a $0 balance is that it provides</t>
  </si>
  <si>
    <t>the municipality with maximum spending authority.  In</t>
  </si>
  <si>
    <t>the event the municipality is faced with unanticipated</t>
  </si>
  <si>
    <t>spending during the budget year it will not need to amend</t>
  </si>
  <si>
    <t>its budget to do so.</t>
  </si>
  <si>
    <t>Of course, by budgeting to $0 the municipality does not have</t>
  </si>
  <si>
    <t xml:space="preserve">to spend down to $0, but the authority to do so </t>
  </si>
  <si>
    <t>without a budget amendment is there in the event that a need</t>
  </si>
  <si>
    <t>to do so should arise.</t>
  </si>
  <si>
    <t>expenditures with another fund.  For example, your road</t>
  </si>
  <si>
    <t>and noxious weed funds may split salaries between the two funds.  If</t>
  </si>
  <si>
    <t>The following were changed to this spreadsheet on 12/08/09</t>
  </si>
  <si>
    <t>1. Instruction tab, added step 3 for 'inputBudSum'</t>
  </si>
  <si>
    <t>2. Added tab 'inputBudSum'</t>
  </si>
  <si>
    <t>3. Changed Budget Summary replacing the green areas for date/time/location so info comes from inputBudSum tab</t>
  </si>
  <si>
    <t>4. Bud Summary delete a space and combine sentences 'Detail…' and 'and will' for where budget infor located at</t>
  </si>
  <si>
    <r>
      <t xml:space="preserve">3a. </t>
    </r>
    <r>
      <rPr>
        <b/>
        <sz val="12"/>
        <rFont val="Times New Roman"/>
        <family val="1"/>
      </rPr>
      <t>Note:</t>
    </r>
    <r>
      <rPr>
        <sz val="12"/>
        <rFont val="Times New Roman"/>
        <family val="1"/>
      </rPr>
      <t xml:space="preserve"> There must be at least 10 days between when the Notice of Budget Hearing is printed and when the hearing is to be held. To be in </t>
    </r>
    <r>
      <rPr>
        <u/>
        <sz val="12"/>
        <rFont val="Times New Roman"/>
        <family val="1"/>
      </rPr>
      <t>compliance</t>
    </r>
    <r>
      <rPr>
        <sz val="12"/>
        <rFont val="Times New Roman"/>
        <family val="1"/>
      </rPr>
      <t xml:space="preserve"> with K.S.A. 79-2929, it's </t>
    </r>
    <r>
      <rPr>
        <b/>
        <sz val="12"/>
        <rFont val="Times New Roman"/>
        <family val="1"/>
      </rPr>
      <t>critical</t>
    </r>
    <r>
      <rPr>
        <sz val="12"/>
        <rFont val="Times New Roman"/>
        <family val="1"/>
      </rPr>
      <t xml:space="preserve"> to have at least 10 days between publication and hearing, but also to provide the date, time, and location of the hearing.</t>
    </r>
  </si>
  <si>
    <t xml:space="preserve">4. The information contained on the Certificate Page (cert) is the result of links from the fund and input pages .  If there is incorrect information on the Certificate Page, do not correct the Certification Page, but rather correct the fund or input page that links the information to the Certificate Page.  If you can not correct the error, please call us for assistance. </t>
  </si>
  <si>
    <r>
      <t>4a. The Certificate page has a statement 'Is a Resolution required?' which will either show '</t>
    </r>
    <r>
      <rPr>
        <sz val="12"/>
        <color indexed="10"/>
        <rFont val="Times New Roman"/>
        <family val="1"/>
      </rPr>
      <t>Yes</t>
    </r>
    <r>
      <rPr>
        <sz val="12"/>
        <rFont val="Times New Roman"/>
        <family val="1"/>
      </rPr>
      <t>' or '</t>
    </r>
    <r>
      <rPr>
        <sz val="12"/>
        <color indexed="10"/>
        <rFont val="Times New Roman"/>
        <family val="1"/>
      </rPr>
      <t>No</t>
    </r>
    <r>
      <rPr>
        <sz val="12"/>
        <rFont val="Times New Roman"/>
        <family val="1"/>
      </rPr>
      <t>'. This statement compares the Certificate total Ad Valorem Tax to Computation to Determine Limit line 14. If a '</t>
    </r>
    <r>
      <rPr>
        <sz val="12"/>
        <color indexed="10"/>
        <rFont val="Times New Roman"/>
        <family val="1"/>
      </rPr>
      <t>Yes</t>
    </r>
    <r>
      <rPr>
        <sz val="12"/>
        <rFont val="Times New Roman"/>
        <family val="1"/>
      </rPr>
      <t>' appears then a resolution is required to be completed and attached to the budget. No action is required if a '</t>
    </r>
    <r>
      <rPr>
        <sz val="12"/>
        <color indexed="10"/>
        <rFont val="Times New Roman"/>
        <family val="1"/>
      </rPr>
      <t>No</t>
    </r>
    <r>
      <rPr>
        <sz val="12"/>
        <rFont val="Times New Roman"/>
        <family val="1"/>
      </rPr>
      <t>' appears.</t>
    </r>
  </si>
  <si>
    <t>5. The majority of information on the Computation to Determine Limit Page (computation) comes from data on the Input Pages (inputpryr and inputOth) and Debt Service Page (DebtService). If there is incorrect information on the Computation Page, please correct the source of the information from either the Input Page or Debt Service Page. If you can not correct the error, please call us for assistance.</t>
  </si>
  <si>
    <t>5a. The information for Computation to Determine Limit page (computationSpecial) comes from data on the input pages (inputpryr and inputoth). If a error is found, please correct the information from the input pages.</t>
  </si>
  <si>
    <t>5b. Print the Resolution page (resolution) if the max levy is exceeded.  Complete the printed resolution and ensure to attached it the budget.</t>
  </si>
  <si>
    <t>7. The Schedule of Transfers (transfer) is completed from the individual completed fund pages. Be sure to provide the statute that authorizes the transfer.</t>
  </si>
  <si>
    <r>
      <t xml:space="preserve">8.  Statement of Indebtedness (debt) must show all the debt owed or proposed to be issued.  The general obligation and other bond totals for budget year is linked to the Budget Summary and prior years are linked by the input page (inputpryr). </t>
    </r>
    <r>
      <rPr>
        <b/>
        <sz val="12"/>
        <rFont val="Times New Roman"/>
        <family val="1"/>
      </rPr>
      <t>If the township does not have any debt, then on the first line enter 'none'.</t>
    </r>
  </si>
  <si>
    <r>
      <t xml:space="preserve">9.  Statement of Conditional Lease, Lease-Purchases and Certificate of Participation (debt) must be completed for all transactions which will be owned by the township at the end of lease period.  Principal Balance Due for the actual year is linked to the Budget Summary page and prior year linked by the input page (inputpryr). </t>
    </r>
    <r>
      <rPr>
        <b/>
        <sz val="12"/>
        <rFont val="Times New Roman"/>
        <family val="1"/>
      </rPr>
      <t>If the township does not have any leases, then on the first line enter 'none'.</t>
    </r>
  </si>
  <si>
    <t>answering objections of taxpayers relating to the proposed use of all funds and the amount of ad valorem tax.</t>
  </si>
  <si>
    <t>the Neighborhood Revitalization Rebate table.</t>
  </si>
  <si>
    <t>The following were changed to this spreadsheet on 12/28/09</t>
  </si>
  <si>
    <t xml:space="preserve">7c. If the General Fund (gen) and Road Fund (road) has transfers to the Special Machinery Fund (road), the Schedule of Transfers now has links for the transfers and provides the statute reference.  </t>
  </si>
  <si>
    <t>7d. TransferStatutes tab provides statute reference for transfers which are not already identified.</t>
  </si>
  <si>
    <t xml:space="preserve">7a. The totals are now linked to the Budget Summary page. </t>
  </si>
  <si>
    <t xml:space="preserve">7b. Adjustments are made for only those non-budgeted expenditure transfers appearing in the current and/or proposed columns of the schedule and do not have expenditures shown in the Budget Summary current and proposed columns. These types of transfers are not truely an expenditure at this time and as such an adjustment is needed to show the taxpayers the actual expenditures for the municipality. </t>
  </si>
  <si>
    <r>
      <t>Adjustments</t>
    </r>
    <r>
      <rPr>
        <sz val="12"/>
        <color indexed="10"/>
        <rFont val="Times New Roman"/>
        <family val="1"/>
      </rPr>
      <t>*</t>
    </r>
  </si>
  <si>
    <t>Receipt</t>
  </si>
  <si>
    <t xml:space="preserve">Fund Transferred </t>
  </si>
  <si>
    <t>Fund Transferred</t>
  </si>
  <si>
    <t>*Note:</t>
  </si>
  <si>
    <t>1. Nhood tab added note for computing table</t>
  </si>
  <si>
    <t>The following were changed to this spreadsheet on 1/05/10</t>
  </si>
  <si>
    <t>1. Instruction tab added line 7b concerning schedule of transfers adjustments</t>
  </si>
  <si>
    <t>2. Transfers tab changed note so to identify current and proposed columns for non-budgeted funds transfers</t>
  </si>
  <si>
    <t>3. Transfers tab changed first two column heading adding 'expenditures' and 'receipts'</t>
  </si>
  <si>
    <t>The following were changed to this spreadsheet on 4/15/10</t>
  </si>
  <si>
    <t>1. Changed schedule of transfers statute column to allow for statute to pop-up if transfers are shown in current/proposed columns</t>
  </si>
  <si>
    <t>Does misc. exceed 10% of Total Expenditures</t>
  </si>
  <si>
    <t>Non-Appropriated Balance</t>
  </si>
  <si>
    <t>Total Expenditure/Non-Appr Balance</t>
  </si>
  <si>
    <t>Delinquent Comp Rate:</t>
  </si>
  <si>
    <t>Does transfer exceed 25% of Resources Available</t>
  </si>
  <si>
    <t>How To Compute The Value of One Mill, And The Impact Of Tax Dollars And Assessed Valuation On Mill Rates</t>
  </si>
  <si>
    <t>* * * * *</t>
  </si>
  <si>
    <t>To Compute the Value of One Mill</t>
  </si>
  <si>
    <t>Example #1 and Formula</t>
  </si>
  <si>
    <t>This example allows you to compute a mill rate.  Simply input in the green area the total assessed valuation for your municipality.</t>
  </si>
  <si>
    <t>Formula:</t>
  </si>
  <si>
    <t>Assessed valuation = X</t>
  </si>
  <si>
    <t>X / 1000 = value of one mill</t>
  </si>
  <si>
    <t>Input the assessed valuation:</t>
  </si>
  <si>
    <t>=</t>
  </si>
  <si>
    <t>/</t>
  </si>
  <si>
    <t>(assessed valuation)</t>
  </si>
  <si>
    <t>(value of one mill)</t>
  </si>
  <si>
    <t>To Determine a Mill Rate Increase</t>
  </si>
  <si>
    <t>Example #2 and Formula</t>
  </si>
  <si>
    <t>Example #2 allows you to compute the impact on mill rate by a specific dollar amount of property tax.  This example might be useful at a budget hearing when the governing body is making small adjustments to one or more property tax funds and would like to know the impact of those changes on the total mill rate.  As with the first example, input the municipality's total assessed valuation in the first green box, and with the second green box input the amount of property tax dollars under consideration.</t>
  </si>
  <si>
    <t>Computation of Example:</t>
  </si>
  <si>
    <r>
      <t xml:space="preserve">The </t>
    </r>
    <r>
      <rPr>
        <b/>
        <sz val="11"/>
        <color indexed="8"/>
        <rFont val="Cambria"/>
        <family val="1"/>
      </rPr>
      <t>first step</t>
    </r>
    <r>
      <rPr>
        <sz val="11"/>
        <rFont val="Cambria"/>
        <family val="1"/>
      </rPr>
      <t xml:space="preserve"> is to determine the value of one mill:</t>
    </r>
  </si>
  <si>
    <r>
      <t xml:space="preserve">In the </t>
    </r>
    <r>
      <rPr>
        <b/>
        <sz val="11"/>
        <color indexed="8"/>
        <rFont val="Cambria"/>
        <family val="1"/>
      </rPr>
      <t>next step</t>
    </r>
    <r>
      <rPr>
        <sz val="11"/>
        <rFont val="Cambria"/>
        <family val="1"/>
      </rPr>
      <t>, we will determine the increase:</t>
    </r>
  </si>
  <si>
    <t xml:space="preserve">$50,000 (increased property tax) / $312,000 (mill value) = .160 increase to the mill rate </t>
  </si>
  <si>
    <t>(asd. val.)</t>
  </si>
  <si>
    <t>(value one mill)</t>
  </si>
  <si>
    <t>(property tax)</t>
  </si>
  <si>
    <t xml:space="preserve">(mill value) </t>
  </si>
  <si>
    <t>(mill rate increase)</t>
  </si>
  <si>
    <t>Impact of a Property Tax Increase on a $100,000 Home</t>
  </si>
  <si>
    <t>Example #3a and Formula</t>
  </si>
  <si>
    <t>Example #3a allows you to quickly compute the standard "impact of a property tax increase on a $100,000 home" (or any other residential property value, for that matter).   Using the same information as in example #2, the additional piece of information to input in this example is a residential property value.  Additionally, residential property is assessed at 11.5% of its value (K.S.A. 79-1439(b)(1)(A)).</t>
  </si>
  <si>
    <r>
      <t xml:space="preserve">The </t>
    </r>
    <r>
      <rPr>
        <b/>
        <sz val="11"/>
        <color indexed="8"/>
        <rFont val="Cambria"/>
        <family val="1"/>
      </rPr>
      <t>first step</t>
    </r>
    <r>
      <rPr>
        <sz val="11"/>
        <rFont val="Cambria"/>
        <family val="1"/>
      </rPr>
      <t xml:space="preserve"> is to determine the mill rate:</t>
    </r>
  </si>
  <si>
    <r>
      <t xml:space="preserve">The </t>
    </r>
    <r>
      <rPr>
        <b/>
        <sz val="11"/>
        <color indexed="8"/>
        <rFont val="Cambria"/>
        <family val="1"/>
      </rPr>
      <t>second step</t>
    </r>
    <r>
      <rPr>
        <sz val="11"/>
        <rFont val="Cambria"/>
        <family val="1"/>
      </rPr>
      <t xml:space="preserve"> is to determine the residential property assessed value:</t>
    </r>
  </si>
  <si>
    <t>$100,000 home x .115 = $11,500 (assessed value)</t>
  </si>
  <si>
    <r>
      <t xml:space="preserve">The </t>
    </r>
    <r>
      <rPr>
        <b/>
        <sz val="11"/>
        <color indexed="8"/>
        <rFont val="Cambria"/>
        <family val="1"/>
      </rPr>
      <t>last step</t>
    </r>
    <r>
      <rPr>
        <sz val="11"/>
        <rFont val="Cambria"/>
        <family val="1"/>
      </rPr>
      <t xml:space="preserve"> is to determine the property tax increase:</t>
    </r>
  </si>
  <si>
    <t>First Step:</t>
  </si>
  <si>
    <t>(value of 1 mill)</t>
  </si>
  <si>
    <t>(increased prop. tax)</t>
  </si>
  <si>
    <t>Second Step:</t>
  </si>
  <si>
    <t>(increase mill rate)</t>
  </si>
  <si>
    <t xml:space="preserve">(value of the home) </t>
  </si>
  <si>
    <t>Third Step:</t>
  </si>
  <si>
    <t>(assessed value)</t>
  </si>
  <si>
    <t xml:space="preserve">(assessed value) </t>
  </si>
  <si>
    <t>(increase tax)</t>
  </si>
  <si>
    <t>Result:</t>
  </si>
  <si>
    <t>Impact of a Property Tax Increase on Unimproved Ag Land</t>
  </si>
  <si>
    <t>Example #3b and Formula</t>
  </si>
  <si>
    <t>Example #3b uses the same computation as example #3a, except in this case we are computing the impact of property taxes on unimproved agricultural land.  Unimproved agricultural land is assessed at 30% pursuant to K.S.A. 79-1439(b)(1)(B)).</t>
  </si>
  <si>
    <t xml:space="preserve">(value of the property) </t>
  </si>
  <si>
    <t>Impact of a Property Tax Increase on Commercial, Industrial, Railroad, and Improved Ag Land</t>
  </si>
  <si>
    <t>Example #3c and Formula</t>
  </si>
  <si>
    <t>Example #3c uses the same computation as examples #3a and #3b, except in this case we are computing the impact of property taxes on commercial, industrial, railroad, and improved agricultural land.  The foregoing categories of land are assessed at 25% pursuant to K.S.A. 79-1439(b)(1)(F)).</t>
  </si>
  <si>
    <t>Impact of Total Mills on an Individual Home</t>
  </si>
  <si>
    <t>Example #4 and Formula</t>
  </si>
  <si>
    <t xml:space="preserve">To compute the impact of all mills to be levied against a specific home valuation, simply key in the "value of the home" green area with the home valuation, and the total mill rate in the "total mill rate" green area (number at bottom of 'Estimate Tax Rate' column on the budget summary page).  Remember, a computation using the above described information does not take into account taxes that may be levied by other municipalities.  </t>
  </si>
  <si>
    <t>(value of the home)</t>
  </si>
  <si>
    <t>(residential %)</t>
  </si>
  <si>
    <t>(total mill rate)</t>
  </si>
  <si>
    <t>(impact, total mills)</t>
  </si>
  <si>
    <t>How to Achieve the Same Mill Rate as the Year Before</t>
  </si>
  <si>
    <t>Example #5 and Formula</t>
  </si>
  <si>
    <t>Maybe your governing body wants the budget to have the same mill rate as the year before.  This is not an unusual goal of municipality governing bodies.  To do so simply key in the desired mill rate in the first green box, the preliminary total assessed valuation in the second green box, and hit "enter."  The result will be the amount in dollars that you must levy (total of all tax levy funds) in your proposed budget.</t>
  </si>
  <si>
    <t>(desired mill rate)</t>
  </si>
  <si>
    <t>(total assd. valuation)</t>
  </si>
  <si>
    <t>(total taxes levied)</t>
  </si>
  <si>
    <t>Helpful Links</t>
  </si>
  <si>
    <t>Municipal Services (Kansas Department of Administration, Accounts and Reports) – Budget forms, confirmation of payments, transfer statutes, non-budgeted fund statutes, etc.</t>
  </si>
  <si>
    <t>http://www.da.ks.gov/ar/muniserv/</t>
  </si>
  <si>
    <t>State Debt Setoff Program (Kansas Department of Administration, Accounts and Reports) – Passive collection tool to assist municipalities with collection of unpaid utility bills, etc.</t>
  </si>
  <si>
    <t>http://www.da.ks.gov/ar/setoff/</t>
  </si>
  <si>
    <t>League of Kansas Municipalities – City-County Highway Fund estimates</t>
  </si>
  <si>
    <t>http://www.lkm.org/resources/budgettips/</t>
  </si>
  <si>
    <t>League of Kansas Municipalities – Directory of Kansas Public Officials</t>
  </si>
  <si>
    <t>http://www.lkm.org/publications/dokpopop.html</t>
  </si>
  <si>
    <t>Kansas Legislature – Kansas Statutes (usually updated in January), House and Senate Bills, etc.</t>
  </si>
  <si>
    <t>http://www.kslegislature.org/legsrv-statutes/index.do</t>
  </si>
  <si>
    <t>Kansas Attorney General Opinions</t>
  </si>
  <si>
    <t>http://ksag.washburnlaw.edu/</t>
  </si>
  <si>
    <t>Kansas State Treasurer – Municipal Distributions</t>
  </si>
  <si>
    <t>http://www.kansasstatetreasurer.com/prodweb/dist/index.php</t>
  </si>
  <si>
    <t>Kansas Department of Revenue</t>
  </si>
  <si>
    <t>http://www.ksrevenue.org/</t>
  </si>
  <si>
    <t>Kansas Department of Revenue – Property Valuation</t>
  </si>
  <si>
    <t>http://www.ksrevenue.org/pvd.htm</t>
  </si>
  <si>
    <t>Kansas Pooled Money Investment Board – Investment of Idle Funds in the Municipal Investment Pool</t>
  </si>
  <si>
    <t>https://www.pooledmoneyinvestmentboard.com/</t>
  </si>
  <si>
    <r>
      <t>K.S.A. 2-1318.  Transfer to noxious weed capital outlay fund.</t>
    </r>
    <r>
      <rPr>
        <sz val="11"/>
        <rFont val="Times New Roman"/>
        <family val="1"/>
      </rPr>
      <t xml:space="preserve">  </t>
    </r>
    <r>
      <rPr>
        <sz val="11"/>
        <color indexed="8"/>
        <rFont val="Times New Roman"/>
        <family val="1"/>
      </rPr>
      <t>Any moneys remaining in the noxious weed eradication fund at the end of any year for which a levy is made may be transferred to the noxious weed capital outlay fund.</t>
    </r>
  </si>
  <si>
    <r>
      <t>K.S.A. 12-16,102.  Transfer to employee benefits contribution trust fund.</t>
    </r>
    <r>
      <rPr>
        <sz val="12"/>
        <color indexed="8"/>
        <rFont val="Times New Roman"/>
        <family val="1"/>
      </rPr>
      <t xml:space="preserve">  May transfer to employee benefits trust fund from any source that may be lawfully utilized for the purposes stated in the ordinance or resolution creating such trust funds, including transfers from employee benefit funds established for other postemployment benefits.</t>
    </r>
  </si>
  <si>
    <r>
      <t>K.S.A. 12-17,118</t>
    </r>
    <r>
      <rPr>
        <sz val="12"/>
        <color indexed="8"/>
        <rFont val="Times New Roman"/>
        <family val="1"/>
      </rPr>
      <t xml:space="preserve">.  </t>
    </r>
    <r>
      <rPr>
        <b/>
        <sz val="12"/>
        <color indexed="8"/>
        <rFont val="Times New Roman"/>
        <family val="1"/>
      </rPr>
      <t xml:space="preserve">Transfer to and from neighborhood revitalization fund. </t>
    </r>
    <r>
      <rPr>
        <sz val="12"/>
        <color indexed="8"/>
        <rFont val="Times New Roman"/>
        <family val="1"/>
      </rPr>
      <t xml:space="preserve"> Authorizes transfers to a neighborhood revitalization fund from any source which may be lawfully utilized to finance redevelopment of designated revitalization areas and dilapidated structures and to provide rebates such purposes.</t>
    </r>
  </si>
  <si>
    <r>
      <t>K.S.A. 12-16,102.</t>
    </r>
    <r>
      <rPr>
        <sz val="12"/>
        <color indexed="8"/>
        <rFont val="Times New Roman"/>
        <family val="1"/>
      </rPr>
      <t xml:space="preserve">  </t>
    </r>
    <r>
      <rPr>
        <b/>
        <sz val="12"/>
        <color indexed="8"/>
        <rFont val="Times New Roman"/>
        <family val="1"/>
      </rPr>
      <t>Employee benefits trust funds.</t>
    </r>
    <r>
      <rPr>
        <sz val="12"/>
        <color indexed="8"/>
        <rFont val="Times New Roman"/>
        <family val="1"/>
      </rPr>
      <t xml:space="preserve">  For the purpose of holding and investing the assets of other postemployment benefits funds any taxing subdivision may establish one or more trust funds.</t>
    </r>
  </si>
  <si>
    <t>Desired Carryover Amount:</t>
  </si>
  <si>
    <t>Estimated Mill Rate Impact:</t>
  </si>
  <si>
    <t>The estimated value of one mill would be:</t>
  </si>
  <si>
    <t>Change in Ad Valorem Tax Revenue:</t>
  </si>
  <si>
    <t>What Mill Rate Would Be Desired?</t>
  </si>
  <si>
    <t>for Expenditures</t>
  </si>
  <si>
    <t>FUND PAGE FOR FUNDS WITH A TAX LEVY</t>
  </si>
  <si>
    <t xml:space="preserve">2. The information entered into the Input Other (inputOth) worksheet is obtained from the County Clerk County Treasurer, and the budget from two years ago(the year for actual column of current budget).  After the information has been entered, please verify the data is correct. </t>
  </si>
  <si>
    <t>The following were changed to this spreadsheet on 10/13/10</t>
  </si>
  <si>
    <t>1. All pages removed the revision date</t>
  </si>
  <si>
    <t>2. All tax levy fund pages reduced the columns and revised the bottom of pages for see tabs</t>
  </si>
  <si>
    <t>3. Instruction tab added lines 11c (last year mill rate), 11d (desired mill rate), 10a(project carryover), 10b (Desired Carryover), 10g (project carryover Debt/road, and 14 (protection)</t>
  </si>
  <si>
    <t>4. Certificate tab change the 'Expenditure' heading by adding  'Budget Authority for Expenditures'</t>
  </si>
  <si>
    <t>5. Certificate tab add the year in the block for 'County Clerk Use Only'</t>
  </si>
  <si>
    <t>6. Gen tab added table for 'Projection of Cash Carryover'</t>
  </si>
  <si>
    <t>7. Gen tab added table for 'Desired Carryover'</t>
  </si>
  <si>
    <t>8. Gen tab redefine print que to not include tables</t>
  </si>
  <si>
    <t>9. Gen tab hid the comp for see tabs</t>
  </si>
  <si>
    <t>10. DebtService tab added table for 'Projected Carryover'</t>
  </si>
  <si>
    <t>11. DebtService tab redefine print que and hid comp for see tabs</t>
  </si>
  <si>
    <t>12. Levy page9 and page10 tab hid comp for see tabs</t>
  </si>
  <si>
    <t>14. Summ tab changed proposed year expenditure column to 'Budget Authority (Includes Carryover)</t>
  </si>
  <si>
    <t>15. Summ tab added four tables to the right of the form</t>
  </si>
  <si>
    <t>16. Revised TransferStatutes and NonBudFunds tabs</t>
  </si>
  <si>
    <t>17. Added Mill Rate Computation tab</t>
  </si>
  <si>
    <t>18. Summ tab redefine print que</t>
  </si>
  <si>
    <t>19. Add Helpful Links tab</t>
  </si>
  <si>
    <t>20. Certificate page deleted state block</t>
  </si>
  <si>
    <t>21. Inputoth tab changed Actual Delinquency tax from -2 to -3</t>
  </si>
  <si>
    <t>22. All tax levy fund pages, changed 'Fund Page' to 'Fund Page for Funds with a Tax Levy'</t>
  </si>
  <si>
    <t>Lease Purchase Principal</t>
  </si>
  <si>
    <t>13. Summ tab merged cells above the 'Township Officer' and center a name if used</t>
  </si>
  <si>
    <t>23. Remove w-2 infro from certificate page</t>
  </si>
  <si>
    <t>The following were changed to this spreadsheet on 3/21/11</t>
  </si>
  <si>
    <t>1. General tab corrected cell G52 from E22 to E26</t>
  </si>
  <si>
    <t>2. Debt Service tab corrected cell G55 from E42 to E29</t>
  </si>
  <si>
    <t>The following were changed to this spreadsheet on 4/19/11</t>
  </si>
  <si>
    <t>1. Summ tab changed proposed year expenditure column to 'Budget Authority for Expenditures'</t>
  </si>
  <si>
    <t>Transfer can not exceed 25% Resources Available</t>
  </si>
  <si>
    <t>The following were changed to this spreadsheet on 5/4/11</t>
  </si>
  <si>
    <t>1. Gen tab cell B46 corrected the spelling of Resources</t>
  </si>
  <si>
    <t>The following were changed to this spreadsheet on 5/13/11</t>
  </si>
  <si>
    <t>1. Road tab cell c54 change ref from h1 to e1 so the Special Machinery date will reflect correctly</t>
  </si>
  <si>
    <r>
      <rPr>
        <sz val="12"/>
        <color indexed="10"/>
        <rFont val="Times New Roman"/>
        <family val="1"/>
      </rPr>
      <t>Note:</t>
    </r>
    <r>
      <rPr>
        <sz val="12"/>
        <rFont val="Times New Roman"/>
        <family val="1"/>
      </rPr>
      <t xml:space="preserve"> The </t>
    </r>
    <r>
      <rPr>
        <u/>
        <sz val="12"/>
        <rFont val="Times New Roman"/>
        <family val="1"/>
      </rPr>
      <t>below amounts</t>
    </r>
    <r>
      <rPr>
        <sz val="12"/>
        <rFont val="Times New Roman"/>
        <family val="1"/>
      </rPr>
      <t xml:space="preserve"> are used to reflect actual taxes received due to delinquent taxes.  Put a percentage in the green box to compute the amount and link to the fund pages. This </t>
    </r>
    <r>
      <rPr>
        <sz val="12"/>
        <color indexed="10"/>
        <rFont val="Times New Roman"/>
        <family val="1"/>
      </rPr>
      <t>is not mandatory</t>
    </r>
    <r>
      <rPr>
        <sz val="12"/>
        <rFont val="Times New Roman"/>
        <family val="1"/>
      </rPr>
      <t xml:space="preserve"> and can be left blank.            </t>
    </r>
  </si>
  <si>
    <t xml:space="preserve">Amounts used in lieu of </t>
  </si>
  <si>
    <r>
      <t xml:space="preserve">Computation of Example:  </t>
    </r>
    <r>
      <rPr>
        <sz val="11"/>
        <rFont val="Cambria"/>
        <family val="1"/>
      </rPr>
      <t>$312,000,000 (assessed valuation) / 1000 = $312,000 (value of one mill)</t>
    </r>
  </si>
  <si>
    <t>In this example, one mill for the municipality will generate $312,000 in taxes.</t>
  </si>
  <si>
    <t>$312,000,000 / 1000 = $312,000 (example #1)</t>
  </si>
  <si>
    <t>$50,000 / $312,000 = .160 mills (example #2)</t>
  </si>
  <si>
    <t>$11,500 (assessed value) x .160 (mill rate) / 1000 = $1.84</t>
  </si>
  <si>
    <t>The increase in property tax for a $100,000 home will be $1.84</t>
  </si>
  <si>
    <r>
      <t xml:space="preserve">K.S.A. 80-1406c.  Transfer from general fund to cemetery fund by certain townships.  </t>
    </r>
    <r>
      <rPr>
        <sz val="12"/>
        <rFont val="Times New Roman"/>
        <family val="1"/>
      </rPr>
      <t>Townships in counties with a population less than 3,100, assessed taxable tangible valuation of the county between $14,000,000 and $20,000,000, and operating under the county road unit system may, by unanimous resolution, declare a surplus of monies in the general fund and transfer such surplus or any part therof to the cemetery fund.</t>
    </r>
  </si>
  <si>
    <t>Budgeted Funds</t>
  </si>
  <si>
    <t xml:space="preserve">Budget Tax Levy </t>
  </si>
  <si>
    <t xml:space="preserve">Allocation of Motor, Recreational, and 16/20M Vehicle Tax </t>
  </si>
  <si>
    <t>WORKSHEET FOR STATE GRANT-IN-AID TO PUBLIC LIBRARIES AND</t>
  </si>
  <si>
    <t>REGIONAL LIBRARY SYSTEMS</t>
  </si>
  <si>
    <t>Two tests are used to determine eligibility for State Library Grant.  If the grant is approved, then the municipality's library will be paid the grant on February 15 of  each year.</t>
  </si>
  <si>
    <t>First test:</t>
  </si>
  <si>
    <t>Proposed Year</t>
  </si>
  <si>
    <t>TOTAL TAXES</t>
  </si>
  <si>
    <t>Difference in Total Taxes:</t>
  </si>
  <si>
    <t>Qualify for grant:</t>
  </si>
  <si>
    <t>Second test:</t>
  </si>
  <si>
    <t>Assessed Valuation</t>
  </si>
  <si>
    <t>Did Assessed Valuation Decrease?</t>
  </si>
  <si>
    <t>Levy Rate</t>
  </si>
  <si>
    <t>Difference in Levy Rate:</t>
  </si>
  <si>
    <t>Overall does the municipality qualify for a grant?</t>
  </si>
  <si>
    <t>If the municipality would not have qualified for a grant, please see the below narrative for assistance from the State Library.</t>
  </si>
  <si>
    <t xml:space="preserve">Page No. </t>
  </si>
  <si>
    <t>Proposed Budget Year – Possible Loss of Library State Aid</t>
  </si>
  <si>
    <t xml:space="preserve">Welcome. You have been directed to this section because the amount of revenue from qualifying </t>
  </si>
  <si>
    <t xml:space="preserve">In municipalities supporting a library the municipality must budget as much or more for the </t>
  </si>
  <si>
    <t xml:space="preserve">budget year as received in the current year for its library to be eligible for a state grant-in-aid </t>
  </si>
  <si>
    <t>through the State Library of Kansas.</t>
  </si>
  <si>
    <t>Is this a violation?</t>
  </si>
  <si>
    <t>No. However, it may cost the library valuable supplemental state—and in some cases, regional—</t>
  </si>
  <si>
    <t>revenue.</t>
  </si>
  <si>
    <t>Why did this happen?</t>
  </si>
  <si>
    <r>
      <t xml:space="preserve">To answer this question, review K.S.A. 75-2556 </t>
    </r>
    <r>
      <rPr>
        <i/>
        <sz val="12"/>
        <rFont val="Times New Roman"/>
        <family val="1"/>
      </rPr>
      <t>et seq.</t>
    </r>
    <r>
      <rPr>
        <sz val="12"/>
        <rFont val="Times New Roman"/>
        <family val="1"/>
      </rPr>
      <t xml:space="preserve"> to see how it applies to your library fund. </t>
    </r>
  </si>
  <si>
    <t xml:space="preserve">No public library is eligible for a grant-in-aid if the total amount of current year ad valorem </t>
  </si>
  <si>
    <t xml:space="preserve">property tax, delinquent tax, and MV, recreational vehicle, and 16/20M tax is less than the total </t>
  </si>
  <si>
    <t>amount produced from such sources for the previous year.</t>
  </si>
  <si>
    <t xml:space="preserve">The statute only includes the library fund. If a separate library employee fund exists, it is not </t>
  </si>
  <si>
    <t>included in the calculation.</t>
  </si>
  <si>
    <t xml:space="preserve">Note also that although you are eligible to expend carryover from the previous year, the statute </t>
  </si>
  <si>
    <t>does not include carryover and it is not considered for determination of eligibility.</t>
  </si>
  <si>
    <t>Who determines eligibility?</t>
  </si>
  <si>
    <r>
      <t xml:space="preserve">K.S.A. 75-2556 </t>
    </r>
    <r>
      <rPr>
        <i/>
        <sz val="12"/>
        <rFont val="Times New Roman"/>
        <family val="1"/>
      </rPr>
      <t>et seq.</t>
    </r>
    <r>
      <rPr>
        <sz val="12"/>
        <rFont val="Times New Roman"/>
        <family val="1"/>
      </rPr>
      <t xml:space="preserve"> makes the State Library of Kansas responsible for determining eligibility </t>
    </r>
  </si>
  <si>
    <t>and distribution of library grants-in-aid.</t>
  </si>
  <si>
    <t>Can this issue be corrected at this time?</t>
  </si>
  <si>
    <t>Clerk the library fund can be fixed before the submission of the budget to the County Clerk.</t>
  </si>
  <si>
    <t xml:space="preserve">First, review the budget summary page to ensure that the ad valorem tax mill rate for Proposed </t>
  </si>
  <si>
    <t xml:space="preserve">If the mill rate is lower, check to see if the lesser amount is due to a decline in the assessed valuation. </t>
  </si>
  <si>
    <t xml:space="preserve">K.S.A. 75-2556(c) says that if the assessed valuation decreases the library will remain eligible as </t>
  </si>
  <si>
    <t xml:space="preserve">long as the ad valorem tax mill rate has not been reduced below the mill rate imposed for such </t>
  </si>
  <si>
    <t xml:space="preserve">blank. If an amount is budgeted for the Proposed Budget Year it may improve the total to help </t>
  </si>
  <si>
    <t xml:space="preserve">the library’s eligibility as well as provide the library with authority under the cash basis law to </t>
  </si>
  <si>
    <t>spend any delinquent taxes it receives.</t>
  </si>
  <si>
    <t>Further options</t>
  </si>
  <si>
    <t xml:space="preserve">The State Library can continue eligibility if after evaluation of all circumstances it is determined </t>
  </si>
  <si>
    <t>that the maintenance of local tax support for the operations of the library is being met.</t>
  </si>
  <si>
    <t xml:space="preserve">These circumstances might include authorized transfer from the other funds, additional tax funds spent </t>
  </si>
  <si>
    <t xml:space="preserve">for support of the library that do not appear in the library fund, or special circumstances in this </t>
  </si>
  <si>
    <t xml:space="preserve">budget year. The State Library requires a letter of certification from the municipality to continue </t>
  </si>
  <si>
    <t>eligibility. For more information contact the State Library of Kansas at 785.296.3296, or e-mail:</t>
  </si>
  <si>
    <t xml:space="preserve">Prior Year </t>
  </si>
  <si>
    <t xml:space="preserve">Current Year </t>
  </si>
  <si>
    <t xml:space="preserve">Proposed Budget </t>
  </si>
  <si>
    <t>Expenditures Must Be Changed by:</t>
  </si>
  <si>
    <t>Mill Rate Comparison</t>
  </si>
  <si>
    <t/>
  </si>
  <si>
    <t>Does misc. exceed 10% of Total Receipts</t>
  </si>
  <si>
    <t>Library</t>
  </si>
  <si>
    <t>12-1220</t>
  </si>
  <si>
    <t>Type</t>
  </si>
  <si>
    <t>Debt</t>
  </si>
  <si>
    <t>Total Indebtedness</t>
  </si>
  <si>
    <t>Items</t>
  </si>
  <si>
    <t>Purchased</t>
  </si>
  <si>
    <t>Alloc of MVT, RVT, and 16/20M Vehicles Tax</t>
  </si>
  <si>
    <t>Email:</t>
  </si>
  <si>
    <t>Must be at least 10 days between date published and hearing held.</t>
  </si>
  <si>
    <t>Official Name:</t>
  </si>
  <si>
    <t>Official Title:</t>
  </si>
  <si>
    <t>January</t>
  </si>
  <si>
    <t>February</t>
  </si>
  <si>
    <t>March</t>
  </si>
  <si>
    <t>April</t>
  </si>
  <si>
    <t>May</t>
  </si>
  <si>
    <t>June</t>
  </si>
  <si>
    <t>July</t>
  </si>
  <si>
    <t>August</t>
  </si>
  <si>
    <t>September</t>
  </si>
  <si>
    <t>October</t>
  </si>
  <si>
    <t>November</t>
  </si>
  <si>
    <t>December</t>
  </si>
  <si>
    <t>________________________  _______________________</t>
  </si>
  <si>
    <t xml:space="preserve">Township.xls spreadsheet has General Fund, Debt Service, Library, Road Bridge, 4 levy fund pages, 2 no levy fund pages, and one Non-Budgeted fund page which holds 5 non- budgeted funds. </t>
  </si>
  <si>
    <t xml:space="preserve">1a. On line 2- 'Enter Township Name' - In the green area. The green area will expand and accommodate the township name. </t>
  </si>
  <si>
    <t>1b. Dates for the entire budget workbook is controlled by the year entered into the "Enter year being budgeted (YYYY)" field.  If you find a date that is not correct for the budget being submitted, please contact us for assistance.</t>
  </si>
  <si>
    <t>Delinquency % used in this budget will be shown on all fund pages with a tax levy**</t>
  </si>
  <si>
    <r>
      <t xml:space="preserve">1c. Next to the last year Ad Valorem Taxes column, column added, 'Amounts used in lieu of last year ad valorem taxes'. If you would like to adjust the previous year ad valorem due to delinquency in taxes to show a more actual amount of taxes received, you can key in the percentage </t>
    </r>
    <r>
      <rPr>
        <u/>
        <sz val="12"/>
        <rFont val="Times New Roman"/>
        <family val="1"/>
      </rPr>
      <t>in the green box</t>
    </r>
    <r>
      <rPr>
        <sz val="12"/>
        <rFont val="Times New Roman"/>
        <family val="1"/>
      </rPr>
      <t xml:space="preserve"> which will calculate new ad valorem taxes to be used for the current budgeted year.  The new amounts will be </t>
    </r>
    <r>
      <rPr>
        <u/>
        <sz val="12"/>
        <rFont val="Times New Roman"/>
        <family val="1"/>
      </rPr>
      <t>linked</t>
    </r>
    <r>
      <rPr>
        <sz val="12"/>
        <rFont val="Times New Roman"/>
        <family val="1"/>
      </rPr>
      <t xml:space="preserve"> to the applicable tax levy fund pages. This is </t>
    </r>
    <r>
      <rPr>
        <sz val="12"/>
        <color indexed="10"/>
        <rFont val="Times New Roman"/>
        <family val="1"/>
      </rPr>
      <t>not required</t>
    </r>
    <r>
      <rPr>
        <sz val="12"/>
        <rFont val="Times New Roman"/>
        <family val="1"/>
      </rPr>
      <t xml:space="preserve"> to be used and the original ad valorem taxes will be linked to the applicable fund pages. </t>
    </r>
  </si>
  <si>
    <t xml:space="preserve">3. The 'inputBudSum' tab is used to place information on the Budget Summary. On this tab you will need to key in the following information: Name of Person presenting the budget, Title of Person, date the budget hearing will be held, time of the hearing, location of the budget hearing, and a place whereas the taxpayers can obtain a copy of the budget.  </t>
  </si>
  <si>
    <t>3b. Once a date has been entered in the Date block, the following statement will appear: 'Latest date for notice to be published in your newspaper'.  Please ensure to take into consideration as to when your newspaper is published when arriving at the hearing date.</t>
  </si>
  <si>
    <t xml:space="preserve">4b.  If someone other than a municipal employee assists in preparing the budget, please enter the person's or firm's name and address or email address in the area provided. </t>
  </si>
  <si>
    <r>
      <t xml:space="preserve">4c. If the city has a library, then in the Certificate page will show under the 'Table of Contents:' a new table is required.  The new table is named: 'Computation to Determine State Library Grant' which found on the "Library Grant" tab.  The State Library will use the "Library Grant" tab to authorize a grant to the library.  This tab </t>
    </r>
    <r>
      <rPr>
        <u/>
        <sz val="12"/>
        <rFont val="Times New Roman"/>
        <family val="1"/>
      </rPr>
      <t>must be printed</t>
    </r>
    <r>
      <rPr>
        <sz val="12"/>
        <rFont val="Times New Roman"/>
        <family val="1"/>
      </rPr>
      <t xml:space="preserve"> and attached to the budget that is submitted to the County Clerk.  No action is taken if the city does not have a library and will not appear on the Certificate page.</t>
    </r>
  </si>
  <si>
    <t xml:space="preserve">6.  Motor Vehicle Allocation (Mvalloc) information comes from the input pages (inputPrYr and inputOth).  Once calculated, the motor allocation information are linked to the applicable fund pages. If information concerning the table are not correct, please do not change the table, but rather correct the information on the input worksheets.  </t>
  </si>
  <si>
    <r>
      <t>10. Library Grant tab is linked with the Library fund page.  This table information comes directly off the Library fund page and Budget Summary page which is used to determine if the municipality qualifies for a State grant. If qualify, then the Library fund page will indicate '</t>
    </r>
    <r>
      <rPr>
        <sz val="12"/>
        <color indexed="10"/>
        <rFont val="Times New Roman"/>
        <family val="1"/>
      </rPr>
      <t>Qualifies for State Library Grant</t>
    </r>
    <r>
      <rPr>
        <sz val="12"/>
        <rFont val="Times New Roman"/>
        <family val="1"/>
      </rPr>
      <t>' and if not, then indicates to '</t>
    </r>
    <r>
      <rPr>
        <sz val="12"/>
        <color indexed="10"/>
        <rFont val="Times New Roman"/>
        <family val="1"/>
      </rPr>
      <t>See 'Library Grant' tab</t>
    </r>
    <r>
      <rPr>
        <sz val="12"/>
        <rFont val="Times New Roman"/>
        <family val="1"/>
      </rPr>
      <t xml:space="preserve"> for further assistance.  If the Library fund page is used, then the Certificate page will reflect in the Table of Contents the requirement of 'Computation to Determine State Library Grant' which </t>
    </r>
    <r>
      <rPr>
        <b/>
        <u/>
        <sz val="12"/>
        <rFont val="Times New Roman"/>
        <family val="1"/>
      </rPr>
      <t>is required</t>
    </r>
    <r>
      <rPr>
        <sz val="12"/>
        <rFont val="Times New Roman"/>
        <family val="1"/>
      </rPr>
      <t xml:space="preserve"> to be attached to the budget. For those printing paper copies of the budget, only the table will be printed off.  Please note:  For those you do not have a Library fund page, </t>
    </r>
    <r>
      <rPr>
        <sz val="12"/>
        <color indexed="10"/>
        <rFont val="Times New Roman"/>
        <family val="1"/>
      </rPr>
      <t>no action is required</t>
    </r>
    <r>
      <rPr>
        <sz val="12"/>
        <rFont val="Times New Roman"/>
        <family val="1"/>
      </rPr>
      <t xml:space="preserve"> and the table does not become part of the budget.</t>
    </r>
  </si>
  <si>
    <t>11.  The spreadsheet has individual fund sheets for General Fund (general), Debt Service and Library (DebtSvs-Library), Road (road),  8 levy pages (levy page9 to levy page12), and 2 no levy fund pages (nolevypage12),   Only complete the fund pages needed.  When the fund pages are completed, the totals will be shown on the Certificate and Budget Summary pages.</t>
  </si>
  <si>
    <t>11a. General Fund page and General Fund Detail page number is no longer set.  Once the number is entered on the General Fund, then the page number is linked to the General Fund Detail page. If the municipality has a Library Fund, the Library Grant page becomes number 6 and the General Fund page would be numbered 7 otherwise the General would be 6.</t>
  </si>
  <si>
    <r>
      <t>11b. On all tax levy fund pages, we have placed '</t>
    </r>
    <r>
      <rPr>
        <i/>
        <sz val="12"/>
        <rFont val="Times New Roman"/>
        <family val="1"/>
      </rPr>
      <t>Projected Carryover</t>
    </r>
    <r>
      <rPr>
        <sz val="12"/>
        <rFont val="Times New Roman"/>
        <family val="1"/>
      </rPr>
      <t>' for the proposed budgeted year.   The carryover table provides a little insight as what the projected cash might be using figures from the budget being submitted.  Please keep in mind that the figures used are only estimates and if the actual receipts or expenditures vary, then the project cash carryover will be affected.  Be advised that the delinquent taxes are not included in the projected carryover as they have a major impact on the  'Desired Carryover' table.</t>
    </r>
  </si>
  <si>
    <r>
      <t>11c. On all tax levy fund page, we have placed '</t>
    </r>
    <r>
      <rPr>
        <i/>
        <sz val="12"/>
        <rFont val="Times New Roman"/>
        <family val="1"/>
      </rPr>
      <t>Desired Carryover</t>
    </r>
    <r>
      <rPr>
        <sz val="12"/>
        <rFont val="Times New Roman"/>
        <family val="1"/>
      </rPr>
      <t xml:space="preserve">' which you can place a desired carryover amount and the table will show the mill rate impact along with the expenditure adjustments required to reach the desired carryover.  </t>
    </r>
    <r>
      <rPr>
        <b/>
        <sz val="12"/>
        <color indexed="10"/>
        <rFont val="Times New Roman"/>
        <family val="1"/>
      </rPr>
      <t>Note:</t>
    </r>
    <r>
      <rPr>
        <sz val="12"/>
        <rFont val="Times New Roman"/>
        <family val="1"/>
      </rPr>
      <t xml:space="preserve"> if a </t>
    </r>
    <r>
      <rPr>
        <u/>
        <sz val="12"/>
        <color indexed="10"/>
        <rFont val="Times New Roman"/>
        <family val="1"/>
      </rPr>
      <t>delinquency rate is used</t>
    </r>
    <r>
      <rPr>
        <sz val="12"/>
        <rFont val="Times New Roman"/>
        <family val="1"/>
      </rPr>
      <t>, the table might have you do several adjustments to get the desired result or close to the desire amount.</t>
    </r>
  </si>
  <si>
    <r>
      <t>11d. On all tax levy fund pages, we have placed '</t>
    </r>
    <r>
      <rPr>
        <i/>
        <sz val="12"/>
        <rFont val="Times New Roman"/>
        <family val="1"/>
      </rPr>
      <t>Mill Rate Comparison</t>
    </r>
    <r>
      <rPr>
        <sz val="12"/>
        <rFont val="Times New Roman"/>
        <family val="1"/>
      </rPr>
      <t>' table so you can compare the propose fund mill rate to the current fund mill rate and compare the total proposed mill rate to the total current mill rate. These figures are provided to assist with the determining appropriate mill rate for the proposed budgeted year.</t>
    </r>
  </si>
  <si>
    <r>
      <t xml:space="preserve">11f. Each fund page has a 'Miscellaneous' receipt and expenditure line item.  Once an amount has been entered into the block for actual/current/proposed columns, the amount will be compared with either total expenditures or total receipts to determine if it exceeds the 10% Rule for K.S.A. 79-2927.  If the amount </t>
    </r>
    <r>
      <rPr>
        <b/>
        <u/>
        <sz val="12"/>
        <rFont val="Times New Roman"/>
        <family val="1"/>
      </rPr>
      <t>exceeds</t>
    </r>
    <r>
      <rPr>
        <sz val="12"/>
        <rFont val="Times New Roman"/>
        <family val="1"/>
      </rPr>
      <t xml:space="preserve"> the 10% Rule, the block will turn red, the amount bolded, and a red statement will appear '</t>
    </r>
    <r>
      <rPr>
        <sz val="12"/>
        <color indexed="10"/>
        <rFont val="Times New Roman"/>
        <family val="1"/>
      </rPr>
      <t>Exceed 10% Rule</t>
    </r>
    <r>
      <rPr>
        <sz val="12"/>
        <rFont val="Times New Roman"/>
        <family val="1"/>
      </rPr>
      <t xml:space="preserve">'.  In order to remove the statement and return the block to normal, you must reduce the amount to either 10% or less. </t>
    </r>
    <r>
      <rPr>
        <b/>
        <sz val="12"/>
        <rFont val="Times New Roman"/>
        <family val="1"/>
      </rPr>
      <t>Note:</t>
    </r>
    <r>
      <rPr>
        <sz val="12"/>
        <rFont val="Times New Roman"/>
        <family val="1"/>
      </rPr>
      <t xml:space="preserve"> the proposed column miscellaneous receipt also takes into consideration the amount of ad valorem taxes in determining the 10% Rule.</t>
    </r>
  </si>
  <si>
    <t>11g. The Debt Service  (DebtSvs-Library) fund page can contain all debts owe by the township and the amounts should agree with the Statement of Indebtedness amounts.  Debts that are not from a tax levy fund should have enough funds transferred into the Debt Service fund to cover the bond principle and interest for these debts.</t>
  </si>
  <si>
    <r>
      <t xml:space="preserve">11e. Each tax levy fund will have an expenditure for the neighborhood revitalization.  You will only need to input the rebate amounts for the </t>
    </r>
    <r>
      <rPr>
        <b/>
        <u/>
        <sz val="12"/>
        <rFont val="Times New Roman"/>
        <family val="1"/>
      </rPr>
      <t>actual and current year</t>
    </r>
    <r>
      <rPr>
        <sz val="12"/>
        <rFont val="Times New Roman"/>
        <family val="1"/>
      </rPr>
      <t xml:space="preserve">.  The proposed budget year amount will be computed for you. Please see step 12 for instructions for the neighborhood revitalization rebate for the proposed budget year. </t>
    </r>
  </si>
  <si>
    <r>
      <t xml:space="preserve">11h All levy fund pages have a Non-Appropriated Balance block. K.S.A. 79-2927 allows the township to enter an amount </t>
    </r>
    <r>
      <rPr>
        <b/>
        <u/>
        <sz val="12"/>
        <rFont val="Times New Roman"/>
        <family val="1"/>
      </rPr>
      <t>not to exceed 5%</t>
    </r>
    <r>
      <rPr>
        <sz val="12"/>
        <rFont val="Times New Roman"/>
        <family val="1"/>
      </rPr>
      <t xml:space="preserve"> of the total expenditures for each fund. The Non-Appropriated Balance block is not mandatory to have an amount entered.  If the amount entered in the block exceeds the 5%, a warning "</t>
    </r>
    <r>
      <rPr>
        <sz val="12"/>
        <color indexed="10"/>
        <rFont val="Times New Roman"/>
        <family val="1"/>
      </rPr>
      <t>Exceeds 5%</t>
    </r>
    <r>
      <rPr>
        <sz val="12"/>
        <rFont val="Times New Roman"/>
        <family val="1"/>
      </rPr>
      <t xml:space="preserve">" will appear.  In order to remove this warning message, you </t>
    </r>
    <r>
      <rPr>
        <u/>
        <sz val="12"/>
        <rFont val="Times New Roman"/>
        <family val="1"/>
      </rPr>
      <t>must reduce</t>
    </r>
    <r>
      <rPr>
        <sz val="12"/>
        <rFont val="Times New Roman"/>
        <family val="1"/>
      </rPr>
      <t xml:space="preserve"> the non-appropriate figure.</t>
    </r>
  </si>
  <si>
    <r>
      <t>11i. Each fund after the "unencumbered cash bal dec31", will show the budget authority expenditure amount.  A comparison is made between the budget authority for the actual year and the actual total expenditures for the actual year as shown in the budget. If the total expenditures exceed the budget authority amount, then a "</t>
    </r>
    <r>
      <rPr>
        <b/>
        <sz val="12"/>
        <color indexed="10"/>
        <rFont val="Times New Roman"/>
        <family val="1"/>
      </rPr>
      <t>See Tab A</t>
    </r>
    <r>
      <rPr>
        <sz val="12"/>
        <rFont val="Times New Roman"/>
        <family val="1"/>
      </rPr>
      <t>" appears to indicate a possible violation.  Another comparison is made for the unencumbered cash balance dec 31 to determine if the fund ended with a negative cash balance and if so, then a "</t>
    </r>
    <r>
      <rPr>
        <b/>
        <sz val="12"/>
        <color indexed="10"/>
        <rFont val="Times New Roman"/>
        <family val="1"/>
      </rPr>
      <t>See Tab B</t>
    </r>
    <r>
      <rPr>
        <sz val="12"/>
        <rFont val="Times New Roman"/>
        <family val="1"/>
      </rPr>
      <t xml:space="preserve">" will appear for the possible violation.  </t>
    </r>
  </si>
  <si>
    <r>
      <t>11j. A comparison is made between the budget authority for the current year and total expenditures for the current budget expenditures as shown in the budget. If the current year adjusted expenditures are more than the budget authority, then a possible violation has occurred and red '</t>
    </r>
    <r>
      <rPr>
        <b/>
        <sz val="12"/>
        <color indexed="10"/>
        <rFont val="Times New Roman"/>
        <family val="1"/>
      </rPr>
      <t>See Tab C</t>
    </r>
    <r>
      <rPr>
        <sz val="12"/>
        <rFont val="Times New Roman"/>
        <family val="1"/>
      </rPr>
      <t>' will appear and expenditure block turns red. Another comparison is made for the unencumbered cash balance dec 31 to determine if the fund ended with a negative cash balance and if so, then a "</t>
    </r>
    <r>
      <rPr>
        <b/>
        <sz val="12"/>
        <color indexed="10"/>
        <rFont val="Times New Roman"/>
        <family val="1"/>
      </rPr>
      <t>See Tab D</t>
    </r>
    <r>
      <rPr>
        <sz val="12"/>
        <rFont val="Times New Roman"/>
        <family val="1"/>
      </rPr>
      <t xml:space="preserve">" will appear for the possible violation.  </t>
    </r>
  </si>
  <si>
    <r>
      <t>11k. All no-tax levy fund pages for the proposed budget year will have an edit on the unencumbered cash balance. If the cash balance is negative, then the block turns red and statement '</t>
    </r>
    <r>
      <rPr>
        <sz val="12"/>
        <color indexed="10"/>
        <rFont val="Times New Roman"/>
        <family val="1"/>
      </rPr>
      <t>See Tab E</t>
    </r>
    <r>
      <rPr>
        <sz val="12"/>
        <rFont val="Times New Roman"/>
        <family val="1"/>
      </rPr>
      <t xml:space="preserve">' will appear. </t>
    </r>
  </si>
  <si>
    <r>
      <t>11m. If a transfer from the Road fund to Special Machinery is made for the current and proposed budgeted years, the transfers has been link to the Special Machinery and Schedule of Transfers. If the transfer exceeds 25% of Resources Available, then a red error message will appear (</t>
    </r>
    <r>
      <rPr>
        <sz val="12"/>
        <color indexed="10"/>
        <rFont val="Times New Roman"/>
        <family val="1"/>
      </rPr>
      <t>Exceeds 25%</t>
    </r>
    <r>
      <rPr>
        <sz val="12"/>
        <rFont val="Times New Roman"/>
        <family val="1"/>
      </rPr>
      <t xml:space="preserve">) and the block turns red.  To remove the error message, you should reduce the amount of the transfer for both Road and Special Machinery.  </t>
    </r>
  </si>
  <si>
    <r>
      <t xml:space="preserve">11o. When the General Fund has ad valorem taxes for the actual, current, and proposed budgeted year, then the block for 'Transfer to Spec. Mach.(No Levied) will turn </t>
    </r>
    <r>
      <rPr>
        <sz val="12"/>
        <color indexed="10"/>
        <rFont val="Times New Roman"/>
        <family val="1"/>
      </rPr>
      <t>red</t>
    </r>
    <r>
      <rPr>
        <sz val="12"/>
        <rFont val="Times New Roman"/>
        <family val="1"/>
      </rPr>
      <t>. If a transfer amount is shown in the block, then in the yellow area a message will appear '</t>
    </r>
    <r>
      <rPr>
        <sz val="12"/>
        <color indexed="10"/>
        <rFont val="Times New Roman"/>
        <family val="1"/>
      </rPr>
      <t>Not Auth</t>
    </r>
    <r>
      <rPr>
        <sz val="12"/>
        <rFont val="Times New Roman"/>
        <family val="1"/>
      </rPr>
      <t xml:space="preserve">', the transfer should be moved to the next expenditure line 'Transfer to Spec. Mach. (Gen has levy) or deleted if the transferred money has not been spent in the Special Machinery Fund. The transfer is linked to the Schedule of Transfers and Special Machinery Fund. </t>
    </r>
    <r>
      <rPr>
        <b/>
        <u/>
        <sz val="12"/>
        <rFont val="Times New Roman"/>
        <family val="1"/>
      </rPr>
      <t>Note:</t>
    </r>
    <r>
      <rPr>
        <sz val="12"/>
        <rFont val="Times New Roman"/>
        <family val="1"/>
      </rPr>
      <t xml:space="preserve"> Transfers for the current or proposed budgeted year and a violation occurs, then the amount should be reduced.</t>
    </r>
  </si>
  <si>
    <r>
      <t xml:space="preserve">11p. The General Fund has expenditure line item 'Transfer to Spec. Mach.(Gen has levy) which can be used to transfer up to 25% of the General Fund Resources Available (if the fund has enough cash) to the Special Machinery Fund. If the transfer exceeds the 25% limitation, the </t>
    </r>
    <r>
      <rPr>
        <sz val="12"/>
        <color indexed="10"/>
        <rFont val="Times New Roman"/>
        <family val="1"/>
      </rPr>
      <t>block will turn red</t>
    </r>
    <r>
      <rPr>
        <sz val="12"/>
        <rFont val="Times New Roman"/>
        <family val="1"/>
      </rPr>
      <t xml:space="preserve"> and a message will appear in yellow box below the transfer in red '</t>
    </r>
    <r>
      <rPr>
        <sz val="12"/>
        <color indexed="10"/>
        <rFont val="Times New Roman"/>
        <family val="1"/>
      </rPr>
      <t>Exceeds 25%</t>
    </r>
    <r>
      <rPr>
        <sz val="12"/>
        <rFont val="Times New Roman"/>
        <family val="1"/>
      </rPr>
      <t xml:space="preserve">'. The violation can be fixed for the actual budgeted year by reducing the transfer amount to 25% or below and the message will go away and the block will turn back to green. But, if the transfer amount has already been spent, then the violation can not be fix. If violation occurs for transfers in the current and proposed budget years, the violation should be fixed by reducing the amount. All transfers are linked to the Schedule of Transfers and Special Machinery Fund.  </t>
    </r>
  </si>
  <si>
    <r>
      <t>11q. The non-budgeted pages (nonbud) holds 5 non-budgeted funds.  The non-budgeted funds are only required to show the actual year receipts and expenditures. The expenditures total will only be linked to the Budget Summary page and Certificate page will list the fund name (non-budgeted funds). Normally, the unencumbered cash balance should end with a positive cash balance, but if it ends with a negative, then the spreadsheet will indicate the negative balance by having '</t>
    </r>
    <r>
      <rPr>
        <sz val="12"/>
        <color indexed="10"/>
        <rFont val="Times New Roman"/>
        <family val="1"/>
      </rPr>
      <t>See Tab B</t>
    </r>
    <r>
      <rPr>
        <sz val="12"/>
        <rFont val="Times New Roman"/>
        <family val="1"/>
      </rPr>
      <t xml:space="preserve">' under the unencumbered cash balance.  </t>
    </r>
  </si>
  <si>
    <t xml:space="preserve">12. Neighborhood Revitalization (nhood) should be completed only after all tax levy fund pages been completed and the levy rates have been computed on the Budget Summary page.  You will need to either print the Budget Summary page or write down the dollar amount of ad valorem needed for each tax levy fund.  The ad valorem amounts for each fund will then be input in the neighborhood revitalization table.  The table will then compute the approximate amount of rebate and link to each tax levy fund page. This will cause each tax levy fund to have an entry in the neighborhood revitalization expenditure block, increase the total expenditures  amount, recomputed the ad valorem needed, and link the new amount to the Budget Summary page.  </t>
  </si>
  <si>
    <r>
      <t xml:space="preserve">12a. </t>
    </r>
    <r>
      <rPr>
        <b/>
        <sz val="12"/>
        <rFont val="Times New Roman"/>
        <family val="1"/>
      </rPr>
      <t>Warning</t>
    </r>
    <r>
      <rPr>
        <sz val="12"/>
        <rFont val="Times New Roman"/>
        <family val="1"/>
      </rPr>
      <t>, if you had already set the ad valorem taxes so that they were equal to or below the max amount for ad valorem without passing a ordinance, then the neighborhood revitalization rebate might cause the ad valorem tax amount to exceed the max levying amount. If so, you have three options, accept the rebate expenditures and pass the ordinance, or accept the rebate expenditures and reduce other expenditures to come back under the max amount for levying, or lastly, not use the rebate expenditures by deleting the ad valorem taxes that were keyed into the Neighborhood Revitalization Table.</t>
    </r>
  </si>
  <si>
    <r>
      <t xml:space="preserve">12b. </t>
    </r>
    <r>
      <rPr>
        <b/>
        <sz val="12"/>
        <rFont val="Times New Roman"/>
        <family val="1"/>
      </rPr>
      <t>Note</t>
    </r>
    <r>
      <rPr>
        <sz val="12"/>
        <rFont val="Times New Roman"/>
        <family val="1"/>
      </rPr>
      <t>: You are not required to use the Neighborhood Revitalization Table and may continue doing the way you have in the past. The table can be used to know approximate amount of the rebate so that you will have an idea of the amount of ad valorem taxes you will not be receiving.</t>
    </r>
  </si>
  <si>
    <r>
      <t xml:space="preserve">12c. </t>
    </r>
    <r>
      <rPr>
        <b/>
        <sz val="12"/>
        <rFont val="Times New Roman"/>
        <family val="1"/>
      </rPr>
      <t>Note: If you do not have Neighborhood Revitalization, this step is not done.</t>
    </r>
  </si>
  <si>
    <t xml:space="preserve">13.  Budget Summary (summ) should link the information from other worksheets.  If you find information which is not correct, please go to the worksheet from which the information is linked, and  take corrective action. If you can not correct the error, please contact us for assistance.   </t>
  </si>
  <si>
    <t>13a. At the bottom of the page, in the green shaded area, enter the page number.</t>
  </si>
  <si>
    <r>
      <t>13b. The table '</t>
    </r>
    <r>
      <rPr>
        <i/>
        <sz val="12"/>
        <rFont val="Times New Roman"/>
        <family val="1"/>
      </rPr>
      <t>Estimated Value Of One Mill</t>
    </r>
    <r>
      <rPr>
        <sz val="12"/>
        <rFont val="Times New Roman"/>
        <family val="1"/>
      </rPr>
      <t xml:space="preserve">' to show what 1 mill rate would generate in dollars for the municipality.  </t>
    </r>
  </si>
  <si>
    <r>
      <t>13c. Tables '</t>
    </r>
    <r>
      <rPr>
        <i/>
        <sz val="12"/>
        <rFont val="Times New Roman"/>
        <family val="1"/>
      </rPr>
      <t>What The Mill Rate The Same As</t>
    </r>
    <r>
      <rPr>
        <sz val="12"/>
        <rFont val="Times New Roman"/>
        <family val="1"/>
      </rPr>
      <t>' and '</t>
    </r>
    <r>
      <rPr>
        <i/>
        <sz val="12"/>
        <rFont val="Times New Roman"/>
        <family val="1"/>
      </rPr>
      <t>Impact On Keeping The Same Mill Rate</t>
    </r>
    <r>
      <rPr>
        <sz val="12"/>
        <rFont val="Times New Roman"/>
        <family val="1"/>
      </rPr>
      <t xml:space="preserve">', that shows the impact if the previous mill rate is used for the proposed budgeted year.  To achieve this mill rate, the tax levy fund expenditures will need to be changed by the amount shown.  Depending upon the number of tax levy funds involved, the change can be made to one fund, combination of funds, or all of the tax levy fund expenditures.  </t>
    </r>
    <r>
      <rPr>
        <sz val="12"/>
        <color indexed="10"/>
        <rFont val="Times New Roman"/>
        <family val="1"/>
      </rPr>
      <t>Note</t>
    </r>
    <r>
      <rPr>
        <sz val="12"/>
        <rFont val="Times New Roman"/>
        <family val="1"/>
      </rPr>
      <t xml:space="preserve">: If a </t>
    </r>
    <r>
      <rPr>
        <u/>
        <sz val="12"/>
        <rFont val="Times New Roman"/>
        <family val="1"/>
      </rPr>
      <t>delinquency rate is used</t>
    </r>
    <r>
      <rPr>
        <sz val="12"/>
        <rFont val="Times New Roman"/>
        <family val="1"/>
      </rPr>
      <t xml:space="preserve"> on the tax levy fund pages, the table might have you do several adjustments to get the desired result or close to the desire amount. </t>
    </r>
    <r>
      <rPr>
        <sz val="12"/>
        <color indexed="10"/>
        <rFont val="Times New Roman"/>
        <family val="1"/>
      </rPr>
      <t>Also please</t>
    </r>
    <r>
      <rPr>
        <sz val="12"/>
        <rFont val="Times New Roman"/>
        <family val="1"/>
      </rPr>
      <t xml:space="preserve"> </t>
    </r>
    <r>
      <rPr>
        <sz val="12"/>
        <color indexed="10"/>
        <rFont val="Times New Roman"/>
        <family val="1"/>
      </rPr>
      <t>note</t>
    </r>
    <r>
      <rPr>
        <sz val="12"/>
        <rFont val="Times New Roman"/>
        <family val="1"/>
      </rPr>
      <t xml:space="preserve">, this table </t>
    </r>
    <r>
      <rPr>
        <b/>
        <sz val="12"/>
        <color indexed="10"/>
        <rFont val="Times New Roman"/>
        <family val="1"/>
      </rPr>
      <t>is not</t>
    </r>
    <r>
      <rPr>
        <sz val="12"/>
        <rFont val="Times New Roman"/>
        <family val="1"/>
      </rPr>
      <t xml:space="preserve"> required to be used, but as a tool to assist in budgeting. </t>
    </r>
  </si>
  <si>
    <r>
      <t>13d. The table '</t>
    </r>
    <r>
      <rPr>
        <i/>
        <sz val="12"/>
        <rFont val="Times New Roman"/>
        <family val="1"/>
      </rPr>
      <t>What Mill Rate Would Be Desired</t>
    </r>
    <r>
      <rPr>
        <sz val="12"/>
        <rFont val="Times New Roman"/>
        <family val="1"/>
      </rPr>
      <t xml:space="preserve">', whereas a municipality can create a desired mill rate.  If a municipality has future plans to make a large purchase, project, or just would like a little more unencumbered cash balance, this table will show the amount of ad valorem taxes needed to reach its needs and amount of adjustments to the tax levy fund expenditures to reach this desired mill rate.  This table could also be used to see the impact if the municipality would like to lower the mill rate. To use this table, simply enter in the green area the desired mill rate.  </t>
    </r>
    <r>
      <rPr>
        <sz val="12"/>
        <color indexed="10"/>
        <rFont val="Times New Roman"/>
        <family val="1"/>
      </rPr>
      <t>Note</t>
    </r>
    <r>
      <rPr>
        <sz val="12"/>
        <rFont val="Times New Roman"/>
        <family val="1"/>
      </rPr>
      <t xml:space="preserve">: If a </t>
    </r>
    <r>
      <rPr>
        <u/>
        <sz val="12"/>
        <rFont val="Times New Roman"/>
        <family val="1"/>
      </rPr>
      <t>delinquency rate used</t>
    </r>
    <r>
      <rPr>
        <sz val="12"/>
        <rFont val="Times New Roman"/>
        <family val="1"/>
      </rPr>
      <t xml:space="preserve"> on the tax levy fund pages, the table might have you do several adjustments to get the desired result or close to the desire amount. </t>
    </r>
    <r>
      <rPr>
        <sz val="12"/>
        <color indexed="10"/>
        <rFont val="Times New Roman"/>
        <family val="1"/>
      </rPr>
      <t>Also please</t>
    </r>
    <r>
      <rPr>
        <sz val="12"/>
        <rFont val="Times New Roman"/>
        <family val="1"/>
      </rPr>
      <t xml:space="preserve"> </t>
    </r>
    <r>
      <rPr>
        <sz val="12"/>
        <color indexed="10"/>
        <rFont val="Times New Roman"/>
        <family val="1"/>
      </rPr>
      <t>note</t>
    </r>
    <r>
      <rPr>
        <sz val="12"/>
        <rFont val="Times New Roman"/>
        <family val="1"/>
      </rPr>
      <t xml:space="preserve">, this table </t>
    </r>
    <r>
      <rPr>
        <sz val="12"/>
        <color indexed="10"/>
        <rFont val="Times New Roman"/>
        <family val="1"/>
      </rPr>
      <t>is not</t>
    </r>
    <r>
      <rPr>
        <sz val="12"/>
        <rFont val="Times New Roman"/>
        <family val="1"/>
      </rPr>
      <t xml:space="preserve"> required to be used, but as a tool to assist in budgeting. </t>
    </r>
  </si>
  <si>
    <t>13f. Once the 'Notice of Budget Hearing' has been printed in the local newspaper, please review the notice to ensure the information was correctly printed.  If the information is not correct, the Notice may need to be republished, and may delay the submission of the budget to the County Clerk.</t>
  </si>
  <si>
    <r>
      <t xml:space="preserve">13e. Before printing, review the form to ensure all the information is provided and the figures are correct. Print the page, have official sign it, and take to the local newspaper for printing. For those municipalities that are electronically sending the summary to the newspaper, you can type in the official name before sending.  Please note:  Signing the document is </t>
    </r>
    <r>
      <rPr>
        <b/>
        <sz val="12"/>
        <rFont val="Times New Roman"/>
        <family val="1"/>
      </rPr>
      <t>desired</t>
    </r>
    <r>
      <rPr>
        <sz val="12"/>
        <rFont val="Times New Roman"/>
        <family val="1"/>
      </rPr>
      <t xml:space="preserve">, but not signing </t>
    </r>
    <r>
      <rPr>
        <u/>
        <sz val="12"/>
        <rFont val="Times New Roman"/>
        <family val="1"/>
      </rPr>
      <t>will not</t>
    </r>
    <r>
      <rPr>
        <sz val="12"/>
        <rFont val="Times New Roman"/>
        <family val="1"/>
      </rPr>
      <t xml:space="preserve"> cause the municipality to reprint.</t>
    </r>
  </si>
  <si>
    <t xml:space="preserve">14.  Before submission of the budget to the County Clerk, please review the entire document and verify that all amounts are correct.  Amounts on the Certificate page should match to the fund pages and may also match to the Budget Summary. In addition, the Certificate Page needs to be signed by at least one member of the governing body (signatures of the entire governing body is preferred, but not mandatory). </t>
  </si>
  <si>
    <r>
      <t>15.  How to</t>
    </r>
    <r>
      <rPr>
        <u/>
        <sz val="12"/>
        <rFont val="Times New Roman"/>
        <family val="1"/>
      </rPr>
      <t xml:space="preserve"> Unprotect. </t>
    </r>
    <r>
      <rPr>
        <sz val="12"/>
        <rFont val="Times New Roman"/>
        <family val="1"/>
      </rPr>
      <t xml:space="preserve"> All pages within the budget spreadsheet are protected.  We protect the spreadsheets so that the links and formulas are kept in place.  The protection can be taken off to increase lines or add additional information to the individual spreadsheet. </t>
    </r>
  </si>
  <si>
    <t>15a.  If you have an older version of excel whereas 'Tools' is one of the excel heading. To remove the protection, place the cursor on the cell that is protected, go to the 'Tools' heading with your mouse and click on it, slide down where it shows 'Unprotect' and click on it.  The cell is now unprotected and you can make your changes.  Once all changes are completed for that spreadsheet, put the protection back on by clicking on 'Tools', slide down to 'Protect' and click on it, a box will appear and press the 'OK' button.  Now the spreadsheet is protected again.</t>
  </si>
  <si>
    <t>15b. If you have the newer version of excel with headings; Home, Insert, Page Layout, Formulas, etc. To unprotect the spreadsheet, move your mouse to the cell that is protected, click on heading 'Home', move mouse to heading 'Cells' and click on 'Format', slide the mouse down to 'Unprotect' under 'Protect' heading and click.  Now the cell is unprotected and you may make your changes. Once all changes are completed for that spreadsheet, put the protection back on by following the steps except the last step by selecting 'Protect' which a box will appear and press the 'Ok' button.  Now the protection is back on for that spreadsheet.</t>
  </si>
  <si>
    <t>The following were changed to this spreadsheet on 2/2/12</t>
  </si>
  <si>
    <t xml:space="preserve">1. Instruction tab - line A7 add Library </t>
  </si>
  <si>
    <t>2. Instruction tab - add line #1c for ad valorem adjustments</t>
  </si>
  <si>
    <t>3. Instruction tab - add line #3b to indicate latest date for printing</t>
  </si>
  <si>
    <t>4. Instruction tab - add line #10 to explain about Library Grant Tab</t>
  </si>
  <si>
    <t>5. Instruction tab - add line #11a concerning changing the general fund page number due to library grant page</t>
  </si>
  <si>
    <t>6. Instruction tab - changed 11b, c, and d for new fund tables on fund pages, and 13b, c, and d for tables on Summary</t>
  </si>
  <si>
    <t>7. InputPrYr tab - add Library to the fund page list</t>
  </si>
  <si>
    <t>8. InputPrYr tab - added new table for adjusting ad valorem taxes if desired</t>
  </si>
  <si>
    <t>9. InputOth tab - under 'Computation of Delinquency', changed both narratives for %</t>
  </si>
  <si>
    <t>10. InputBudSum tab - added line D9 for latest date for printing and added hidden formulas for latest printing date</t>
  </si>
  <si>
    <t xml:space="preserve">11. InputBudSum tab - added spaces for official name and title </t>
  </si>
  <si>
    <t>12. Cert tab - added to 'Table of Contents' the Computation to Determine Library Grant and its page number</t>
  </si>
  <si>
    <t>13. Cert tab - added Library fund</t>
  </si>
  <si>
    <t>14. Cert tab - added place for "Email" address for person assitance on the budget</t>
  </si>
  <si>
    <t>15. Mvalloc tab - removed 'Slider' from table heading</t>
  </si>
  <si>
    <t>16. Mvalloc tab - removed slider column and under lying formulas</t>
  </si>
  <si>
    <t>17. Mvalloc tab - added Library fund</t>
  </si>
  <si>
    <t>18. TransfersStatutes tab - added KSA 80-1406c</t>
  </si>
  <si>
    <t>19. Debt-Lease tab - minor changes to first column heading and center form for printing</t>
  </si>
  <si>
    <t>20. Library Grant was added which computes if library qualifies for a grant</t>
  </si>
  <si>
    <t>21. Gen tab - added an if statement to page number to account for Library Grant page</t>
  </si>
  <si>
    <t>22. DebtSvs-Library tab - reduce debt service fund page and added new library fund page which is linked to Grant tab</t>
  </si>
  <si>
    <t>23. Summ tab - added library fund  and  linked the library fund page to the summary</t>
  </si>
  <si>
    <t>24. Summ tab - linked the official name and title from the inputbudsum page</t>
  </si>
  <si>
    <t>25. Summ tab - centered the heading for printing</t>
  </si>
  <si>
    <t>26. Nhood tab - added the library fund</t>
  </si>
  <si>
    <t>27. Mill Rate Computation tab - corrected the computations to agree with our web site</t>
  </si>
  <si>
    <t>29. All fund pages - removed slider and its link</t>
  </si>
  <si>
    <t>28. All fund pages - changed the year headings</t>
  </si>
  <si>
    <r>
      <t xml:space="preserve">1.  The information needed for the Input Prior Year Sheet (inputPrYr) comes directly from last year budget.  After the information has been entered, please verify the data is correct.  If at a later date, it is determined  the information is incorrect, correct the information on this page, not the fund page. </t>
    </r>
    <r>
      <rPr>
        <b/>
        <sz val="12"/>
        <rFont val="Times New Roman"/>
        <family val="1"/>
      </rPr>
      <t/>
    </r>
  </si>
  <si>
    <r>
      <t>11l. If a transfer from the Road fund to Special Machinery is made in the actual year, the transfer has been link to the Special Machinery fund. If the transfer exceeds 25% of Resources Available, then a red error message will appear (</t>
    </r>
    <r>
      <rPr>
        <sz val="12"/>
        <color indexed="10"/>
        <rFont val="Times New Roman"/>
        <family val="1"/>
      </rPr>
      <t>Exceeds 25%</t>
    </r>
    <r>
      <rPr>
        <sz val="12"/>
        <rFont val="Times New Roman"/>
        <family val="1"/>
      </rPr>
      <t xml:space="preserve">) and the block turns </t>
    </r>
    <r>
      <rPr>
        <sz val="12"/>
        <color indexed="10"/>
        <rFont val="Times New Roman"/>
        <family val="1"/>
      </rPr>
      <t>red</t>
    </r>
    <r>
      <rPr>
        <sz val="12"/>
        <rFont val="Times New Roman"/>
        <family val="1"/>
      </rPr>
      <t xml:space="preserve">.  To remove the error message, you </t>
    </r>
    <r>
      <rPr>
        <u/>
        <sz val="12"/>
        <rFont val="Times New Roman"/>
        <family val="1"/>
      </rPr>
      <t>should reduce</t>
    </r>
    <r>
      <rPr>
        <sz val="12"/>
        <rFont val="Times New Roman"/>
        <family val="1"/>
      </rPr>
      <t xml:space="preserve"> the amount of the transfer for the Road which will change the Special Machinery amount. If the transfer money </t>
    </r>
    <r>
      <rPr>
        <b/>
        <u/>
        <sz val="12"/>
        <rFont val="Times New Roman"/>
        <family val="1"/>
      </rPr>
      <t xml:space="preserve">has not been spent </t>
    </r>
    <r>
      <rPr>
        <sz val="12"/>
        <rFont val="Times New Roman"/>
        <family val="1"/>
      </rPr>
      <t xml:space="preserve">in the Special Machinery fund, then you can fix the transfer to bring within the limitation. But, if the transfer money </t>
    </r>
    <r>
      <rPr>
        <b/>
        <u/>
        <sz val="12"/>
        <rFont val="Times New Roman"/>
        <family val="1"/>
      </rPr>
      <t>has been spent</t>
    </r>
    <r>
      <rPr>
        <sz val="12"/>
        <rFont val="Times New Roman"/>
        <family val="1"/>
      </rPr>
      <t>, then no action can be taken to fix the violation. In addition, the transfer is linked to the Schedule of Transfers.</t>
    </r>
  </si>
  <si>
    <r>
      <t xml:space="preserve">11n. The General Fund has two line expenditures for transfers to the Special Machinery Fund. The transfers are labeled, 'Transfer to Spec. Mach.(No Levy) and 'Transfer to Spec. Mach.(Gen has Levy). </t>
    </r>
    <r>
      <rPr>
        <b/>
        <u/>
        <sz val="12"/>
        <rFont val="Times New Roman"/>
        <family val="1"/>
      </rPr>
      <t>Note:</t>
    </r>
    <r>
      <rPr>
        <sz val="12"/>
        <rFont val="Times New Roman"/>
        <family val="1"/>
      </rPr>
      <t xml:space="preserve"> If a transfer is made from the General Fund to Special Machinery, only one transfer is allowed, you must chose the expenditure based upon the General Fund situation. If two transfers are made, on the Special Machinery page will show a error message '</t>
    </r>
    <r>
      <rPr>
        <sz val="12"/>
        <color indexed="10"/>
        <rFont val="Times New Roman"/>
        <family val="1"/>
      </rPr>
      <t>No Authorized Two Transfers - Only One</t>
    </r>
    <r>
      <rPr>
        <sz val="12"/>
        <rFont val="Times New Roman"/>
        <family val="1"/>
      </rPr>
      <t xml:space="preserve">'. You are </t>
    </r>
    <r>
      <rPr>
        <u/>
        <sz val="12"/>
        <rFont val="Times New Roman"/>
        <family val="1"/>
      </rPr>
      <t>not required</t>
    </r>
    <r>
      <rPr>
        <sz val="12"/>
        <rFont val="Times New Roman"/>
        <family val="1"/>
      </rPr>
      <t xml:space="preserve"> to make a transfer.</t>
    </r>
  </si>
  <si>
    <t xml:space="preserve">peter.haxton@library.ks.gov </t>
  </si>
  <si>
    <t>The following were changed to this spreadsheet on 2/22/12</t>
  </si>
  <si>
    <t>1. Library Grant tab, updated State Library e-mail contact address</t>
  </si>
  <si>
    <t>The following were changed to this spreadsheet on 5/29/12</t>
  </si>
  <si>
    <t>1. Corrected formulas for linking AV tax estimates to the Debt Service and Library funds</t>
  </si>
  <si>
    <t>Liberty Township</t>
  </si>
  <si>
    <t>Osborne County</t>
  </si>
  <si>
    <t>Weed</t>
  </si>
  <si>
    <t>Publication</t>
  </si>
  <si>
    <t>Valley Township</t>
  </si>
  <si>
    <t>Victor Township</t>
  </si>
  <si>
    <t>Officers pay</t>
  </si>
  <si>
    <t>L. Richard Elliott</t>
  </si>
  <si>
    <t>August 3, 2012</t>
  </si>
  <si>
    <t>7:00 p.m.</t>
  </si>
  <si>
    <t>Richard Elliott at 1925 Co. 412 Drive, Liberty Township</t>
  </si>
  <si>
    <t>Osborne County Clerk's Office</t>
  </si>
  <si>
    <t>Vienna Janis</t>
  </si>
  <si>
    <t>Osborne County Clerk</t>
  </si>
  <si>
    <t>423 W. Main</t>
  </si>
  <si>
    <t>Osborne, KS 67473</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</si>
</sst>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5" formatCode="&quot;$&quot;#,##0_);\(&quot;$&quot;#,##0\)"/>
    <numFmt numFmtId="6" formatCode="&quot;$&quot;#,##0_);[Red]\(&quot;$&quot;#,##0\)"/>
    <numFmt numFmtId="43" formatCode="_(* #,##0.00_);_(* \(#,##0.00\);_(* &quot;-&quot;??_);_(@_)"/>
    <numFmt numFmtId="164" formatCode="0_)"/>
    <numFmt numFmtId="165" formatCode="0.000_)"/>
    <numFmt numFmtId="166" formatCode="0.00000_)"/>
    <numFmt numFmtId="167" formatCode="0.00000"/>
    <numFmt numFmtId="168" formatCode="m/d/yy"/>
    <numFmt numFmtId="169" formatCode="m/d"/>
    <numFmt numFmtId="170" formatCode="#,##0.000_);\(#,##0.000\)"/>
    <numFmt numFmtId="171" formatCode="0.000%"/>
    <numFmt numFmtId="172" formatCode="0.000"/>
    <numFmt numFmtId="173" formatCode="_(* #,##0_);_(* \(#,##0\);_(* &quot;-&quot;??_);_(@_)"/>
    <numFmt numFmtId="174" formatCode="#,##0.000"/>
    <numFmt numFmtId="175" formatCode="[$-409]mmmm\ d\,\ yyyy;@"/>
    <numFmt numFmtId="176" formatCode="[$-409]h:mm\ AM/PM;@"/>
    <numFmt numFmtId="177" formatCode="&quot;$&quot;#,##0"/>
    <numFmt numFmtId="178" formatCode="&quot;$&quot;#,##0.00"/>
    <numFmt numFmtId="179" formatCode="#,##0.000_);[Red]\(#,##0.000\)"/>
    <numFmt numFmtId="180" formatCode="0.0%"/>
  </numFmts>
  <fonts count="63" x14ac:knownFonts="1">
    <font>
      <sz val="12"/>
      <name val="Courier New"/>
    </font>
    <font>
      <sz val="12"/>
      <name val="Courier New"/>
      <family val="3"/>
    </font>
    <font>
      <sz val="12"/>
      <name val="Courier"/>
      <family val="3"/>
    </font>
    <font>
      <b/>
      <sz val="12"/>
      <name val="Times New Roman"/>
      <family val="1"/>
    </font>
    <font>
      <sz val="12"/>
      <name val="Times New Roman"/>
      <family val="1"/>
    </font>
    <font>
      <u/>
      <sz val="12"/>
      <name val="Times New Roman"/>
      <family val="1"/>
    </font>
    <font>
      <sz val="14"/>
      <name val="Times New Roman"/>
      <family val="1"/>
    </font>
    <font>
      <sz val="11"/>
      <name val="Times New Roman"/>
      <family val="1"/>
    </font>
    <font>
      <sz val="10"/>
      <name val="Times New Roman"/>
      <family val="1"/>
    </font>
    <font>
      <sz val="10"/>
      <name val="Courier New"/>
      <family val="3"/>
    </font>
    <font>
      <u/>
      <sz val="12"/>
      <color indexed="12"/>
      <name val="Courier New"/>
      <family val="3"/>
    </font>
    <font>
      <sz val="8"/>
      <name val="Courier New"/>
      <family val="3"/>
    </font>
    <font>
      <i/>
      <sz val="11"/>
      <name val="Times New Roman"/>
      <family val="1"/>
    </font>
    <font>
      <b/>
      <sz val="11"/>
      <name val="Times New Roman"/>
      <family val="1"/>
    </font>
    <font>
      <b/>
      <sz val="8"/>
      <name val="Times New Roman"/>
      <family val="1"/>
    </font>
    <font>
      <sz val="12"/>
      <color indexed="10"/>
      <name val="Times New Roman"/>
      <family val="1"/>
    </font>
    <font>
      <b/>
      <u/>
      <sz val="12"/>
      <color indexed="10"/>
      <name val="Times New Roman"/>
      <family val="1"/>
    </font>
    <font>
      <b/>
      <u/>
      <sz val="12"/>
      <name val="Times New Roman"/>
      <family val="1"/>
    </font>
    <font>
      <b/>
      <sz val="12"/>
      <color indexed="10"/>
      <name val="Times New Roman"/>
      <family val="1"/>
    </font>
    <font>
      <b/>
      <sz val="12"/>
      <name val="Courier"/>
      <family val="3"/>
    </font>
    <font>
      <sz val="12"/>
      <color indexed="10"/>
      <name val="Courier"/>
      <family val="3"/>
    </font>
    <font>
      <i/>
      <sz val="12"/>
      <name val="Times New Roman"/>
      <family val="1"/>
    </font>
    <font>
      <sz val="8"/>
      <name val="Times New Roman"/>
      <family val="1"/>
    </font>
    <font>
      <b/>
      <sz val="12"/>
      <color indexed="8"/>
      <name val="Times New Roman"/>
      <family val="1"/>
    </font>
    <font>
      <sz val="12"/>
      <color indexed="8"/>
      <name val="Times New Roman"/>
      <family val="1"/>
    </font>
    <font>
      <b/>
      <u/>
      <sz val="16"/>
      <name val="Times New Roman"/>
      <family val="1"/>
    </font>
    <font>
      <b/>
      <u/>
      <sz val="8"/>
      <color indexed="10"/>
      <name val="Times New Roman"/>
      <family val="1"/>
    </font>
    <font>
      <b/>
      <u/>
      <sz val="14"/>
      <name val="Times New Roman"/>
      <family val="1"/>
    </font>
    <font>
      <sz val="11"/>
      <color indexed="8"/>
      <name val="Times New Roman"/>
      <family val="1"/>
    </font>
    <font>
      <b/>
      <sz val="11"/>
      <color indexed="8"/>
      <name val="Times New Roman"/>
      <family val="1"/>
    </font>
    <font>
      <u/>
      <sz val="12"/>
      <color indexed="12"/>
      <name val="Courier"/>
      <family val="3"/>
    </font>
    <font>
      <b/>
      <u/>
      <sz val="12"/>
      <name val="Courier"/>
      <family val="3"/>
    </font>
    <font>
      <i/>
      <sz val="12"/>
      <name val="Courier"/>
      <family val="3"/>
    </font>
    <font>
      <i/>
      <u/>
      <sz val="12"/>
      <name val="Courier"/>
      <family val="3"/>
    </font>
    <font>
      <sz val="12"/>
      <name val="Courier New"/>
      <family val="3"/>
    </font>
    <font>
      <sz val="11"/>
      <name val="Cambria"/>
      <family val="1"/>
    </font>
    <font>
      <b/>
      <sz val="11"/>
      <color indexed="8"/>
      <name val="Cambria"/>
      <family val="1"/>
    </font>
    <font>
      <b/>
      <sz val="13"/>
      <name val="Times New Roman"/>
      <family val="1"/>
    </font>
    <font>
      <u/>
      <sz val="12"/>
      <color indexed="12"/>
      <name val="Times New Roman"/>
      <family val="1"/>
    </font>
    <font>
      <sz val="10"/>
      <color indexed="10"/>
      <name val="Times New Roman"/>
      <family val="1"/>
    </font>
    <font>
      <b/>
      <u/>
      <sz val="10"/>
      <name val="Times New Roman"/>
      <family val="1"/>
    </font>
    <font>
      <b/>
      <sz val="10"/>
      <name val="Times New Roman"/>
      <family val="1"/>
    </font>
    <font>
      <sz val="12"/>
      <name val="Courier"/>
      <family val="3"/>
    </font>
    <font>
      <u/>
      <sz val="12"/>
      <color indexed="10"/>
      <name val="Times New Roman"/>
      <family val="1"/>
    </font>
    <font>
      <b/>
      <sz val="12"/>
      <name val="Courier New"/>
      <family val="3"/>
    </font>
    <font>
      <sz val="10"/>
      <name val="Courier"/>
      <family val="3"/>
    </font>
    <font>
      <sz val="8"/>
      <color indexed="10"/>
      <name val="Times New Roman"/>
      <family val="1"/>
    </font>
    <font>
      <sz val="12"/>
      <name val="Courier"/>
    </font>
    <font>
      <sz val="11"/>
      <color theme="1"/>
      <name val="Calibri"/>
      <family val="2"/>
      <scheme val="minor"/>
    </font>
    <font>
      <b/>
      <u/>
      <sz val="12"/>
      <color rgb="FFFF0000"/>
      <name val="Times New Roman"/>
      <family val="1"/>
    </font>
    <font>
      <sz val="12"/>
      <color rgb="FF000000"/>
      <name val="Times New Roman"/>
      <family val="1"/>
    </font>
    <font>
      <sz val="11"/>
      <color rgb="FF000000"/>
      <name val="Times New Roman"/>
      <family val="1"/>
    </font>
    <font>
      <u/>
      <sz val="12"/>
      <color rgb="FFFF0000"/>
      <name val="Times New Roman"/>
      <family val="1"/>
    </font>
    <font>
      <b/>
      <sz val="12"/>
      <color rgb="FFFF0000"/>
      <name val="Times New Roman"/>
      <family val="1"/>
    </font>
    <font>
      <b/>
      <sz val="11"/>
      <color theme="1"/>
      <name val="Cambria"/>
      <family val="1"/>
    </font>
    <font>
      <sz val="11"/>
      <color rgb="FF000000"/>
      <name val="Cambria"/>
      <family val="1"/>
    </font>
    <font>
      <b/>
      <sz val="12"/>
      <color rgb="FF000000"/>
      <name val="Times New Roman"/>
      <family val="1"/>
    </font>
    <font>
      <sz val="12"/>
      <color rgb="FFFF0000"/>
      <name val="Times New Roman"/>
      <family val="1"/>
    </font>
    <font>
      <sz val="10"/>
      <color rgb="FFFF0000"/>
      <name val="Times New Roman"/>
      <family val="1"/>
    </font>
    <font>
      <sz val="12"/>
      <color theme="0"/>
      <name val="Courier"/>
      <family val="3"/>
    </font>
    <font>
      <sz val="12"/>
      <color theme="0"/>
      <name val="Courier New"/>
      <family val="3"/>
    </font>
    <font>
      <sz val="8"/>
      <color theme="0"/>
      <name val="Times New Roman"/>
      <family val="1"/>
    </font>
    <font>
      <sz val="12"/>
      <color theme="0"/>
      <name val="Times New Roman"/>
      <family val="1"/>
    </font>
  </fonts>
  <fills count="19">
    <fill>
      <patternFill patternType="none"/>
    </fill>
    <fill>
      <patternFill patternType="gray125"/>
    </fill>
    <fill>
      <patternFill patternType="solid">
        <fgColor indexed="11"/>
        <bgColor indexed="64"/>
      </patternFill>
    </fill>
    <fill>
      <patternFill patternType="solid">
        <fgColor indexed="26"/>
        <bgColor indexed="64"/>
      </patternFill>
    </fill>
    <fill>
      <patternFill patternType="solid">
        <fgColor indexed="11"/>
      </patternFill>
    </fill>
    <fill>
      <patternFill patternType="solid">
        <fgColor indexed="13"/>
        <bgColor indexed="64"/>
      </patternFill>
    </fill>
    <fill>
      <patternFill patternType="solid">
        <fgColor indexed="43"/>
        <bgColor indexed="64"/>
      </patternFill>
    </fill>
    <fill>
      <patternFill patternType="solid">
        <fgColor indexed="34"/>
        <bgColor indexed="64"/>
      </patternFill>
    </fill>
    <fill>
      <patternFill patternType="solid">
        <fgColor indexed="10"/>
        <bgColor indexed="64"/>
      </patternFill>
    </fill>
    <fill>
      <patternFill patternType="solid">
        <fgColor indexed="15"/>
        <bgColor indexed="64"/>
      </patternFill>
    </fill>
    <fill>
      <patternFill patternType="solid">
        <fgColor indexed="35"/>
        <bgColor indexed="64"/>
      </patternFill>
    </fill>
    <fill>
      <patternFill patternType="solid">
        <fgColor indexed="41"/>
        <bgColor indexed="64"/>
      </patternFill>
    </fill>
    <fill>
      <patternFill patternType="solid">
        <fgColor rgb="FFFFFFC0"/>
        <bgColor indexed="64"/>
      </patternFill>
    </fill>
    <fill>
      <patternFill patternType="solid">
        <fgColor rgb="FF00FF00"/>
        <bgColor indexed="64"/>
      </patternFill>
    </fill>
    <fill>
      <patternFill patternType="solid">
        <fgColor rgb="FFFFFF99"/>
        <bgColor indexed="64"/>
      </patternFill>
    </fill>
    <fill>
      <patternFill patternType="solid">
        <fgColor rgb="FF00FFFF"/>
        <bgColor indexed="64"/>
      </patternFill>
    </fill>
    <fill>
      <patternFill patternType="solid">
        <fgColor theme="0"/>
        <bgColor indexed="64"/>
      </patternFill>
    </fill>
    <fill>
      <patternFill patternType="solid">
        <fgColor rgb="FFFFFF00"/>
        <bgColor indexed="64"/>
      </patternFill>
    </fill>
    <fill>
      <patternFill patternType="solid">
        <fgColor rgb="FFFFFFCC"/>
        <bgColor indexed="64"/>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s>
  <cellStyleXfs count="417">
    <xf numFmtId="0" fontId="0" fillId="0" borderId="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34" fillId="0" borderId="0"/>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34" fillId="0" borderId="0"/>
    <xf numFmtId="0" fontId="2" fillId="0" borderId="0"/>
    <xf numFmtId="0" fontId="2" fillId="0" borderId="0"/>
    <xf numFmtId="0" fontId="1" fillId="0" borderId="0"/>
    <xf numFmtId="0" fontId="2" fillId="0" borderId="0"/>
    <xf numFmtId="0" fontId="2" fillId="0" borderId="0"/>
    <xf numFmtId="0" fontId="1" fillId="0" borderId="0"/>
    <xf numFmtId="0" fontId="1" fillId="0" borderId="0"/>
    <xf numFmtId="0" fontId="2" fillId="0" borderId="0"/>
    <xf numFmtId="0" fontId="2" fillId="0" borderId="0"/>
    <xf numFmtId="0" fontId="1" fillId="0" borderId="0"/>
    <xf numFmtId="0" fontId="34" fillId="0" borderId="0"/>
    <xf numFmtId="0" fontId="2" fillId="0" borderId="0"/>
    <xf numFmtId="0" fontId="2" fillId="0" borderId="0"/>
    <xf numFmtId="0" fontId="1" fillId="0" borderId="0"/>
    <xf numFmtId="0" fontId="2"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47"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8"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cellStyleXfs>
  <cellXfs count="889">
    <xf numFmtId="0" fontId="0" fillId="0" borderId="0" xfId="0"/>
    <xf numFmtId="0" fontId="12" fillId="0" borderId="0" xfId="0" applyFont="1" applyAlignment="1">
      <alignment horizontal="center"/>
    </xf>
    <xf numFmtId="0" fontId="7" fillId="0" borderId="0" xfId="0" applyFont="1" applyAlignment="1">
      <alignment horizontal="center"/>
    </xf>
    <xf numFmtId="0" fontId="13" fillId="0" borderId="0" xfId="0" applyFont="1"/>
    <xf numFmtId="0" fontId="7" fillId="0" borderId="0" xfId="0" applyFont="1"/>
    <xf numFmtId="0" fontId="7" fillId="0" borderId="0" xfId="0" applyFont="1" applyAlignment="1">
      <alignment horizontal="left" indent="1"/>
    </xf>
    <xf numFmtId="0" fontId="14" fillId="0" borderId="0" xfId="0" applyFont="1"/>
    <xf numFmtId="0" fontId="7" fillId="0" borderId="0" xfId="0" applyFont="1" applyAlignment="1">
      <alignment horizontal="left"/>
    </xf>
    <xf numFmtId="0" fontId="12" fillId="0" borderId="0" xfId="0" applyFont="1" applyAlignment="1">
      <alignment horizontal="left"/>
    </xf>
    <xf numFmtId="0" fontId="13" fillId="0" borderId="0" xfId="0" applyFont="1" applyAlignment="1">
      <alignment horizontal="left"/>
    </xf>
    <xf numFmtId="0" fontId="4" fillId="0" borderId="0" xfId="0" applyFont="1" applyAlignment="1">
      <alignment horizontal="right"/>
    </xf>
    <xf numFmtId="0" fontId="0" fillId="2" borderId="0" xfId="0" applyFill="1" applyProtection="1">
      <protection locked="0"/>
    </xf>
    <xf numFmtId="0" fontId="0" fillId="0" borderId="0" xfId="0" applyAlignment="1">
      <alignment vertical="center"/>
    </xf>
    <xf numFmtId="37" fontId="4" fillId="3" borderId="0" xfId="0" applyNumberFormat="1" applyFont="1" applyFill="1" applyAlignment="1" applyProtection="1">
      <alignment vertical="center"/>
    </xf>
    <xf numFmtId="0" fontId="4" fillId="3" borderId="0" xfId="0" applyFont="1" applyFill="1" applyAlignment="1" applyProtection="1">
      <alignment vertical="center"/>
    </xf>
    <xf numFmtId="0" fontId="4" fillId="3" borderId="0" xfId="0" applyNumberFormat="1" applyFont="1" applyFill="1" applyAlignment="1" applyProtection="1">
      <alignment horizontal="right" vertical="center"/>
    </xf>
    <xf numFmtId="0" fontId="4" fillId="0" borderId="0" xfId="0" applyFont="1" applyAlignment="1" applyProtection="1">
      <alignment vertical="center"/>
      <protection locked="0"/>
    </xf>
    <xf numFmtId="0" fontId="3" fillId="3" borderId="0" xfId="0" applyFont="1" applyFill="1" applyAlignment="1" applyProtection="1">
      <alignment vertical="center"/>
    </xf>
    <xf numFmtId="164" fontId="4" fillId="3" borderId="0" xfId="0" applyNumberFormat="1" applyFont="1" applyFill="1" applyAlignment="1" applyProtection="1">
      <alignment horizontal="right" vertical="center"/>
    </xf>
    <xf numFmtId="0" fontId="4" fillId="3" borderId="0" xfId="0" applyFont="1" applyFill="1" applyBorder="1" applyAlignment="1" applyProtection="1">
      <alignment vertical="center"/>
    </xf>
    <xf numFmtId="0" fontId="4" fillId="3" borderId="1" xfId="0" applyFont="1" applyFill="1" applyBorder="1" applyAlignment="1" applyProtection="1">
      <alignment vertical="center"/>
    </xf>
    <xf numFmtId="37" fontId="4" fillId="3" borderId="1" xfId="0" quotePrefix="1" applyNumberFormat="1" applyFont="1" applyFill="1" applyBorder="1" applyAlignment="1" applyProtection="1">
      <alignment horizontal="right" vertical="center"/>
    </xf>
    <xf numFmtId="37" fontId="4" fillId="3" borderId="0" xfId="0" applyNumberFormat="1" applyFont="1" applyFill="1" applyAlignment="1" applyProtection="1">
      <alignment horizontal="left" vertical="center"/>
    </xf>
    <xf numFmtId="37" fontId="4" fillId="3" borderId="2" xfId="0" applyNumberFormat="1" applyFont="1" applyFill="1" applyBorder="1" applyAlignment="1" applyProtection="1">
      <alignment horizontal="center" vertical="center"/>
    </xf>
    <xf numFmtId="37" fontId="4" fillId="3" borderId="0" xfId="0" applyNumberFormat="1" applyFont="1" applyFill="1" applyBorder="1" applyAlignment="1" applyProtection="1">
      <alignment vertical="center"/>
    </xf>
    <xf numFmtId="37" fontId="4" fillId="3" borderId="3" xfId="0" applyNumberFormat="1" applyFont="1" applyFill="1" applyBorder="1" applyAlignment="1" applyProtection="1">
      <alignment horizontal="center" vertical="center"/>
    </xf>
    <xf numFmtId="37" fontId="4" fillId="3" borderId="4" xfId="0" applyNumberFormat="1" applyFont="1" applyFill="1" applyBorder="1" applyAlignment="1" applyProtection="1">
      <alignment horizontal="center" vertical="center"/>
    </xf>
    <xf numFmtId="37" fontId="4" fillId="3" borderId="5" xfId="0" applyNumberFormat="1" applyFont="1" applyFill="1" applyBorder="1" applyAlignment="1" applyProtection="1">
      <alignment horizontal="left" vertical="center"/>
    </xf>
    <xf numFmtId="0" fontId="4" fillId="3" borderId="6" xfId="0" applyFont="1" applyFill="1" applyBorder="1" applyAlignment="1" applyProtection="1">
      <alignment vertical="center"/>
    </xf>
    <xf numFmtId="3" fontId="4" fillId="4" borderId="5" xfId="0" applyNumberFormat="1" applyFont="1" applyFill="1" applyBorder="1" applyAlignment="1" applyProtection="1">
      <alignment vertical="center"/>
      <protection locked="0"/>
    </xf>
    <xf numFmtId="3" fontId="4" fillId="4" borderId="6" xfId="0" applyNumberFormat="1" applyFont="1" applyFill="1" applyBorder="1" applyAlignment="1" applyProtection="1">
      <alignment vertical="center"/>
      <protection locked="0"/>
    </xf>
    <xf numFmtId="3" fontId="4" fillId="3" borderId="6" xfId="0" applyNumberFormat="1" applyFont="1" applyFill="1" applyBorder="1" applyAlignment="1" applyProtection="1">
      <alignment vertical="center"/>
    </xf>
    <xf numFmtId="3" fontId="4" fillId="3" borderId="7" xfId="0" applyNumberFormat="1" applyFont="1" applyFill="1" applyBorder="1" applyAlignment="1" applyProtection="1">
      <alignment vertical="center"/>
    </xf>
    <xf numFmtId="3" fontId="4" fillId="3" borderId="7" xfId="0" applyNumberFormat="1" applyFont="1" applyFill="1" applyBorder="1" applyAlignment="1" applyProtection="1">
      <alignment horizontal="fill" vertical="center"/>
    </xf>
    <xf numFmtId="3" fontId="4" fillId="4" borderId="7" xfId="0" applyNumberFormat="1" applyFont="1" applyFill="1" applyBorder="1" applyAlignment="1" applyProtection="1">
      <alignment vertical="center"/>
      <protection locked="0"/>
    </xf>
    <xf numFmtId="0" fontId="4" fillId="3" borderId="5" xfId="0" applyFont="1" applyFill="1" applyBorder="1" applyAlignment="1" applyProtection="1">
      <alignment vertical="center"/>
    </xf>
    <xf numFmtId="3" fontId="4" fillId="2" borderId="7" xfId="0" applyNumberFormat="1" applyFont="1" applyFill="1" applyBorder="1" applyAlignment="1" applyProtection="1">
      <alignment vertical="center"/>
      <protection locked="0"/>
    </xf>
    <xf numFmtId="0" fontId="4" fillId="4" borderId="5" xfId="0" applyFont="1" applyFill="1" applyBorder="1" applyAlignment="1" applyProtection="1">
      <alignment vertical="center"/>
      <protection locked="0"/>
    </xf>
    <xf numFmtId="37" fontId="4" fillId="4" borderId="5" xfId="0" applyNumberFormat="1" applyFont="1" applyFill="1" applyBorder="1" applyAlignment="1" applyProtection="1">
      <alignment horizontal="left" vertical="center"/>
      <protection locked="0"/>
    </xf>
    <xf numFmtId="37" fontId="4" fillId="3" borderId="5" xfId="0" applyNumberFormat="1" applyFont="1" applyFill="1" applyBorder="1" applyAlignment="1" applyProtection="1">
      <alignment horizontal="left" vertical="center"/>
      <protection locked="0"/>
    </xf>
    <xf numFmtId="3" fontId="15" fillId="5" borderId="6" xfId="0" applyNumberFormat="1" applyFont="1" applyFill="1" applyBorder="1" applyAlignment="1" applyProtection="1">
      <alignment horizontal="center" vertical="center"/>
    </xf>
    <xf numFmtId="0" fontId="3" fillId="3" borderId="5" xfId="0" applyFont="1" applyFill="1" applyBorder="1" applyAlignment="1" applyProtection="1">
      <alignment vertical="center"/>
    </xf>
    <xf numFmtId="3" fontId="3" fillId="6" borderId="7" xfId="0" applyNumberFormat="1" applyFont="1" applyFill="1" applyBorder="1" applyAlignment="1" applyProtection="1">
      <alignment vertical="center"/>
    </xf>
    <xf numFmtId="37" fontId="3" fillId="3" borderId="5" xfId="0" applyNumberFormat="1" applyFont="1" applyFill="1" applyBorder="1" applyAlignment="1" applyProtection="1">
      <alignment horizontal="left" vertical="center"/>
    </xf>
    <xf numFmtId="3" fontId="15" fillId="5" borderId="7" xfId="0" applyNumberFormat="1" applyFont="1" applyFill="1" applyBorder="1" applyAlignment="1" applyProtection="1">
      <alignment horizontal="center" vertical="center"/>
      <protection locked="0"/>
    </xf>
    <xf numFmtId="3" fontId="15" fillId="5" borderId="7" xfId="0" applyNumberFormat="1" applyFont="1" applyFill="1" applyBorder="1" applyAlignment="1" applyProtection="1">
      <alignment horizontal="center" vertical="center"/>
    </xf>
    <xf numFmtId="3" fontId="4" fillId="6" borderId="7" xfId="0" applyNumberFormat="1" applyFont="1" applyFill="1" applyBorder="1" applyAlignment="1" applyProtection="1">
      <alignment vertical="center"/>
    </xf>
    <xf numFmtId="3" fontId="3" fillId="3" borderId="7" xfId="0" applyNumberFormat="1" applyFont="1" applyFill="1" applyBorder="1" applyAlignment="1" applyProtection="1">
      <alignment vertical="center"/>
    </xf>
    <xf numFmtId="0" fontId="4" fillId="3" borderId="0" xfId="0" applyFont="1" applyFill="1" applyAlignment="1" applyProtection="1">
      <alignment horizontal="right" vertical="center"/>
    </xf>
    <xf numFmtId="37" fontId="4" fillId="3" borderId="0" xfId="0" applyNumberFormat="1" applyFont="1" applyFill="1" applyAlignment="1" applyProtection="1">
      <alignment horizontal="center" vertical="center"/>
    </xf>
    <xf numFmtId="0" fontId="15" fillId="0" borderId="0" xfId="0" applyFont="1" applyAlignment="1" applyProtection="1">
      <alignment vertical="center"/>
    </xf>
    <xf numFmtId="0" fontId="16" fillId="3" borderId="0" xfId="0" applyFont="1" applyFill="1" applyAlignment="1" applyProtection="1">
      <alignment horizontal="center" vertical="center"/>
    </xf>
    <xf numFmtId="37" fontId="4" fillId="3" borderId="0" xfId="0" applyNumberFormat="1" applyFont="1" applyFill="1" applyAlignment="1" applyProtection="1">
      <alignment horizontal="right" vertical="center"/>
    </xf>
    <xf numFmtId="3" fontId="4" fillId="3" borderId="0" xfId="0" applyNumberFormat="1" applyFont="1" applyFill="1" applyBorder="1" applyAlignment="1" applyProtection="1">
      <alignment vertical="center"/>
    </xf>
    <xf numFmtId="0" fontId="4" fillId="0" borderId="0" xfId="0" applyFont="1" applyFill="1" applyBorder="1" applyAlignment="1" applyProtection="1">
      <alignment vertical="center"/>
      <protection locked="0"/>
    </xf>
    <xf numFmtId="3" fontId="4" fillId="3" borderId="0" xfId="0" applyNumberFormat="1" applyFont="1" applyFill="1" applyAlignment="1" applyProtection="1">
      <alignment vertical="center"/>
    </xf>
    <xf numFmtId="0" fontId="4" fillId="0" borderId="0" xfId="0" applyFont="1" applyFill="1" applyAlignment="1" applyProtection="1">
      <alignment vertical="center"/>
      <protection locked="0"/>
    </xf>
    <xf numFmtId="3" fontId="4" fillId="0" borderId="0" xfId="0" applyNumberFormat="1" applyFont="1" applyAlignment="1" applyProtection="1">
      <alignment vertical="center"/>
      <protection locked="0"/>
    </xf>
    <xf numFmtId="3" fontId="4" fillId="0" borderId="0" xfId="0" applyNumberFormat="1" applyFont="1" applyFill="1" applyBorder="1" applyAlignment="1" applyProtection="1">
      <alignment vertical="center"/>
    </xf>
    <xf numFmtId="0" fontId="4" fillId="3" borderId="0" xfId="0" applyFont="1" applyFill="1" applyAlignment="1" applyProtection="1">
      <alignment horizontal="center" vertical="center"/>
    </xf>
    <xf numFmtId="0" fontId="49" fillId="3" borderId="0" xfId="0" applyFont="1" applyFill="1" applyAlignment="1" applyProtection="1">
      <alignment horizontal="center" vertical="center"/>
    </xf>
    <xf numFmtId="164" fontId="4" fillId="3" borderId="0" xfId="0" applyNumberFormat="1" applyFont="1" applyFill="1" applyAlignment="1" applyProtection="1">
      <alignment vertical="center"/>
    </xf>
    <xf numFmtId="37" fontId="4" fillId="3" borderId="0" xfId="0" quotePrefix="1" applyNumberFormat="1" applyFont="1" applyFill="1" applyAlignment="1" applyProtection="1">
      <alignment horizontal="right" vertical="center"/>
    </xf>
    <xf numFmtId="3" fontId="4" fillId="3" borderId="7" xfId="0" applyNumberFormat="1" applyFont="1" applyFill="1" applyBorder="1" applyAlignment="1" applyProtection="1">
      <alignment horizontal="right" vertical="center"/>
    </xf>
    <xf numFmtId="37" fontId="4" fillId="3" borderId="8" xfId="0" applyNumberFormat="1" applyFont="1" applyFill="1" applyBorder="1" applyAlignment="1" applyProtection="1">
      <alignment horizontal="left" vertical="center"/>
    </xf>
    <xf numFmtId="0" fontId="4" fillId="2" borderId="0" xfId="0" applyFont="1" applyFill="1" applyAlignment="1" applyProtection="1">
      <alignment horizontal="left" vertical="center"/>
      <protection locked="0"/>
    </xf>
    <xf numFmtId="37" fontId="4" fillId="3" borderId="0" xfId="0" applyNumberFormat="1" applyFont="1" applyFill="1" applyBorder="1" applyAlignment="1" applyProtection="1">
      <alignment horizontal="fill" vertical="center"/>
    </xf>
    <xf numFmtId="3" fontId="15" fillId="7" borderId="7" xfId="0" applyNumberFormat="1" applyFont="1" applyFill="1" applyBorder="1" applyAlignment="1" applyProtection="1">
      <alignment horizontal="center" vertical="center"/>
    </xf>
    <xf numFmtId="37" fontId="3" fillId="3" borderId="0" xfId="0" applyNumberFormat="1" applyFont="1" applyFill="1" applyAlignment="1" applyProtection="1">
      <alignment horizontal="left" vertical="center"/>
    </xf>
    <xf numFmtId="1" fontId="4" fillId="3" borderId="2" xfId="0" applyNumberFormat="1" applyFont="1" applyFill="1" applyBorder="1" applyAlignment="1" applyProtection="1">
      <alignment horizontal="center" vertical="center"/>
    </xf>
    <xf numFmtId="1" fontId="4" fillId="3" borderId="0" xfId="0" applyNumberFormat="1" applyFont="1" applyFill="1" applyBorder="1" applyAlignment="1" applyProtection="1">
      <alignment horizontal="center" vertical="center"/>
    </xf>
    <xf numFmtId="37" fontId="4" fillId="3" borderId="1" xfId="0" applyNumberFormat="1" applyFont="1" applyFill="1" applyBorder="1" applyAlignment="1" applyProtection="1">
      <alignment horizontal="left" vertical="center"/>
    </xf>
    <xf numFmtId="37" fontId="4" fillId="3" borderId="7" xfId="0" applyNumberFormat="1" applyFont="1" applyFill="1" applyBorder="1" applyAlignment="1" applyProtection="1">
      <alignment horizontal="left" vertical="center"/>
    </xf>
    <xf numFmtId="0" fontId="4" fillId="3" borderId="7" xfId="0" applyFont="1" applyFill="1" applyBorder="1" applyAlignment="1" applyProtection="1">
      <alignment vertical="center"/>
    </xf>
    <xf numFmtId="0" fontId="15" fillId="3" borderId="0" xfId="0" applyFont="1" applyFill="1" applyAlignment="1" applyProtection="1">
      <alignment vertical="center"/>
    </xf>
    <xf numFmtId="37" fontId="4" fillId="3" borderId="7" xfId="0" applyNumberFormat="1" applyFont="1" applyFill="1" applyBorder="1" applyAlignment="1" applyProtection="1">
      <alignment horizontal="left" vertical="center"/>
      <protection locked="0"/>
    </xf>
    <xf numFmtId="37" fontId="4" fillId="4" borderId="7" xfId="0" applyNumberFormat="1" applyFont="1" applyFill="1" applyBorder="1" applyAlignment="1" applyProtection="1">
      <alignment horizontal="left" vertical="center"/>
      <protection locked="0"/>
    </xf>
    <xf numFmtId="37" fontId="3" fillId="3" borderId="7" xfId="0" applyNumberFormat="1" applyFont="1" applyFill="1" applyBorder="1" applyAlignment="1" applyProtection="1">
      <alignment horizontal="left" vertical="center"/>
    </xf>
    <xf numFmtId="37" fontId="4" fillId="3" borderId="0" xfId="0" quotePrefix="1" applyNumberFormat="1" applyFont="1" applyFill="1" applyBorder="1" applyAlignment="1" applyProtection="1">
      <alignment horizontal="right" vertical="center"/>
    </xf>
    <xf numFmtId="37" fontId="4" fillId="3" borderId="1" xfId="0" applyNumberFormat="1" applyFont="1" applyFill="1" applyBorder="1" applyAlignment="1" applyProtection="1">
      <alignment vertical="center"/>
    </xf>
    <xf numFmtId="0" fontId="4" fillId="0" borderId="0" xfId="0" applyFont="1" applyAlignment="1">
      <alignment vertical="center"/>
    </xf>
    <xf numFmtId="0" fontId="4" fillId="4" borderId="0" xfId="0" applyFont="1" applyFill="1" applyAlignment="1" applyProtection="1">
      <alignment horizontal="left" vertical="center"/>
      <protection locked="0"/>
    </xf>
    <xf numFmtId="1" fontId="4" fillId="3" borderId="0" xfId="0" applyNumberFormat="1" applyFont="1" applyFill="1" applyAlignment="1" applyProtection="1">
      <alignment horizontal="right" vertical="center"/>
    </xf>
    <xf numFmtId="0" fontId="4" fillId="3" borderId="5" xfId="0" applyFont="1" applyFill="1" applyBorder="1" applyAlignment="1" applyProtection="1">
      <alignment horizontal="left" vertical="center"/>
    </xf>
    <xf numFmtId="0" fontId="4" fillId="3" borderId="8" xfId="0" applyFont="1" applyFill="1" applyBorder="1" applyAlignment="1" applyProtection="1">
      <alignment horizontal="left" vertical="center"/>
    </xf>
    <xf numFmtId="37" fontId="4" fillId="3" borderId="7" xfId="0" applyNumberFormat="1" applyFont="1" applyFill="1" applyBorder="1" applyAlignment="1" applyProtection="1">
      <alignment vertical="center"/>
    </xf>
    <xf numFmtId="0" fontId="4" fillId="4" borderId="5" xfId="0" applyFont="1" applyFill="1" applyBorder="1" applyAlignment="1" applyProtection="1">
      <alignment horizontal="left" vertical="center"/>
      <protection locked="0"/>
    </xf>
    <xf numFmtId="3" fontId="49" fillId="3" borderId="0" xfId="0" applyNumberFormat="1" applyFont="1" applyFill="1" applyAlignment="1" applyProtection="1">
      <alignment horizontal="center" vertical="center"/>
    </xf>
    <xf numFmtId="37" fontId="4" fillId="3" borderId="0" xfId="0" applyNumberFormat="1" applyFont="1" applyFill="1" applyAlignment="1">
      <alignment vertical="center"/>
    </xf>
    <xf numFmtId="0" fontId="4" fillId="3" borderId="0" xfId="0" applyFont="1" applyFill="1" applyAlignment="1">
      <alignment horizontal="center" vertical="center"/>
    </xf>
    <xf numFmtId="0" fontId="4" fillId="3" borderId="0" xfId="0" applyFont="1" applyFill="1" applyAlignment="1">
      <alignment vertical="center"/>
    </xf>
    <xf numFmtId="0" fontId="3" fillId="3" borderId="0" xfId="0" applyFont="1" applyFill="1" applyAlignment="1">
      <alignment horizontal="center" vertical="center"/>
    </xf>
    <xf numFmtId="0" fontId="21" fillId="3" borderId="0" xfId="0" applyFont="1" applyFill="1" applyAlignment="1">
      <alignment horizontal="center" vertical="center"/>
    </xf>
    <xf numFmtId="0" fontId="4" fillId="3" borderId="6" xfId="0" applyFont="1" applyFill="1" applyBorder="1" applyAlignment="1">
      <alignment vertical="center"/>
    </xf>
    <xf numFmtId="0" fontId="4" fillId="3" borderId="1" xfId="0" applyFont="1" applyFill="1" applyBorder="1" applyAlignment="1">
      <alignment vertical="center"/>
    </xf>
    <xf numFmtId="0" fontId="22" fillId="3" borderId="2" xfId="0" applyFont="1" applyFill="1" applyBorder="1" applyAlignment="1">
      <alignment vertical="center"/>
    </xf>
    <xf numFmtId="0" fontId="22" fillId="3" borderId="6" xfId="0" applyFont="1" applyFill="1" applyBorder="1" applyAlignment="1">
      <alignment horizontal="center" vertical="center"/>
    </xf>
    <xf numFmtId="0" fontId="22" fillId="3" borderId="9" xfId="0" applyFont="1" applyFill="1" applyBorder="1" applyAlignment="1">
      <alignment vertical="center"/>
    </xf>
    <xf numFmtId="0" fontId="22" fillId="3" borderId="7"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22" fillId="3" borderId="8" xfId="0" applyFont="1" applyFill="1" applyBorder="1" applyAlignment="1">
      <alignment vertical="center"/>
    </xf>
    <xf numFmtId="3" fontId="22" fillId="2" borderId="7" xfId="0" applyNumberFormat="1" applyFont="1" applyFill="1" applyBorder="1" applyAlignment="1" applyProtection="1">
      <alignment horizontal="center" vertical="center"/>
      <protection locked="0"/>
    </xf>
    <xf numFmtId="0" fontId="22" fillId="3" borderId="1" xfId="0" applyFont="1" applyFill="1" applyBorder="1" applyAlignment="1">
      <alignment vertical="center"/>
    </xf>
    <xf numFmtId="3" fontId="22" fillId="6" borderId="7" xfId="0" applyNumberFormat="1" applyFont="1" applyFill="1" applyBorder="1" applyAlignment="1">
      <alignment horizontal="center" vertical="center"/>
    </xf>
    <xf numFmtId="0" fontId="22" fillId="3" borderId="0" xfId="0" applyFont="1" applyFill="1" applyAlignment="1">
      <alignment vertical="center"/>
    </xf>
    <xf numFmtId="3" fontId="22" fillId="3" borderId="0" xfId="0" applyNumberFormat="1" applyFont="1" applyFill="1" applyAlignment="1">
      <alignment horizontal="center" vertical="center"/>
    </xf>
    <xf numFmtId="0" fontId="22" fillId="3" borderId="0" xfId="0" applyFont="1" applyFill="1" applyAlignment="1">
      <alignment horizontal="center" vertical="center"/>
    </xf>
    <xf numFmtId="0" fontId="22" fillId="2" borderId="7" xfId="0" applyFont="1" applyFill="1" applyBorder="1" applyAlignment="1" applyProtection="1">
      <alignment vertical="center"/>
      <protection locked="0"/>
    </xf>
    <xf numFmtId="0" fontId="22" fillId="2" borderId="9" xfId="0" applyFont="1" applyFill="1" applyBorder="1" applyAlignment="1" applyProtection="1">
      <alignment vertical="center"/>
      <protection locked="0"/>
    </xf>
    <xf numFmtId="3" fontId="22" fillId="2" borderId="9" xfId="0" applyNumberFormat="1" applyFont="1" applyFill="1" applyBorder="1" applyAlignment="1" applyProtection="1">
      <alignment horizontal="center" vertical="center"/>
      <protection locked="0"/>
    </xf>
    <xf numFmtId="0" fontId="22" fillId="2" borderId="0" xfId="0" applyFont="1" applyFill="1" applyAlignment="1" applyProtection="1">
      <alignment vertical="center"/>
      <protection locked="0"/>
    </xf>
    <xf numFmtId="3" fontId="22" fillId="2" borderId="3" xfId="0" applyNumberFormat="1" applyFont="1" applyFill="1" applyBorder="1" applyAlignment="1" applyProtection="1">
      <alignment horizontal="center" vertical="center"/>
      <protection locked="0"/>
    </xf>
    <xf numFmtId="3" fontId="22" fillId="2" borderId="6" xfId="0" applyNumberFormat="1" applyFont="1" applyFill="1" applyBorder="1" applyAlignment="1" applyProtection="1">
      <alignment horizontal="center" vertical="center"/>
      <protection locked="0"/>
    </xf>
    <xf numFmtId="0" fontId="22" fillId="2" borderId="6" xfId="0" applyFont="1" applyFill="1" applyBorder="1" applyAlignment="1" applyProtection="1">
      <alignment vertical="center"/>
      <protection locked="0"/>
    </xf>
    <xf numFmtId="0" fontId="22" fillId="2" borderId="4" xfId="0" applyFont="1" applyFill="1" applyBorder="1" applyAlignment="1" applyProtection="1">
      <alignment vertical="center"/>
      <protection locked="0"/>
    </xf>
    <xf numFmtId="3" fontId="22" fillId="2" borderId="10" xfId="0" applyNumberFormat="1" applyFont="1" applyFill="1" applyBorder="1" applyAlignment="1" applyProtection="1">
      <alignment horizontal="center" vertical="center"/>
      <protection locked="0"/>
    </xf>
    <xf numFmtId="0" fontId="22" fillId="2" borderId="10" xfId="0" applyFont="1" applyFill="1" applyBorder="1" applyAlignment="1" applyProtection="1">
      <alignment vertical="center"/>
      <protection locked="0"/>
    </xf>
    <xf numFmtId="3" fontId="22" fillId="6" borderId="4" xfId="0" applyNumberFormat="1" applyFont="1" applyFill="1" applyBorder="1" applyAlignment="1">
      <alignment horizontal="center" vertical="center"/>
    </xf>
    <xf numFmtId="3" fontId="22" fillId="5" borderId="7" xfId="0" applyNumberFormat="1" applyFont="1" applyFill="1" applyBorder="1" applyAlignment="1">
      <alignment horizontal="center" vertical="center"/>
    </xf>
    <xf numFmtId="3" fontId="4" fillId="3" borderId="0" xfId="0" applyNumberFormat="1" applyFont="1" applyFill="1" applyAlignment="1">
      <alignment vertical="center"/>
    </xf>
    <xf numFmtId="0" fontId="4" fillId="8" borderId="0" xfId="0" applyFont="1" applyFill="1" applyAlignment="1">
      <alignment vertical="center"/>
    </xf>
    <xf numFmtId="0" fontId="4" fillId="3" borderId="0" xfId="0" applyFont="1" applyFill="1" applyAlignment="1">
      <alignment horizontal="right" vertical="center"/>
    </xf>
    <xf numFmtId="3" fontId="4" fillId="0" borderId="0" xfId="0" applyNumberFormat="1" applyFont="1" applyAlignment="1">
      <alignment vertical="center"/>
    </xf>
    <xf numFmtId="3" fontId="26" fillId="5" borderId="0" xfId="0" applyNumberFormat="1" applyFont="1" applyFill="1" applyAlignment="1">
      <alignment horizontal="center" vertical="center"/>
    </xf>
    <xf numFmtId="0" fontId="3" fillId="3" borderId="0" xfId="0" applyFont="1" applyFill="1" applyAlignment="1" applyProtection="1">
      <alignment horizontal="center" vertical="center"/>
    </xf>
    <xf numFmtId="0" fontId="4" fillId="3" borderId="2" xfId="0" applyFont="1" applyFill="1" applyBorder="1" applyAlignment="1" applyProtection="1">
      <alignment horizontal="center" vertical="center" wrapText="1"/>
    </xf>
    <xf numFmtId="0" fontId="4" fillId="3" borderId="9" xfId="0" applyFont="1" applyFill="1" applyBorder="1" applyAlignment="1" applyProtection="1">
      <alignment horizontal="center" vertical="center" wrapText="1"/>
    </xf>
    <xf numFmtId="0" fontId="4" fillId="3" borderId="7" xfId="0" applyFont="1" applyFill="1" applyBorder="1" applyAlignment="1" applyProtection="1">
      <alignment horizontal="center" vertical="center" wrapText="1"/>
    </xf>
    <xf numFmtId="0" fontId="4" fillId="3" borderId="0" xfId="0" applyFont="1" applyFill="1" applyAlignment="1" applyProtection="1">
      <alignment vertical="center"/>
      <protection locked="0"/>
    </xf>
    <xf numFmtId="3" fontId="4" fillId="2" borderId="7" xfId="0" applyNumberFormat="1" applyFont="1" applyFill="1" applyBorder="1" applyAlignment="1" applyProtection="1">
      <alignment horizontal="center" vertical="center"/>
      <protection locked="0"/>
    </xf>
    <xf numFmtId="174" fontId="4" fillId="3" borderId="7" xfId="0" applyNumberFormat="1" applyFont="1" applyFill="1" applyBorder="1" applyAlignment="1" applyProtection="1">
      <alignment horizontal="center" vertical="center"/>
    </xf>
    <xf numFmtId="3" fontId="4" fillId="3" borderId="7" xfId="0" applyNumberFormat="1" applyFont="1" applyFill="1" applyBorder="1" applyAlignment="1" applyProtection="1">
      <alignment horizontal="center" vertical="center"/>
    </xf>
    <xf numFmtId="3" fontId="4" fillId="2" borderId="2" xfId="0" applyNumberFormat="1" applyFont="1" applyFill="1" applyBorder="1" applyAlignment="1" applyProtection="1">
      <alignment horizontal="center" vertical="center"/>
      <protection locked="0"/>
    </xf>
    <xf numFmtId="3" fontId="4" fillId="3" borderId="11" xfId="0" applyNumberFormat="1" applyFont="1" applyFill="1" applyBorder="1" applyAlignment="1" applyProtection="1">
      <alignment horizontal="center" vertical="center"/>
    </xf>
    <xf numFmtId="174" fontId="4" fillId="3" borderId="11" xfId="0" applyNumberFormat="1" applyFont="1" applyFill="1" applyBorder="1" applyAlignment="1" applyProtection="1">
      <alignment horizontal="center" vertical="center"/>
    </xf>
    <xf numFmtId="3" fontId="4" fillId="3" borderId="1" xfId="0" applyNumberFormat="1" applyFont="1" applyFill="1" applyBorder="1" applyAlignment="1" applyProtection="1">
      <alignment horizontal="center" vertical="center"/>
    </xf>
    <xf numFmtId="174" fontId="4" fillId="3" borderId="1" xfId="0" applyNumberFormat="1" applyFont="1" applyFill="1" applyBorder="1" applyAlignment="1" applyProtection="1">
      <alignment horizontal="center" vertical="center"/>
    </xf>
    <xf numFmtId="174" fontId="4" fillId="3" borderId="0" xfId="0" applyNumberFormat="1" applyFont="1" applyFill="1" applyBorder="1" applyAlignment="1" applyProtection="1">
      <alignment horizontal="center" vertical="center"/>
    </xf>
    <xf numFmtId="3" fontId="4" fillId="3" borderId="1" xfId="0" applyNumberFormat="1" applyFont="1" applyFill="1" applyBorder="1" applyAlignment="1">
      <alignment horizontal="center" vertical="center"/>
    </xf>
    <xf numFmtId="0" fontId="0" fillId="3" borderId="0" xfId="0" applyFill="1" applyAlignment="1">
      <alignment vertical="center"/>
    </xf>
    <xf numFmtId="0" fontId="0" fillId="3" borderId="0" xfId="0" applyFill="1" applyAlignment="1">
      <alignment horizontal="center" vertical="center"/>
    </xf>
    <xf numFmtId="174" fontId="4" fillId="3" borderId="1" xfId="0" applyNumberFormat="1" applyFont="1" applyFill="1" applyBorder="1" applyAlignment="1">
      <alignment horizontal="center" vertical="center"/>
    </xf>
    <xf numFmtId="172" fontId="4" fillId="3" borderId="0" xfId="0" applyNumberFormat="1" applyFont="1" applyFill="1" applyBorder="1" applyAlignment="1" applyProtection="1">
      <alignment vertical="center"/>
    </xf>
    <xf numFmtId="37" fontId="3" fillId="3" borderId="0" xfId="0" applyNumberFormat="1" applyFont="1" applyFill="1" applyAlignment="1" applyProtection="1">
      <alignment horizontal="centerContinuous" vertical="center"/>
    </xf>
    <xf numFmtId="0" fontId="4" fillId="3" borderId="0" xfId="0" applyFont="1" applyFill="1" applyAlignment="1" applyProtection="1">
      <alignment horizontal="centerContinuous" vertical="center"/>
    </xf>
    <xf numFmtId="37" fontId="5" fillId="3" borderId="0" xfId="0" applyNumberFormat="1" applyFont="1" applyFill="1" applyAlignment="1" applyProtection="1">
      <alignment horizontal="center" vertical="center"/>
    </xf>
    <xf numFmtId="37" fontId="4" fillId="3" borderId="0" xfId="0" applyNumberFormat="1" applyFont="1" applyFill="1" applyAlignment="1" applyProtection="1">
      <alignment horizontal="centerContinuous" vertical="center"/>
    </xf>
    <xf numFmtId="0" fontId="3" fillId="3" borderId="0" xfId="0" applyFont="1" applyFill="1" applyAlignment="1" applyProtection="1">
      <alignment horizontal="centerContinuous" vertical="center"/>
    </xf>
    <xf numFmtId="0" fontId="4" fillId="0" borderId="0" xfId="0" applyFont="1" applyBorder="1" applyAlignment="1" applyProtection="1">
      <alignment vertical="center"/>
      <protection locked="0"/>
    </xf>
    <xf numFmtId="1" fontId="4" fillId="3" borderId="5" xfId="0" applyNumberFormat="1" applyFont="1" applyFill="1" applyBorder="1" applyAlignment="1" applyProtection="1">
      <alignment horizontal="centerContinuous" vertical="center"/>
    </xf>
    <xf numFmtId="1" fontId="4" fillId="3" borderId="6" xfId="0" applyNumberFormat="1" applyFont="1" applyFill="1" applyBorder="1" applyAlignment="1" applyProtection="1">
      <alignment horizontal="centerContinuous" vertical="center"/>
    </xf>
    <xf numFmtId="0" fontId="4" fillId="3" borderId="6" xfId="0" applyFont="1" applyFill="1" applyBorder="1" applyAlignment="1" applyProtection="1">
      <alignment horizontal="centerContinuous" vertical="center"/>
    </xf>
    <xf numFmtId="37" fontId="4" fillId="3" borderId="5" xfId="0" applyNumberFormat="1" applyFont="1" applyFill="1" applyBorder="1" applyAlignment="1" applyProtection="1">
      <alignment horizontal="centerContinuous" vertical="center"/>
    </xf>
    <xf numFmtId="0" fontId="4" fillId="3" borderId="12" xfId="0" applyFont="1" applyFill="1" applyBorder="1" applyAlignment="1" applyProtection="1">
      <alignment horizontal="centerContinuous" vertical="center"/>
    </xf>
    <xf numFmtId="0" fontId="4" fillId="3" borderId="2" xfId="0" applyFont="1" applyFill="1" applyBorder="1" applyAlignment="1" applyProtection="1">
      <alignment vertical="center"/>
    </xf>
    <xf numFmtId="37" fontId="4" fillId="3" borderId="13" xfId="0" applyNumberFormat="1" applyFont="1" applyFill="1" applyBorder="1" applyAlignment="1" applyProtection="1">
      <alignment horizontal="center" vertical="center"/>
    </xf>
    <xf numFmtId="165" fontId="4" fillId="3" borderId="7" xfId="0" applyNumberFormat="1" applyFont="1" applyFill="1" applyBorder="1" applyAlignment="1" applyProtection="1">
      <alignment vertical="center"/>
    </xf>
    <xf numFmtId="37" fontId="4" fillId="6" borderId="7" xfId="0" applyNumberFormat="1" applyFont="1" applyFill="1" applyBorder="1" applyAlignment="1" applyProtection="1">
      <alignment vertical="center"/>
    </xf>
    <xf numFmtId="37" fontId="4" fillId="3" borderId="7" xfId="0" applyNumberFormat="1" applyFont="1" applyFill="1" applyBorder="1" applyAlignment="1" applyProtection="1">
      <alignment horizontal="fill" vertical="center"/>
    </xf>
    <xf numFmtId="1" fontId="4" fillId="3" borderId="1" xfId="0" applyNumberFormat="1" applyFont="1" applyFill="1" applyBorder="1" applyAlignment="1" applyProtection="1">
      <alignment horizontal="center" vertical="center"/>
    </xf>
    <xf numFmtId="37" fontId="4" fillId="3" borderId="7" xfId="0" applyNumberFormat="1" applyFont="1" applyFill="1" applyBorder="1" applyAlignment="1" applyProtection="1">
      <alignment horizontal="center" vertical="center"/>
    </xf>
    <xf numFmtId="37" fontId="4" fillId="6" borderId="11" xfId="0" applyNumberFormat="1" applyFont="1" applyFill="1" applyBorder="1" applyAlignment="1" applyProtection="1">
      <alignment horizontal="center" vertical="center"/>
    </xf>
    <xf numFmtId="0" fontId="25" fillId="0" borderId="0" xfId="0" applyFont="1" applyAlignment="1">
      <alignment horizontal="center" vertical="center"/>
    </xf>
    <xf numFmtId="0" fontId="3" fillId="0" borderId="0" xfId="0" applyFont="1" applyAlignment="1">
      <alignment vertical="center" wrapText="1"/>
    </xf>
    <xf numFmtId="0" fontId="50" fillId="0" borderId="0" xfId="0" applyFont="1" applyAlignment="1">
      <alignment vertical="center"/>
    </xf>
    <xf numFmtId="37" fontId="4" fillId="3" borderId="0" xfId="415" applyNumberFormat="1" applyFont="1" applyFill="1" applyAlignment="1" applyProtection="1">
      <alignment vertical="center"/>
    </xf>
    <xf numFmtId="0" fontId="4" fillId="3" borderId="0" xfId="415" applyFont="1" applyFill="1" applyAlignment="1" applyProtection="1">
      <alignment vertical="center"/>
    </xf>
    <xf numFmtId="0" fontId="4" fillId="0" borderId="0" xfId="415" applyFont="1" applyAlignment="1" applyProtection="1">
      <alignment vertical="center"/>
      <protection locked="0"/>
    </xf>
    <xf numFmtId="0" fontId="3" fillId="3" borderId="0" xfId="416" applyFont="1" applyFill="1" applyAlignment="1" applyProtection="1">
      <alignment horizontal="centerContinuous" vertical="center"/>
    </xf>
    <xf numFmtId="0" fontId="4" fillId="3" borderId="0" xfId="415" applyFont="1" applyFill="1" applyAlignment="1" applyProtection="1">
      <alignment horizontal="centerContinuous" vertical="center"/>
    </xf>
    <xf numFmtId="0" fontId="4" fillId="3" borderId="2" xfId="0" applyFont="1" applyFill="1" applyBorder="1" applyAlignment="1" applyProtection="1">
      <alignment horizontal="center" vertical="center"/>
    </xf>
    <xf numFmtId="0" fontId="4" fillId="3" borderId="14" xfId="0" applyFont="1" applyFill="1" applyBorder="1" applyAlignment="1" applyProtection="1">
      <alignment horizontal="centerContinuous" vertical="center"/>
    </xf>
    <xf numFmtId="0" fontId="4" fillId="3" borderId="9" xfId="0" applyFont="1" applyFill="1" applyBorder="1" applyAlignment="1" applyProtection="1">
      <alignment horizontal="centerContinuous" vertical="center"/>
    </xf>
    <xf numFmtId="0" fontId="4" fillId="3" borderId="13" xfId="0" applyFont="1" applyFill="1" applyBorder="1" applyAlignment="1" applyProtection="1">
      <alignment horizontal="center" vertical="center"/>
    </xf>
    <xf numFmtId="0" fontId="4" fillId="3" borderId="8" xfId="0" applyFont="1" applyFill="1" applyBorder="1" applyAlignment="1" applyProtection="1">
      <alignment horizontal="centerContinuous" vertical="center"/>
    </xf>
    <xf numFmtId="0" fontId="4" fillId="3" borderId="3" xfId="0" applyFont="1" applyFill="1" applyBorder="1" applyAlignment="1" applyProtection="1">
      <alignment horizontal="centerContinuous" vertical="center"/>
    </xf>
    <xf numFmtId="0" fontId="4" fillId="3" borderId="4" xfId="0" applyFont="1" applyFill="1" applyBorder="1" applyAlignment="1" applyProtection="1">
      <alignment horizontal="center" vertical="center"/>
    </xf>
    <xf numFmtId="14" fontId="4" fillId="3" borderId="4" xfId="0" quotePrefix="1" applyNumberFormat="1"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7" xfId="0" applyFont="1" applyFill="1" applyBorder="1" applyAlignment="1" applyProtection="1">
      <alignment horizontal="left" vertical="center"/>
    </xf>
    <xf numFmtId="168" fontId="4" fillId="3" borderId="7" xfId="0" applyNumberFormat="1" applyFont="1" applyFill="1" applyBorder="1" applyAlignment="1" applyProtection="1">
      <alignment horizontal="left" vertical="center"/>
    </xf>
    <xf numFmtId="169" fontId="4" fillId="3" borderId="7" xfId="0" applyNumberFormat="1" applyFont="1" applyFill="1" applyBorder="1" applyAlignment="1" applyProtection="1">
      <alignment horizontal="left" vertical="center"/>
    </xf>
    <xf numFmtId="0" fontId="4" fillId="3" borderId="7" xfId="0" applyFont="1" applyFill="1" applyBorder="1" applyAlignment="1" applyProtection="1">
      <alignment horizontal="left" vertical="center"/>
      <protection locked="0"/>
    </xf>
    <xf numFmtId="0" fontId="4" fillId="4" borderId="7" xfId="0" applyFont="1" applyFill="1" applyBorder="1" applyAlignment="1" applyProtection="1">
      <alignment vertical="center"/>
      <protection locked="0"/>
    </xf>
    <xf numFmtId="168" fontId="4" fillId="4" borderId="7" xfId="0" applyNumberFormat="1" applyFont="1" applyFill="1" applyBorder="1" applyAlignment="1" applyProtection="1">
      <alignment vertical="center"/>
      <protection locked="0"/>
    </xf>
    <xf numFmtId="2" fontId="4" fillId="4" borderId="7" xfId="0" applyNumberFormat="1" applyFont="1" applyFill="1" applyBorder="1" applyAlignment="1" applyProtection="1">
      <alignment vertical="center"/>
      <protection locked="0"/>
    </xf>
    <xf numFmtId="37" fontId="4" fillId="4" borderId="7" xfId="0" applyNumberFormat="1" applyFont="1" applyFill="1" applyBorder="1" applyAlignment="1" applyProtection="1">
      <alignment vertical="center"/>
      <protection locked="0"/>
    </xf>
    <xf numFmtId="169" fontId="4" fillId="4" borderId="7" xfId="0" applyNumberFormat="1" applyFont="1" applyFill="1" applyBorder="1" applyAlignment="1" applyProtection="1">
      <alignment vertical="center"/>
      <protection locked="0"/>
    </xf>
    <xf numFmtId="168" fontId="4" fillId="3" borderId="7" xfId="0" applyNumberFormat="1" applyFont="1" applyFill="1" applyBorder="1" applyAlignment="1" applyProtection="1">
      <alignment vertical="center"/>
    </xf>
    <xf numFmtId="2" fontId="4" fillId="3" borderId="7" xfId="0" applyNumberFormat="1" applyFont="1" applyFill="1" applyBorder="1" applyAlignment="1" applyProtection="1">
      <alignment vertical="center"/>
    </xf>
    <xf numFmtId="169" fontId="4" fillId="3" borderId="7" xfId="0" applyNumberFormat="1" applyFont="1" applyFill="1" applyBorder="1" applyAlignment="1" applyProtection="1">
      <alignment vertical="center"/>
    </xf>
    <xf numFmtId="0" fontId="3" fillId="3" borderId="7" xfId="415" applyFont="1" applyFill="1" applyBorder="1" applyAlignment="1" applyProtection="1">
      <alignment horizontal="left" vertical="center"/>
    </xf>
    <xf numFmtId="0" fontId="3" fillId="3" borderId="15" xfId="415" applyFont="1" applyFill="1" applyBorder="1" applyAlignment="1" applyProtection="1">
      <alignment vertical="center"/>
    </xf>
    <xf numFmtId="37" fontId="3" fillId="6" borderId="7" xfId="415" applyNumberFormat="1" applyFont="1" applyFill="1" applyBorder="1" applyAlignment="1" applyProtection="1">
      <alignment vertical="center"/>
    </xf>
    <xf numFmtId="0" fontId="4" fillId="3" borderId="0" xfId="416" applyFont="1" applyFill="1" applyAlignment="1" applyProtection="1">
      <alignment horizontal="centerContinuous" vertical="center"/>
    </xf>
    <xf numFmtId="0" fontId="4" fillId="3" borderId="0" xfId="416" applyFont="1" applyFill="1" applyAlignment="1" applyProtection="1">
      <alignment vertical="center"/>
    </xf>
    <xf numFmtId="0" fontId="4" fillId="0" borderId="0" xfId="416" applyFont="1" applyAlignment="1">
      <alignment vertical="center"/>
    </xf>
    <xf numFmtId="0" fontId="4" fillId="3" borderId="1" xfId="0" applyFont="1" applyFill="1" applyBorder="1" applyAlignment="1" applyProtection="1">
      <alignment horizontal="fill" vertical="center"/>
    </xf>
    <xf numFmtId="0" fontId="4" fillId="3" borderId="0" xfId="0" applyFont="1" applyFill="1" applyBorder="1" applyAlignment="1" applyProtection="1">
      <alignment horizontal="fill" vertical="center"/>
    </xf>
    <xf numFmtId="0" fontId="4" fillId="3" borderId="16" xfId="416" applyFont="1" applyFill="1" applyBorder="1" applyAlignment="1" applyProtection="1">
      <alignment vertical="center"/>
    </xf>
    <xf numFmtId="0" fontId="4" fillId="3" borderId="0" xfId="416" applyFont="1" applyFill="1" applyBorder="1" applyAlignment="1" applyProtection="1">
      <alignment vertical="center"/>
    </xf>
    <xf numFmtId="0" fontId="4" fillId="3" borderId="13" xfId="0" applyFont="1" applyFill="1" applyBorder="1" applyAlignment="1" applyProtection="1">
      <alignment vertical="center"/>
    </xf>
    <xf numFmtId="0" fontId="7" fillId="3" borderId="4" xfId="0" applyFont="1" applyFill="1" applyBorder="1" applyAlignment="1" applyProtection="1">
      <alignment horizontal="center" vertical="center"/>
    </xf>
    <xf numFmtId="1" fontId="4" fillId="4" borderId="7" xfId="0" applyNumberFormat="1" applyFont="1" applyFill="1" applyBorder="1" applyAlignment="1" applyProtection="1">
      <alignment vertical="center"/>
      <protection locked="0"/>
    </xf>
    <xf numFmtId="3" fontId="3" fillId="3" borderId="15" xfId="415" applyNumberFormat="1" applyFont="1" applyFill="1" applyBorder="1" applyAlignment="1" applyProtection="1">
      <alignment vertical="center"/>
    </xf>
    <xf numFmtId="0" fontId="0" fillId="3" borderId="0" xfId="0" applyFill="1" applyAlignment="1" applyProtection="1">
      <alignment vertical="center"/>
    </xf>
    <xf numFmtId="0" fontId="4" fillId="8" borderId="0" xfId="415" applyFont="1" applyFill="1" applyAlignment="1" applyProtection="1">
      <alignment vertical="center"/>
    </xf>
    <xf numFmtId="0" fontId="0" fillId="0" borderId="0" xfId="0" applyAlignment="1" applyProtection="1">
      <alignment vertical="center"/>
      <protection locked="0"/>
    </xf>
    <xf numFmtId="0" fontId="7" fillId="0" borderId="0" xfId="0" applyFont="1" applyAlignment="1">
      <alignment vertical="center"/>
    </xf>
    <xf numFmtId="0" fontId="13" fillId="0" borderId="0" xfId="0" applyFont="1" applyAlignment="1">
      <alignment vertical="center" wrapText="1"/>
    </xf>
    <xf numFmtId="0" fontId="51" fillId="0" borderId="0" xfId="0" applyFont="1" applyAlignment="1">
      <alignment vertical="center"/>
    </xf>
    <xf numFmtId="0" fontId="27" fillId="0" borderId="0" xfId="0" applyFont="1" applyAlignment="1">
      <alignment horizontal="center" vertical="center"/>
    </xf>
    <xf numFmtId="0" fontId="3" fillId="3" borderId="1" xfId="0" applyFont="1" applyFill="1" applyBorder="1" applyAlignment="1" applyProtection="1">
      <alignment horizontal="center" vertical="center"/>
    </xf>
    <xf numFmtId="0" fontId="3" fillId="3" borderId="2" xfId="0" applyFont="1" applyFill="1" applyBorder="1" applyAlignment="1" applyProtection="1">
      <alignment horizontal="center" vertical="center"/>
    </xf>
    <xf numFmtId="0" fontId="3" fillId="3" borderId="9" xfId="0" applyFont="1" applyFill="1" applyBorder="1" applyAlignment="1" applyProtection="1">
      <alignment horizontal="center" vertical="center"/>
    </xf>
    <xf numFmtId="0" fontId="3" fillId="3" borderId="13" xfId="0" applyFont="1" applyFill="1" applyBorder="1" applyAlignment="1" applyProtection="1">
      <alignment horizontal="center" vertical="center"/>
    </xf>
    <xf numFmtId="0" fontId="3" fillId="3" borderId="10" xfId="0" applyFont="1" applyFill="1" applyBorder="1" applyAlignment="1" applyProtection="1">
      <alignment horizontal="center" vertical="center"/>
    </xf>
    <xf numFmtId="0" fontId="3" fillId="3" borderId="17" xfId="0" applyFont="1" applyFill="1" applyBorder="1" applyAlignment="1" applyProtection="1">
      <alignment horizontal="center" vertical="center"/>
    </xf>
    <xf numFmtId="0" fontId="3" fillId="3" borderId="18" xfId="0" applyFont="1" applyFill="1" applyBorder="1" applyAlignment="1" applyProtection="1">
      <alignment horizontal="center" vertical="center"/>
    </xf>
    <xf numFmtId="0" fontId="4" fillId="0" borderId="0" xfId="0" applyFont="1" applyAlignment="1" applyProtection="1">
      <alignment horizontal="center" vertical="center"/>
      <protection locked="0"/>
    </xf>
    <xf numFmtId="0" fontId="4" fillId="2" borderId="4" xfId="0" applyFont="1" applyFill="1" applyBorder="1" applyAlignment="1" applyProtection="1">
      <alignment vertical="center"/>
      <protection locked="0"/>
    </xf>
    <xf numFmtId="173" fontId="4" fillId="2" borderId="4" xfId="1" applyNumberFormat="1" applyFont="1" applyFill="1" applyBorder="1" applyAlignment="1" applyProtection="1">
      <alignment vertical="center"/>
      <protection locked="0"/>
    </xf>
    <xf numFmtId="173" fontId="4" fillId="3" borderId="7" xfId="1" applyNumberFormat="1" applyFont="1" applyFill="1" applyBorder="1" applyAlignment="1" applyProtection="1">
      <alignment vertical="center"/>
    </xf>
    <xf numFmtId="0" fontId="4" fillId="2" borderId="7" xfId="0" applyFont="1" applyFill="1" applyBorder="1" applyAlignment="1" applyProtection="1">
      <alignment vertical="center"/>
      <protection locked="0"/>
    </xf>
    <xf numFmtId="173" fontId="4" fillId="2" borderId="7" xfId="1" applyNumberFormat="1" applyFont="1" applyFill="1" applyBorder="1" applyAlignment="1" applyProtection="1">
      <alignment vertical="center"/>
      <protection locked="0"/>
    </xf>
    <xf numFmtId="0" fontId="5" fillId="2" borderId="7" xfId="0" applyFont="1" applyFill="1" applyBorder="1" applyAlignment="1" applyProtection="1">
      <alignment vertical="center"/>
      <protection locked="0"/>
    </xf>
    <xf numFmtId="0" fontId="4" fillId="3" borderId="7" xfId="0" applyFont="1" applyFill="1" applyBorder="1" applyAlignment="1" applyProtection="1">
      <alignment horizontal="center" vertical="center"/>
      <protection locked="0"/>
    </xf>
    <xf numFmtId="3" fontId="4" fillId="3" borderId="7" xfId="0" applyNumberFormat="1" applyFont="1" applyFill="1" applyBorder="1" applyAlignment="1" applyProtection="1">
      <alignment vertical="center"/>
      <protection locked="0"/>
    </xf>
    <xf numFmtId="3" fontId="4" fillId="7" borderId="7" xfId="0" applyNumberFormat="1" applyFont="1" applyFill="1" applyBorder="1" applyAlignment="1" applyProtection="1">
      <alignment vertical="center"/>
    </xf>
    <xf numFmtId="37" fontId="3" fillId="3" borderId="0" xfId="0" applyNumberFormat="1" applyFont="1" applyFill="1" applyBorder="1" applyAlignment="1" applyProtection="1">
      <alignment horizontal="center" vertical="center"/>
    </xf>
    <xf numFmtId="0" fontId="5" fillId="3" borderId="0" xfId="0" applyFont="1" applyFill="1" applyBorder="1" applyAlignment="1" applyProtection="1">
      <alignment horizontal="centerContinuous" vertical="center"/>
    </xf>
    <xf numFmtId="0" fontId="4" fillId="3" borderId="0" xfId="0" applyFont="1" applyFill="1" applyBorder="1" applyAlignment="1" applyProtection="1">
      <alignment horizontal="centerContinuous" vertical="center"/>
    </xf>
    <xf numFmtId="0" fontId="0" fillId="0" borderId="15" xfId="0" applyBorder="1" applyAlignment="1">
      <alignment vertical="center"/>
    </xf>
    <xf numFmtId="37" fontId="4" fillId="2" borderId="7" xfId="0" applyNumberFormat="1" applyFont="1" applyFill="1" applyBorder="1" applyAlignment="1" applyProtection="1">
      <alignment vertical="center"/>
    </xf>
    <xf numFmtId="174" fontId="4" fillId="3" borderId="7" xfId="0" applyNumberFormat="1" applyFont="1" applyFill="1" applyBorder="1" applyAlignment="1" applyProtection="1">
      <alignment vertical="center"/>
    </xf>
    <xf numFmtId="0" fontId="4" fillId="3" borderId="7" xfId="0" applyFont="1" applyFill="1" applyBorder="1" applyAlignment="1" applyProtection="1">
      <alignment horizontal="right" vertical="center"/>
    </xf>
    <xf numFmtId="37" fontId="4" fillId="3" borderId="11" xfId="0" applyNumberFormat="1" applyFont="1" applyFill="1" applyBorder="1" applyAlignment="1" applyProtection="1">
      <alignment vertical="center"/>
    </xf>
    <xf numFmtId="166" fontId="4" fillId="6" borderId="1" xfId="0" applyNumberFormat="1" applyFont="1" applyFill="1" applyBorder="1" applyAlignment="1" applyProtection="1">
      <alignment vertical="center"/>
    </xf>
    <xf numFmtId="0" fontId="5" fillId="3" borderId="0" xfId="0" applyFont="1" applyFill="1" applyAlignment="1" applyProtection="1">
      <alignment vertical="center"/>
    </xf>
    <xf numFmtId="166" fontId="4" fillId="3" borderId="1" xfId="0" applyNumberFormat="1" applyFont="1" applyFill="1" applyBorder="1" applyAlignment="1" applyProtection="1">
      <alignment vertical="center"/>
    </xf>
    <xf numFmtId="167" fontId="4" fillId="6" borderId="1" xfId="0" applyNumberFormat="1" applyFont="1" applyFill="1" applyBorder="1" applyAlignment="1" applyProtection="1">
      <alignment vertical="center"/>
    </xf>
    <xf numFmtId="166" fontId="4" fillId="3" borderId="0" xfId="0" applyNumberFormat="1" applyFont="1" applyFill="1" applyBorder="1" applyAlignment="1" applyProtection="1">
      <alignment vertical="center"/>
    </xf>
    <xf numFmtId="37" fontId="4" fillId="0" borderId="0" xfId="0" applyNumberFormat="1" applyFont="1" applyAlignment="1" applyProtection="1">
      <alignment horizontal="fill" vertical="center"/>
      <protection locked="0"/>
    </xf>
    <xf numFmtId="0" fontId="3" fillId="3" borderId="0" xfId="0" applyFont="1" applyFill="1" applyAlignment="1" applyProtection="1">
      <alignment horizontal="center" vertical="center" wrapText="1"/>
    </xf>
    <xf numFmtId="0" fontId="4" fillId="3" borderId="0" xfId="0" quotePrefix="1" applyFont="1" applyFill="1" applyAlignment="1" applyProtection="1">
      <alignment vertical="center"/>
    </xf>
    <xf numFmtId="3" fontId="4" fillId="3" borderId="0" xfId="0" quotePrefix="1" applyNumberFormat="1" applyFont="1" applyFill="1" applyAlignment="1" applyProtection="1">
      <alignment vertical="center"/>
    </xf>
    <xf numFmtId="3" fontId="4" fillId="3" borderId="1" xfId="0" applyNumberFormat="1" applyFont="1" applyFill="1" applyBorder="1" applyAlignment="1" applyProtection="1">
      <alignment vertical="center"/>
    </xf>
    <xf numFmtId="3" fontId="4" fillId="6" borderId="12" xfId="0" applyNumberFormat="1" applyFont="1" applyFill="1" applyBorder="1" applyAlignment="1" applyProtection="1">
      <alignment vertical="center"/>
    </xf>
    <xf numFmtId="3" fontId="4" fillId="3" borderId="12" xfId="0" applyNumberFormat="1" applyFont="1" applyFill="1" applyBorder="1" applyAlignment="1" applyProtection="1">
      <alignment vertical="center"/>
    </xf>
    <xf numFmtId="0" fontId="4" fillId="3" borderId="15" xfId="0" applyFont="1" applyFill="1" applyBorder="1" applyAlignment="1" applyProtection="1">
      <alignment vertical="center"/>
    </xf>
    <xf numFmtId="167" fontId="4" fillId="3" borderId="1" xfId="0" applyNumberFormat="1" applyFont="1" applyFill="1" applyBorder="1" applyAlignment="1" applyProtection="1">
      <alignment vertical="center"/>
    </xf>
    <xf numFmtId="0" fontId="4" fillId="3" borderId="0" xfId="0" quotePrefix="1" applyFont="1" applyFill="1" applyBorder="1" applyAlignment="1" applyProtection="1">
      <alignment vertical="center"/>
    </xf>
    <xf numFmtId="3" fontId="4" fillId="3" borderId="19" xfId="0" applyNumberFormat="1" applyFont="1" applyFill="1" applyBorder="1" applyAlignment="1" applyProtection="1">
      <alignment vertical="center"/>
    </xf>
    <xf numFmtId="0" fontId="6" fillId="0" borderId="0" xfId="0" applyFont="1" applyAlignment="1">
      <alignment vertical="center"/>
    </xf>
    <xf numFmtId="37" fontId="4" fillId="3" borderId="2" xfId="0" applyNumberFormat="1" applyFont="1" applyFill="1" applyBorder="1" applyAlignment="1" applyProtection="1">
      <alignment horizontal="left" vertical="center"/>
    </xf>
    <xf numFmtId="0" fontId="4" fillId="3" borderId="9" xfId="0" applyFont="1" applyFill="1" applyBorder="1" applyAlignment="1" applyProtection="1">
      <alignment vertical="center"/>
    </xf>
    <xf numFmtId="0" fontId="4" fillId="3" borderId="10" xfId="0" applyFont="1" applyFill="1" applyBorder="1" applyAlignment="1" applyProtection="1">
      <alignment vertical="center"/>
    </xf>
    <xf numFmtId="37" fontId="5" fillId="3" borderId="8" xfId="0" applyNumberFormat="1" applyFont="1" applyFill="1" applyBorder="1" applyAlignment="1" applyProtection="1">
      <alignment horizontal="left" vertical="center"/>
    </xf>
    <xf numFmtId="0" fontId="4" fillId="3" borderId="3" xfId="0" applyFont="1" applyFill="1" applyBorder="1" applyAlignment="1" applyProtection="1">
      <alignment vertical="center"/>
    </xf>
    <xf numFmtId="37" fontId="4" fillId="6" borderId="7" xfId="0" applyNumberFormat="1" applyFont="1" applyFill="1" applyBorder="1" applyAlignment="1" applyProtection="1">
      <alignment horizontal="center" vertical="center"/>
    </xf>
    <xf numFmtId="164" fontId="4" fillId="3" borderId="7" xfId="0" applyNumberFormat="1" applyFont="1" applyFill="1" applyBorder="1" applyAlignment="1" applyProtection="1">
      <alignment horizontal="center" vertical="center"/>
    </xf>
    <xf numFmtId="37" fontId="4" fillId="3" borderId="5" xfId="0" applyNumberFormat="1" applyFont="1" applyFill="1" applyBorder="1" applyAlignment="1" applyProtection="1">
      <alignment vertical="center"/>
    </xf>
    <xf numFmtId="37" fontId="4" fillId="3" borderId="6" xfId="0" applyNumberFormat="1" applyFont="1" applyFill="1" applyBorder="1" applyAlignment="1" applyProtection="1">
      <alignment horizontal="center" vertical="center"/>
    </xf>
    <xf numFmtId="164" fontId="4" fillId="3" borderId="6" xfId="0" applyNumberFormat="1" applyFont="1" applyFill="1" applyBorder="1" applyAlignment="1" applyProtection="1">
      <alignment horizontal="center" vertical="center"/>
    </xf>
    <xf numFmtId="37" fontId="4" fillId="3" borderId="8" xfId="0" applyNumberFormat="1" applyFont="1" applyFill="1" applyBorder="1" applyAlignment="1" applyProtection="1">
      <alignment vertical="center"/>
    </xf>
    <xf numFmtId="37" fontId="3" fillId="3" borderId="14" xfId="0" applyNumberFormat="1" applyFont="1" applyFill="1" applyBorder="1" applyAlignment="1" applyProtection="1">
      <alignment horizontal="left" vertical="center"/>
    </xf>
    <xf numFmtId="0" fontId="4" fillId="3" borderId="12" xfId="0" applyFont="1" applyFill="1" applyBorder="1" applyAlignment="1" applyProtection="1">
      <alignment vertical="center"/>
    </xf>
    <xf numFmtId="0" fontId="4" fillId="5" borderId="7" xfId="0" applyFont="1" applyFill="1" applyBorder="1" applyAlignment="1" applyProtection="1">
      <alignment horizontal="center" vertical="center" shrinkToFit="1"/>
    </xf>
    <xf numFmtId="0" fontId="15" fillId="5" borderId="6" xfId="0" applyFont="1" applyFill="1" applyBorder="1" applyAlignment="1" applyProtection="1">
      <alignment horizontal="center" vertical="center"/>
    </xf>
    <xf numFmtId="0" fontId="4" fillId="3" borderId="0" xfId="0" applyFont="1" applyFill="1" applyBorder="1" applyAlignment="1" applyProtection="1">
      <alignment horizontal="center" vertical="center" shrinkToFit="1"/>
    </xf>
    <xf numFmtId="0" fontId="15" fillId="3" borderId="0" xfId="0" applyFont="1" applyFill="1" applyBorder="1" applyAlignment="1" applyProtection="1">
      <alignment horizontal="center" vertical="center"/>
    </xf>
    <xf numFmtId="0" fontId="8" fillId="3" borderId="0" xfId="0" applyFont="1" applyFill="1" applyAlignment="1" applyProtection="1">
      <alignment horizontal="center" vertical="center"/>
    </xf>
    <xf numFmtId="0" fontId="4" fillId="3" borderId="0" xfId="0" applyFont="1" applyFill="1" applyBorder="1" applyAlignment="1" applyProtection="1">
      <alignment vertical="center"/>
      <protection locked="0"/>
    </xf>
    <xf numFmtId="37" fontId="4" fillId="3" borderId="0" xfId="0" applyNumberFormat="1" applyFont="1" applyFill="1" applyBorder="1" applyAlignment="1" applyProtection="1">
      <alignment horizontal="left" vertical="center"/>
    </xf>
    <xf numFmtId="0" fontId="4" fillId="2" borderId="1" xfId="0" applyFont="1" applyFill="1" applyBorder="1" applyAlignment="1" applyProtection="1">
      <alignment vertical="center"/>
      <protection locked="0"/>
    </xf>
    <xf numFmtId="0" fontId="4" fillId="2" borderId="12" xfId="0" applyFont="1" applyFill="1" applyBorder="1" applyAlignment="1" applyProtection="1">
      <alignment vertical="center"/>
      <protection locked="0"/>
    </xf>
    <xf numFmtId="0" fontId="4" fillId="2" borderId="0" xfId="0" applyFont="1" applyFill="1" applyAlignment="1" applyProtection="1">
      <alignment vertical="center"/>
      <protection locked="0"/>
    </xf>
    <xf numFmtId="37" fontId="4" fillId="2" borderId="0" xfId="0" applyNumberFormat="1" applyFont="1" applyFill="1" applyAlignment="1" applyProtection="1">
      <alignment horizontal="left" vertical="center"/>
      <protection locked="0"/>
    </xf>
    <xf numFmtId="0" fontId="4" fillId="3" borderId="0" xfId="0" applyFont="1" applyFill="1" applyAlignment="1" applyProtection="1">
      <alignment horizontal="left" vertical="center"/>
    </xf>
    <xf numFmtId="0" fontId="3" fillId="9" borderId="0" xfId="0" applyFont="1" applyFill="1" applyAlignment="1" applyProtection="1">
      <alignment horizontal="left" vertical="center"/>
    </xf>
    <xf numFmtId="0" fontId="4" fillId="9" borderId="0" xfId="0" applyFont="1" applyFill="1" applyAlignment="1" applyProtection="1">
      <alignment vertical="center"/>
    </xf>
    <xf numFmtId="3" fontId="4" fillId="4" borderId="1" xfId="0" applyNumberFormat="1" applyFont="1" applyFill="1" applyBorder="1" applyAlignment="1" applyProtection="1">
      <alignment vertical="center"/>
      <protection locked="0"/>
    </xf>
    <xf numFmtId="37" fontId="4" fillId="2" borderId="12" xfId="0" applyNumberFormat="1" applyFont="1" applyFill="1" applyBorder="1" applyAlignment="1" applyProtection="1">
      <alignment vertical="center"/>
      <protection locked="0"/>
    </xf>
    <xf numFmtId="37" fontId="4" fillId="3" borderId="0" xfId="0" applyNumberFormat="1" applyFont="1" applyFill="1" applyBorder="1" applyAlignment="1" applyProtection="1">
      <alignment vertical="center"/>
      <protection locked="0"/>
    </xf>
    <xf numFmtId="37" fontId="5" fillId="3" borderId="0" xfId="0" applyNumberFormat="1" applyFont="1" applyFill="1" applyBorder="1" applyAlignment="1" applyProtection="1">
      <alignment horizontal="left" vertical="center"/>
    </xf>
    <xf numFmtId="3" fontId="4" fillId="3" borderId="0" xfId="0" applyNumberFormat="1" applyFont="1" applyFill="1" applyBorder="1" applyAlignment="1" applyProtection="1">
      <alignment vertical="center"/>
      <protection locked="0"/>
    </xf>
    <xf numFmtId="0" fontId="17" fillId="3" borderId="0" xfId="0" applyFont="1" applyFill="1" applyBorder="1" applyAlignment="1" applyProtection="1">
      <alignment horizontal="center" vertical="center"/>
    </xf>
    <xf numFmtId="172" fontId="4" fillId="2" borderId="1" xfId="0" applyNumberFormat="1" applyFont="1" applyFill="1" applyBorder="1" applyAlignment="1" applyProtection="1">
      <alignment vertical="center"/>
      <protection locked="0"/>
    </xf>
    <xf numFmtId="172" fontId="4" fillId="2" borderId="12" xfId="0" applyNumberFormat="1" applyFont="1" applyFill="1" applyBorder="1" applyAlignment="1" applyProtection="1">
      <alignment vertical="center"/>
      <protection locked="0"/>
    </xf>
    <xf numFmtId="172" fontId="4" fillId="2" borderId="15" xfId="0" applyNumberFormat="1" applyFont="1" applyFill="1" applyBorder="1" applyAlignment="1" applyProtection="1">
      <alignment vertical="center"/>
      <protection locked="0"/>
    </xf>
    <xf numFmtId="172" fontId="4" fillId="6" borderId="7" xfId="0" applyNumberFormat="1" applyFont="1" applyFill="1" applyBorder="1" applyAlignment="1" applyProtection="1">
      <alignment vertical="center"/>
    </xf>
    <xf numFmtId="37" fontId="3" fillId="10" borderId="0" xfId="0" applyNumberFormat="1" applyFont="1" applyFill="1" applyAlignment="1" applyProtection="1">
      <alignment horizontal="left" vertical="center"/>
    </xf>
    <xf numFmtId="0" fontId="4" fillId="10" borderId="0" xfId="0" applyFont="1" applyFill="1" applyAlignment="1" applyProtection="1">
      <alignment vertical="center"/>
    </xf>
    <xf numFmtId="3" fontId="4" fillId="10" borderId="0" xfId="0" applyNumberFormat="1" applyFont="1" applyFill="1" applyAlignment="1" applyProtection="1">
      <alignment vertical="center"/>
    </xf>
    <xf numFmtId="3" fontId="4" fillId="3" borderId="3" xfId="0" applyNumberFormat="1" applyFont="1" applyFill="1" applyBorder="1" applyAlignment="1" applyProtection="1">
      <alignment vertical="center"/>
    </xf>
    <xf numFmtId="37" fontId="4" fillId="3" borderId="12" xfId="0" applyNumberFormat="1" applyFont="1" applyFill="1" applyBorder="1" applyAlignment="1" applyProtection="1">
      <alignment horizontal="left" vertical="center"/>
    </xf>
    <xf numFmtId="37" fontId="4" fillId="8" borderId="0" xfId="0" applyNumberFormat="1" applyFont="1" applyFill="1" applyBorder="1" applyAlignment="1" applyProtection="1">
      <alignment horizontal="left" vertical="center"/>
    </xf>
    <xf numFmtId="0" fontId="4" fillId="8" borderId="0" xfId="0" applyFont="1" applyFill="1" applyBorder="1" applyAlignment="1" applyProtection="1">
      <alignment vertical="center"/>
    </xf>
    <xf numFmtId="171" fontId="4" fillId="8" borderId="0" xfId="0" applyNumberFormat="1" applyFont="1" applyFill="1" applyBorder="1" applyAlignment="1" applyProtection="1">
      <alignment vertical="center"/>
      <protection locked="0"/>
    </xf>
    <xf numFmtId="0" fontId="4" fillId="9" borderId="2" xfId="0" applyFont="1" applyFill="1" applyBorder="1" applyAlignment="1">
      <alignment horizontal="center" vertical="center"/>
    </xf>
    <xf numFmtId="0" fontId="4" fillId="9" borderId="4" xfId="0" applyFont="1" applyFill="1" applyBorder="1" applyAlignment="1">
      <alignment horizontal="center" vertical="center"/>
    </xf>
    <xf numFmtId="0" fontId="15" fillId="3" borderId="0" xfId="0" applyFont="1" applyFill="1" applyAlignment="1">
      <alignment vertical="center"/>
    </xf>
    <xf numFmtId="0" fontId="20" fillId="3" borderId="0" xfId="0" applyFont="1" applyFill="1" applyAlignment="1">
      <alignment vertical="center"/>
    </xf>
    <xf numFmtId="37" fontId="4" fillId="3" borderId="7" xfId="0" applyNumberFormat="1" applyFont="1" applyFill="1" applyBorder="1" applyAlignment="1">
      <alignment vertical="center"/>
    </xf>
    <xf numFmtId="37" fontId="17" fillId="3" borderId="0" xfId="0" applyNumberFormat="1" applyFont="1" applyFill="1" applyAlignment="1" applyProtection="1">
      <alignment horizontal="left" vertical="center"/>
    </xf>
    <xf numFmtId="0" fontId="3" fillId="2" borderId="7" xfId="0" applyFont="1" applyFill="1" applyBorder="1" applyAlignment="1" applyProtection="1">
      <alignment horizontal="center" vertical="center"/>
      <protection locked="0"/>
    </xf>
    <xf numFmtId="0" fontId="3" fillId="10" borderId="0" xfId="0" applyFont="1" applyFill="1" applyAlignment="1" applyProtection="1">
      <alignment vertical="center"/>
    </xf>
    <xf numFmtId="0" fontId="4" fillId="3" borderId="0" xfId="0" applyNumberFormat="1" applyFont="1" applyFill="1" applyAlignment="1" applyProtection="1">
      <alignment horizontal="center" vertical="center"/>
    </xf>
    <xf numFmtId="37" fontId="3" fillId="11" borderId="0" xfId="0" applyNumberFormat="1" applyFont="1" applyFill="1" applyAlignment="1" applyProtection="1">
      <alignment horizontal="left" vertical="center"/>
    </xf>
    <xf numFmtId="0" fontId="4" fillId="11" borderId="0" xfId="0" applyFont="1" applyFill="1" applyAlignment="1" applyProtection="1">
      <alignment vertical="center"/>
    </xf>
    <xf numFmtId="0" fontId="5" fillId="9" borderId="14" xfId="0" applyNumberFormat="1" applyFont="1" applyFill="1" applyBorder="1" applyAlignment="1" applyProtection="1">
      <alignment horizontal="center" vertical="center"/>
    </xf>
    <xf numFmtId="0" fontId="5" fillId="9" borderId="2" xfId="0" applyNumberFormat="1" applyFont="1" applyFill="1" applyBorder="1" applyAlignment="1" applyProtection="1">
      <alignment horizontal="center" vertical="center"/>
    </xf>
    <xf numFmtId="0" fontId="5" fillId="3" borderId="0" xfId="0" applyFont="1" applyFill="1" applyAlignment="1" applyProtection="1">
      <alignment horizontal="center" vertical="center"/>
    </xf>
    <xf numFmtId="0" fontId="4" fillId="9" borderId="8" xfId="0" applyFont="1" applyFill="1" applyBorder="1" applyAlignment="1">
      <alignment horizontal="center" vertical="center"/>
    </xf>
    <xf numFmtId="37" fontId="4" fillId="9" borderId="4" xfId="0" applyNumberFormat="1" applyFont="1" applyFill="1" applyBorder="1" applyAlignment="1" applyProtection="1">
      <alignment horizontal="center" vertical="center"/>
    </xf>
    <xf numFmtId="0" fontId="4" fillId="3" borderId="1" xfId="0" applyFont="1" applyFill="1" applyBorder="1" applyAlignment="1" applyProtection="1">
      <alignment horizontal="left" vertical="center"/>
    </xf>
    <xf numFmtId="37" fontId="4" fillId="3" borderId="12" xfId="0" applyNumberFormat="1" applyFont="1" applyFill="1" applyBorder="1" applyAlignment="1" applyProtection="1">
      <alignment vertical="center"/>
    </xf>
    <xf numFmtId="37" fontId="4" fillId="6" borderId="7" xfId="0" applyNumberFormat="1" applyFont="1" applyFill="1" applyBorder="1" applyAlignment="1">
      <alignment vertical="center"/>
    </xf>
    <xf numFmtId="0" fontId="4" fillId="3" borderId="1" xfId="0" applyFont="1" applyFill="1" applyBorder="1" applyAlignment="1" applyProtection="1">
      <alignment vertical="center"/>
      <protection locked="0"/>
    </xf>
    <xf numFmtId="37" fontId="4" fillId="3" borderId="0" xfId="0" applyNumberFormat="1" applyFont="1" applyFill="1" applyBorder="1" applyAlignment="1" applyProtection="1">
      <alignment horizontal="right" vertical="center"/>
    </xf>
    <xf numFmtId="165" fontId="4" fillId="4" borderId="4" xfId="0" applyNumberFormat="1" applyFont="1" applyFill="1" applyBorder="1" applyAlignment="1" applyProtection="1">
      <alignment vertical="center"/>
      <protection locked="0"/>
    </xf>
    <xf numFmtId="165" fontId="4" fillId="4" borderId="7" xfId="0" applyNumberFormat="1" applyFont="1" applyFill="1" applyBorder="1" applyAlignment="1" applyProtection="1">
      <alignment vertical="center"/>
      <protection locked="0"/>
    </xf>
    <xf numFmtId="165" fontId="4" fillId="3" borderId="1" xfId="0" applyNumberFormat="1" applyFont="1" applyFill="1" applyBorder="1" applyAlignment="1" applyProtection="1">
      <alignment vertical="center"/>
    </xf>
    <xf numFmtId="165" fontId="4" fillId="6" borderId="11" xfId="0" applyNumberFormat="1" applyFont="1" applyFill="1" applyBorder="1" applyAlignment="1" applyProtection="1">
      <alignment vertical="center"/>
    </xf>
    <xf numFmtId="37" fontId="4" fillId="10" borderId="1" xfId="0" applyNumberFormat="1" applyFont="1" applyFill="1" applyBorder="1" applyAlignment="1" applyProtection="1">
      <alignment horizontal="left" vertical="center"/>
    </xf>
    <xf numFmtId="0" fontId="4" fillId="10" borderId="1" xfId="0" applyFont="1" applyFill="1" applyBorder="1" applyAlignment="1" applyProtection="1">
      <alignment vertical="center"/>
    </xf>
    <xf numFmtId="37" fontId="4" fillId="10" borderId="12" xfId="0" applyNumberFormat="1" applyFont="1" applyFill="1" applyBorder="1" applyAlignment="1" applyProtection="1">
      <alignment horizontal="left" vertical="center"/>
    </xf>
    <xf numFmtId="0" fontId="4" fillId="10" borderId="12" xfId="0" applyFont="1" applyFill="1" applyBorder="1" applyAlignment="1" applyProtection="1">
      <alignment vertical="center"/>
    </xf>
    <xf numFmtId="0" fontId="4" fillId="3" borderId="1" xfId="0" applyFont="1" applyFill="1" applyBorder="1" applyAlignment="1" applyProtection="1">
      <alignment horizontal="center" vertical="center"/>
    </xf>
    <xf numFmtId="0" fontId="4" fillId="3" borderId="3" xfId="0" applyFont="1" applyFill="1" applyBorder="1" applyAlignment="1" applyProtection="1">
      <alignment vertical="center"/>
      <protection locked="0"/>
    </xf>
    <xf numFmtId="0" fontId="4" fillId="3" borderId="6" xfId="0" applyFont="1" applyFill="1" applyBorder="1" applyAlignment="1" applyProtection="1">
      <alignment vertical="center"/>
      <protection locked="0"/>
    </xf>
    <xf numFmtId="0" fontId="4" fillId="3" borderId="12" xfId="0" applyFont="1" applyFill="1" applyBorder="1" applyAlignment="1" applyProtection="1">
      <alignment vertical="center"/>
      <protection locked="0"/>
    </xf>
    <xf numFmtId="0" fontId="3" fillId="0" borderId="0" xfId="0" applyFont="1" applyAlignment="1" applyProtection="1">
      <alignment vertical="center"/>
      <protection locked="0"/>
    </xf>
    <xf numFmtId="0" fontId="4" fillId="0" borderId="0" xfId="0" applyFont="1" applyAlignment="1">
      <alignment vertical="center" wrapText="1"/>
    </xf>
    <xf numFmtId="0" fontId="4" fillId="0" borderId="0" xfId="0" applyFont="1" applyAlignment="1" applyProtection="1">
      <alignment horizontal="left" vertical="center" wrapText="1"/>
    </xf>
    <xf numFmtId="0" fontId="3" fillId="0" borderId="0" xfId="0" applyFont="1" applyAlignment="1">
      <alignment horizontal="center" vertical="center"/>
    </xf>
    <xf numFmtId="0" fontId="4" fillId="0" borderId="0" xfId="109" applyFont="1" applyAlignment="1">
      <alignment vertical="center" wrapText="1"/>
    </xf>
    <xf numFmtId="0" fontId="4" fillId="0" borderId="0" xfId="0" applyFont="1" applyAlignment="1">
      <alignment horizontal="left" vertical="center"/>
    </xf>
    <xf numFmtId="0" fontId="4" fillId="0" borderId="0" xfId="0" applyFont="1" applyAlignment="1" applyProtection="1">
      <alignment vertical="center" wrapText="1"/>
    </xf>
    <xf numFmtId="0" fontId="18" fillId="0" borderId="0" xfId="0" applyFont="1" applyAlignment="1">
      <alignment vertical="center" wrapText="1"/>
    </xf>
    <xf numFmtId="0" fontId="4" fillId="2" borderId="0" xfId="0" applyFont="1" applyFill="1" applyAlignment="1" applyProtection="1">
      <alignment vertical="center" wrapText="1"/>
    </xf>
    <xf numFmtId="0" fontId="4" fillId="0" borderId="0" xfId="0" applyFont="1" applyFill="1" applyAlignment="1" applyProtection="1">
      <alignment vertical="center" wrapText="1"/>
    </xf>
    <xf numFmtId="0" fontId="4" fillId="3" borderId="0" xfId="0" applyFont="1" applyFill="1" applyAlignment="1">
      <alignment vertical="center" wrapText="1"/>
    </xf>
    <xf numFmtId="0" fontId="4" fillId="9" borderId="0" xfId="0" applyFont="1" applyFill="1" applyAlignment="1">
      <alignment vertical="center" wrapText="1"/>
    </xf>
    <xf numFmtId="0" fontId="4" fillId="0" borderId="0" xfId="0" applyNumberFormat="1" applyFont="1" applyAlignment="1">
      <alignment vertical="center" wrapText="1"/>
    </xf>
    <xf numFmtId="0" fontId="5" fillId="0" borderId="0" xfId="0" applyFont="1" applyAlignment="1">
      <alignment vertical="center"/>
    </xf>
    <xf numFmtId="0" fontId="0" fillId="0" borderId="0" xfId="0" applyAlignment="1"/>
    <xf numFmtId="0" fontId="4" fillId="0" borderId="0" xfId="350" applyFont="1" applyAlignment="1">
      <alignment vertical="center"/>
    </xf>
    <xf numFmtId="0" fontId="4" fillId="0" borderId="0" xfId="379" applyFont="1" applyAlignment="1">
      <alignment vertical="center"/>
    </xf>
    <xf numFmtId="0" fontId="19" fillId="0" borderId="0" xfId="0" applyFont="1" applyAlignment="1"/>
    <xf numFmtId="0" fontId="19" fillId="0" borderId="0" xfId="0" applyFont="1"/>
    <xf numFmtId="0" fontId="2" fillId="0" borderId="0" xfId="0" applyFont="1"/>
    <xf numFmtId="0" fontId="31" fillId="0" borderId="0" xfId="0" applyFont="1" applyAlignment="1">
      <alignment horizontal="center"/>
    </xf>
    <xf numFmtId="0" fontId="4" fillId="12" borderId="0" xfId="0" applyFont="1" applyFill="1" applyAlignment="1" applyProtection="1">
      <alignment horizontal="centerContinuous" vertical="center"/>
    </xf>
    <xf numFmtId="37" fontId="4" fillId="12" borderId="0" xfId="0" applyNumberFormat="1" applyFont="1" applyFill="1" applyAlignment="1" applyProtection="1">
      <alignment horizontal="centerContinuous" vertical="center"/>
    </xf>
    <xf numFmtId="0" fontId="1" fillId="0" borderId="0" xfId="392"/>
    <xf numFmtId="0" fontId="4" fillId="0" borderId="0" xfId="392" applyFont="1" applyAlignment="1">
      <alignment horizontal="left" vertical="center"/>
    </xf>
    <xf numFmtId="0" fontId="1" fillId="0" borderId="0" xfId="392" applyNumberFormat="1" applyFont="1" applyAlignment="1">
      <alignment horizontal="left" vertical="center"/>
    </xf>
    <xf numFmtId="49" fontId="4" fillId="13" borderId="0" xfId="392" applyNumberFormat="1" applyFont="1" applyFill="1" applyAlignment="1" applyProtection="1">
      <alignment horizontal="left" vertical="center"/>
      <protection locked="0"/>
    </xf>
    <xf numFmtId="175" fontId="22" fillId="0" borderId="0" xfId="392" applyNumberFormat="1" applyFont="1" applyAlignment="1">
      <alignment horizontal="left" vertical="center"/>
    </xf>
    <xf numFmtId="49" fontId="4" fillId="0" borderId="0" xfId="392" applyNumberFormat="1" applyFont="1" applyAlignment="1">
      <alignment horizontal="left" vertical="center"/>
    </xf>
    <xf numFmtId="0" fontId="22" fillId="0" borderId="0" xfId="392" applyFont="1" applyAlignment="1">
      <alignment horizontal="left" vertical="center"/>
    </xf>
    <xf numFmtId="176" fontId="22" fillId="0" borderId="0" xfId="392" applyNumberFormat="1" applyFont="1" applyAlignment="1">
      <alignment horizontal="left" vertical="center"/>
    </xf>
    <xf numFmtId="0" fontId="4" fillId="13" borderId="0" xfId="392" applyFont="1" applyFill="1" applyAlignment="1" applyProtection="1">
      <alignment horizontal="left" vertical="center"/>
      <protection locked="0"/>
    </xf>
    <xf numFmtId="0" fontId="1" fillId="13" borderId="0" xfId="392" applyFill="1" applyAlignment="1" applyProtection="1">
      <alignment horizontal="left" vertical="center"/>
      <protection locked="0"/>
    </xf>
    <xf numFmtId="0" fontId="2" fillId="0" borderId="0" xfId="154" applyFont="1"/>
    <xf numFmtId="0" fontId="2" fillId="0" borderId="0" xfId="154" applyFont="1" applyFill="1"/>
    <xf numFmtId="0" fontId="4" fillId="0" borderId="0" xfId="88" applyFont="1" applyAlignment="1">
      <alignment vertical="center" wrapText="1"/>
    </xf>
    <xf numFmtId="0" fontId="2" fillId="0" borderId="0" xfId="0" quotePrefix="1" applyFont="1"/>
    <xf numFmtId="0" fontId="2" fillId="0" borderId="0" xfId="0" applyFont="1" applyAlignment="1"/>
    <xf numFmtId="0" fontId="19" fillId="0" borderId="0" xfId="0" applyFont="1" applyAlignment="1">
      <alignment horizontal="center"/>
    </xf>
    <xf numFmtId="0" fontId="4" fillId="0" borderId="0" xfId="405" applyFont="1" applyAlignment="1">
      <alignment vertical="center"/>
    </xf>
    <xf numFmtId="0" fontId="5" fillId="0" borderId="0" xfId="79" applyFont="1" applyAlignment="1">
      <alignment vertical="center"/>
    </xf>
    <xf numFmtId="0" fontId="4" fillId="0" borderId="0" xfId="84" applyFont="1" applyAlignment="1">
      <alignment vertical="center"/>
    </xf>
    <xf numFmtId="0" fontId="4" fillId="3" borderId="0" xfId="0" applyFont="1" applyFill="1"/>
    <xf numFmtId="0" fontId="5" fillId="0" borderId="0" xfId="78" applyFont="1" applyAlignment="1">
      <alignment vertical="center"/>
    </xf>
    <xf numFmtId="0" fontId="52" fillId="3" borderId="0" xfId="0" applyFont="1" applyFill="1" applyAlignment="1" applyProtection="1">
      <alignment horizontal="right" vertical="center"/>
      <protection locked="0"/>
    </xf>
    <xf numFmtId="0" fontId="7" fillId="3" borderId="0" xfId="0" applyFont="1" applyFill="1" applyAlignment="1" applyProtection="1">
      <alignment horizontal="left" vertical="center"/>
      <protection locked="0"/>
    </xf>
    <xf numFmtId="14" fontId="4" fillId="4" borderId="7" xfId="0" applyNumberFormat="1" applyFont="1" applyFill="1" applyBorder="1" applyAlignment="1" applyProtection="1">
      <alignment vertical="center"/>
      <protection locked="0"/>
    </xf>
    <xf numFmtId="37" fontId="4" fillId="2" borderId="1" xfId="0" applyNumberFormat="1" applyFont="1" applyFill="1" applyBorder="1" applyAlignment="1" applyProtection="1">
      <alignment horizontal="left"/>
      <protection locked="0"/>
    </xf>
    <xf numFmtId="37" fontId="4" fillId="2" borderId="12" xfId="0" applyNumberFormat="1" applyFont="1" applyFill="1" applyBorder="1" applyAlignment="1" applyProtection="1">
      <alignment horizontal="left"/>
      <protection locked="0"/>
    </xf>
    <xf numFmtId="37" fontId="4" fillId="4" borderId="7" xfId="0" applyNumberFormat="1" applyFont="1" applyFill="1" applyBorder="1" applyAlignment="1" applyProtection="1">
      <alignment horizontal="left"/>
      <protection locked="0"/>
    </xf>
    <xf numFmtId="0" fontId="4" fillId="4" borderId="7" xfId="0" applyFont="1" applyFill="1" applyBorder="1" applyAlignment="1" applyProtection="1">
      <alignment horizontal="center"/>
      <protection locked="0"/>
    </xf>
    <xf numFmtId="3" fontId="3" fillId="3" borderId="5" xfId="0" applyNumberFormat="1" applyFont="1" applyFill="1" applyBorder="1" applyAlignment="1" applyProtection="1">
      <alignment vertical="center"/>
    </xf>
    <xf numFmtId="3" fontId="4" fillId="6" borderId="5" xfId="0" applyNumberFormat="1" applyFont="1" applyFill="1" applyBorder="1" applyAlignment="1" applyProtection="1">
      <alignment vertical="center"/>
    </xf>
    <xf numFmtId="3" fontId="15" fillId="5" borderId="5" xfId="0" applyNumberFormat="1" applyFont="1" applyFill="1" applyBorder="1" applyAlignment="1" applyProtection="1">
      <alignment horizontal="center" vertical="center"/>
      <protection locked="0"/>
    </xf>
    <xf numFmtId="3" fontId="15" fillId="5" borderId="5" xfId="0" applyNumberFormat="1" applyFont="1" applyFill="1" applyBorder="1" applyAlignment="1" applyProtection="1">
      <alignment horizontal="center" vertical="center"/>
    </xf>
    <xf numFmtId="1" fontId="4" fillId="3" borderId="14" xfId="0" applyNumberFormat="1" applyFont="1" applyFill="1" applyBorder="1" applyAlignment="1" applyProtection="1">
      <alignment horizontal="center" vertical="center"/>
    </xf>
    <xf numFmtId="37" fontId="4" fillId="3" borderId="8" xfId="0" applyNumberFormat="1" applyFont="1" applyFill="1" applyBorder="1" applyAlignment="1" applyProtection="1">
      <alignment horizontal="center" vertical="center"/>
    </xf>
    <xf numFmtId="3" fontId="4" fillId="3" borderId="5" xfId="0" applyNumberFormat="1" applyFont="1" applyFill="1" applyBorder="1" applyAlignment="1" applyProtection="1">
      <alignment vertical="center"/>
    </xf>
    <xf numFmtId="37" fontId="4" fillId="3" borderId="14" xfId="0" applyNumberFormat="1" applyFont="1" applyFill="1" applyBorder="1" applyAlignment="1" applyProtection="1">
      <alignment horizontal="center" vertical="center"/>
    </xf>
    <xf numFmtId="3" fontId="3" fillId="6" borderId="5" xfId="0" applyNumberFormat="1" applyFont="1" applyFill="1" applyBorder="1" applyAlignment="1" applyProtection="1">
      <alignment vertical="center"/>
    </xf>
    <xf numFmtId="3" fontId="15" fillId="7" borderId="5" xfId="0" applyNumberFormat="1" applyFont="1" applyFill="1" applyBorder="1" applyAlignment="1" applyProtection="1">
      <alignment horizontal="center" vertical="center"/>
    </xf>
    <xf numFmtId="0" fontId="4" fillId="12" borderId="0" xfId="0" applyFont="1" applyFill="1" applyAlignment="1" applyProtection="1">
      <alignment vertical="center"/>
      <protection locked="0"/>
    </xf>
    <xf numFmtId="49" fontId="4" fillId="4" borderId="7" xfId="0" applyNumberFormat="1" applyFont="1" applyFill="1" applyBorder="1" applyAlignment="1" applyProtection="1">
      <alignment horizontal="center" vertical="center"/>
      <protection locked="0"/>
    </xf>
    <xf numFmtId="0" fontId="13" fillId="0" borderId="0" xfId="0" applyFont="1" applyAlignment="1">
      <alignment wrapText="1"/>
    </xf>
    <xf numFmtId="0" fontId="16" fillId="3" borderId="7" xfId="0" applyFont="1" applyFill="1" applyBorder="1" applyAlignment="1" applyProtection="1">
      <alignment horizontal="center" vertical="center"/>
    </xf>
    <xf numFmtId="3" fontId="16" fillId="3" borderId="7" xfId="0" applyNumberFormat="1" applyFont="1" applyFill="1" applyBorder="1" applyAlignment="1" applyProtection="1">
      <alignment horizontal="center" vertical="center"/>
    </xf>
    <xf numFmtId="0" fontId="53" fillId="3" borderId="0" xfId="0" applyFont="1" applyFill="1" applyAlignment="1" applyProtection="1">
      <alignment horizontal="center" vertical="center"/>
    </xf>
    <xf numFmtId="37" fontId="3" fillId="3" borderId="0" xfId="0" applyNumberFormat="1" applyFont="1" applyFill="1" applyBorder="1" applyAlignment="1" applyProtection="1">
      <alignment vertical="center"/>
    </xf>
    <xf numFmtId="3" fontId="3" fillId="3" borderId="7" xfId="0" applyNumberFormat="1" applyFont="1" applyFill="1" applyBorder="1" applyAlignment="1" applyProtection="1">
      <alignment horizontal="center" vertical="center"/>
    </xf>
    <xf numFmtId="3" fontId="4" fillId="14" borderId="7" xfId="0" applyNumberFormat="1" applyFont="1" applyFill="1" applyBorder="1" applyAlignment="1" applyProtection="1">
      <alignment horizontal="center" vertical="center"/>
    </xf>
    <xf numFmtId="0" fontId="4" fillId="3" borderId="0" xfId="43" applyFont="1" applyFill="1" applyAlignment="1" applyProtection="1">
      <alignment horizontal="right" vertical="center"/>
    </xf>
    <xf numFmtId="1" fontId="3" fillId="3" borderId="7" xfId="0" applyNumberFormat="1" applyFont="1" applyFill="1" applyBorder="1" applyAlignment="1" applyProtection="1">
      <alignment horizontal="center" vertical="center"/>
    </xf>
    <xf numFmtId="0" fontId="4" fillId="13" borderId="0" xfId="0" applyFont="1" applyFill="1" applyAlignment="1" applyProtection="1">
      <alignment horizontal="left" vertical="center"/>
    </xf>
    <xf numFmtId="0" fontId="35" fillId="15" borderId="0" xfId="0" applyFont="1" applyFill="1"/>
    <xf numFmtId="0" fontId="35" fillId="0" borderId="0" xfId="0" applyFont="1"/>
    <xf numFmtId="0" fontId="35" fillId="12" borderId="0" xfId="0" applyFont="1" applyFill="1"/>
    <xf numFmtId="0" fontId="54" fillId="15" borderId="0" xfId="0" applyFont="1" applyFill="1" applyAlignment="1">
      <alignment horizontal="center" wrapText="1"/>
    </xf>
    <xf numFmtId="0" fontId="54" fillId="12" borderId="0" xfId="0" applyFont="1" applyFill="1"/>
    <xf numFmtId="0" fontId="35" fillId="12" borderId="0" xfId="0" applyFont="1" applyFill="1" applyAlignment="1">
      <alignment horizontal="center"/>
    </xf>
    <xf numFmtId="0" fontId="54" fillId="12" borderId="20" xfId="0" applyFont="1" applyFill="1" applyBorder="1"/>
    <xf numFmtId="0" fontId="35" fillId="12" borderId="21" xfId="0" applyFont="1" applyFill="1" applyBorder="1"/>
    <xf numFmtId="0" fontId="35" fillId="12" borderId="22" xfId="0" applyFont="1" applyFill="1" applyBorder="1"/>
    <xf numFmtId="177" fontId="35" fillId="12" borderId="23" xfId="0" applyNumberFormat="1" applyFont="1" applyFill="1" applyBorder="1"/>
    <xf numFmtId="0" fontId="35" fillId="12" borderId="0" xfId="0" applyFont="1" applyFill="1" applyBorder="1"/>
    <xf numFmtId="177" fontId="35" fillId="12" borderId="1" xfId="0" applyNumberFormat="1" applyFont="1" applyFill="1" applyBorder="1" applyAlignment="1">
      <alignment horizontal="center"/>
    </xf>
    <xf numFmtId="0" fontId="35" fillId="12" borderId="24" xfId="0" applyFont="1" applyFill="1" applyBorder="1"/>
    <xf numFmtId="0" fontId="35" fillId="12" borderId="25" xfId="0" applyFont="1" applyFill="1" applyBorder="1"/>
    <xf numFmtId="0" fontId="35" fillId="12" borderId="26" xfId="0" applyFont="1" applyFill="1" applyBorder="1"/>
    <xf numFmtId="0" fontId="35" fillId="12" borderId="27" xfId="0" applyFont="1" applyFill="1" applyBorder="1"/>
    <xf numFmtId="177" fontId="35" fillId="12" borderId="0" xfId="0" applyNumberFormat="1" applyFont="1" applyFill="1"/>
    <xf numFmtId="0" fontId="35" fillId="12" borderId="20" xfId="0" applyFont="1" applyFill="1" applyBorder="1"/>
    <xf numFmtId="0" fontId="35" fillId="12" borderId="28" xfId="0" applyFont="1" applyFill="1" applyBorder="1"/>
    <xf numFmtId="177" fontId="35" fillId="13" borderId="23" xfId="0" applyNumberFormat="1" applyFont="1" applyFill="1" applyBorder="1" applyAlignment="1" applyProtection="1">
      <alignment horizontal="center"/>
      <protection locked="0"/>
    </xf>
    <xf numFmtId="174" fontId="35" fillId="12" borderId="0" xfId="0" applyNumberFormat="1" applyFont="1" applyFill="1" applyBorder="1" applyAlignment="1">
      <alignment horizontal="center"/>
    </xf>
    <xf numFmtId="177" fontId="35" fillId="0" borderId="0" xfId="0" applyNumberFormat="1" applyFont="1"/>
    <xf numFmtId="0" fontId="55" fillId="0" borderId="0" xfId="0" applyFont="1" applyBorder="1"/>
    <xf numFmtId="0" fontId="35" fillId="0" borderId="0" xfId="0" applyFont="1" applyBorder="1"/>
    <xf numFmtId="0" fontId="54" fillId="0" borderId="0" xfId="0" applyFont="1" applyBorder="1" applyAlignment="1">
      <alignment horizontal="centerContinuous"/>
    </xf>
    <xf numFmtId="0" fontId="35" fillId="0" borderId="0" xfId="0" applyFont="1" applyBorder="1" applyAlignment="1">
      <alignment horizontal="centerContinuous"/>
    </xf>
    <xf numFmtId="0" fontId="35" fillId="15" borderId="0" xfId="0" applyFont="1" applyFill="1" applyBorder="1"/>
    <xf numFmtId="0" fontId="35" fillId="12" borderId="29" xfId="0" applyFont="1" applyFill="1" applyBorder="1"/>
    <xf numFmtId="0" fontId="35" fillId="12" borderId="15" xfId="0" applyFont="1" applyFill="1" applyBorder="1"/>
    <xf numFmtId="0" fontId="35" fillId="12" borderId="30" xfId="0" applyFont="1" applyFill="1" applyBorder="1"/>
    <xf numFmtId="5" fontId="35" fillId="12" borderId="26" xfId="0" applyNumberFormat="1" applyFont="1" applyFill="1" applyBorder="1" applyAlignment="1">
      <alignment horizontal="center"/>
    </xf>
    <xf numFmtId="0" fontId="35" fillId="12" borderId="26" xfId="0" applyFont="1" applyFill="1" applyBorder="1" applyAlignment="1">
      <alignment horizontal="center"/>
    </xf>
    <xf numFmtId="174" fontId="35" fillId="12" borderId="26" xfId="0" applyNumberFormat="1" applyFont="1" applyFill="1" applyBorder="1" applyAlignment="1">
      <alignment horizontal="center"/>
    </xf>
    <xf numFmtId="178" fontId="35" fillId="12" borderId="26" xfId="0" applyNumberFormat="1" applyFont="1" applyFill="1" applyBorder="1" applyAlignment="1">
      <alignment horizontal="center"/>
    </xf>
    <xf numFmtId="0" fontId="35" fillId="12" borderId="0" xfId="0" applyFont="1" applyFill="1" applyAlignment="1">
      <alignment horizontal="center" wrapText="1"/>
    </xf>
    <xf numFmtId="0" fontId="54" fillId="12" borderId="20" xfId="0" applyFont="1" applyFill="1" applyBorder="1" applyAlignment="1"/>
    <xf numFmtId="0" fontId="35" fillId="12" borderId="21" xfId="0" applyFont="1" applyFill="1" applyBorder="1" applyAlignment="1"/>
    <xf numFmtId="0" fontId="35" fillId="12" borderId="22" xfId="0" applyFont="1" applyFill="1" applyBorder="1" applyAlignment="1"/>
    <xf numFmtId="0" fontId="35" fillId="12" borderId="28" xfId="0" applyFont="1" applyFill="1" applyBorder="1" applyAlignment="1"/>
    <xf numFmtId="0" fontId="35" fillId="12" borderId="24" xfId="0" applyFont="1" applyFill="1" applyBorder="1" applyAlignment="1"/>
    <xf numFmtId="0" fontId="35" fillId="12" borderId="29" xfId="0" applyFont="1" applyFill="1" applyBorder="1" applyAlignment="1"/>
    <xf numFmtId="0" fontId="35" fillId="12" borderId="15" xfId="0" applyFont="1" applyFill="1" applyBorder="1" applyAlignment="1"/>
    <xf numFmtId="0" fontId="35" fillId="12" borderId="30" xfId="0" applyFont="1" applyFill="1" applyBorder="1" applyAlignment="1"/>
    <xf numFmtId="172" fontId="35" fillId="12" borderId="0" xfId="0" applyNumberFormat="1" applyFont="1" applyFill="1" applyBorder="1" applyAlignment="1">
      <alignment horizontal="center"/>
    </xf>
    <xf numFmtId="0" fontId="35" fillId="12" borderId="25" xfId="0" applyFont="1" applyFill="1" applyBorder="1" applyAlignment="1"/>
    <xf numFmtId="5" fontId="35" fillId="12" borderId="0" xfId="0" applyNumberFormat="1" applyFont="1" applyFill="1" applyBorder="1" applyAlignment="1">
      <alignment horizontal="center"/>
    </xf>
    <xf numFmtId="0" fontId="35" fillId="15" borderId="0" xfId="0" applyFont="1" applyFill="1" applyAlignment="1"/>
    <xf numFmtId="174" fontId="35" fillId="13" borderId="1" xfId="0" applyNumberFormat="1" applyFont="1" applyFill="1" applyBorder="1" applyAlignment="1" applyProtection="1">
      <alignment horizontal="center"/>
      <protection locked="0"/>
    </xf>
    <xf numFmtId="178" fontId="35" fillId="12" borderId="0" xfId="0" applyNumberFormat="1" applyFont="1" applyFill="1" applyBorder="1"/>
    <xf numFmtId="177" fontId="35" fillId="12" borderId="26" xfId="0" applyNumberFormat="1" applyFont="1" applyFill="1" applyBorder="1" applyAlignment="1">
      <alignment horizontal="center"/>
    </xf>
    <xf numFmtId="174" fontId="35" fillId="12" borderId="26" xfId="0" applyNumberFormat="1" applyFont="1" applyFill="1" applyBorder="1" applyAlignment="1" applyProtection="1">
      <alignment horizontal="center"/>
      <protection locked="0"/>
    </xf>
    <xf numFmtId="178" fontId="35" fillId="12" borderId="26" xfId="0" applyNumberFormat="1" applyFont="1" applyFill="1" applyBorder="1"/>
    <xf numFmtId="0" fontId="54" fillId="12" borderId="28" xfId="0" applyFont="1" applyFill="1" applyBorder="1" applyAlignment="1">
      <alignment horizontal="centerContinuous" vertical="center"/>
    </xf>
    <xf numFmtId="177" fontId="54" fillId="12" borderId="0" xfId="0" applyNumberFormat="1" applyFont="1" applyFill="1" applyBorder="1" applyAlignment="1">
      <alignment horizontal="centerContinuous" vertical="center"/>
    </xf>
    <xf numFmtId="0" fontId="54" fillId="12" borderId="0" xfId="0" applyFont="1" applyFill="1" applyBorder="1" applyAlignment="1">
      <alignment horizontal="centerContinuous" vertical="center"/>
    </xf>
    <xf numFmtId="174" fontId="54" fillId="12" borderId="0" xfId="0" applyNumberFormat="1" applyFont="1" applyFill="1" applyBorder="1" applyAlignment="1" applyProtection="1">
      <alignment horizontal="centerContinuous" vertical="center"/>
      <protection locked="0"/>
    </xf>
    <xf numFmtId="178" fontId="54" fillId="12" borderId="0" xfId="0" applyNumberFormat="1" applyFont="1" applyFill="1" applyBorder="1" applyAlignment="1">
      <alignment horizontal="centerContinuous" vertical="center"/>
    </xf>
    <xf numFmtId="0" fontId="54" fillId="12" borderId="24" xfId="0" applyFont="1" applyFill="1" applyBorder="1" applyAlignment="1">
      <alignment horizontal="centerContinuous" vertical="center"/>
    </xf>
    <xf numFmtId="0" fontId="54" fillId="12" borderId="28" xfId="0" applyFont="1" applyFill="1" applyBorder="1" applyAlignment="1">
      <alignment horizontal="centerContinuous"/>
    </xf>
    <xf numFmtId="177" fontId="54" fillId="12" borderId="0" xfId="0" applyNumberFormat="1" applyFont="1" applyFill="1" applyBorder="1" applyAlignment="1">
      <alignment horizontal="centerContinuous"/>
    </xf>
    <xf numFmtId="0" fontId="54" fillId="12" borderId="0" xfId="0" applyFont="1" applyFill="1" applyBorder="1" applyAlignment="1">
      <alignment horizontal="centerContinuous"/>
    </xf>
    <xf numFmtId="174" fontId="54" fillId="12" borderId="0" xfId="0" applyNumberFormat="1" applyFont="1" applyFill="1" applyBorder="1" applyAlignment="1" applyProtection="1">
      <alignment horizontal="centerContinuous"/>
      <protection locked="0"/>
    </xf>
    <xf numFmtId="178" fontId="54" fillId="12" borderId="0" xfId="0" applyNumberFormat="1" applyFont="1" applyFill="1" applyBorder="1" applyAlignment="1">
      <alignment horizontal="centerContinuous"/>
    </xf>
    <xf numFmtId="0" fontId="54" fillId="12" borderId="24" xfId="0" applyFont="1" applyFill="1" applyBorder="1" applyAlignment="1">
      <alignment horizontal="centerContinuous"/>
    </xf>
    <xf numFmtId="174" fontId="35" fillId="12" borderId="0" xfId="0" applyNumberFormat="1" applyFont="1" applyFill="1" applyBorder="1" applyAlignment="1" applyProtection="1">
      <alignment horizontal="center"/>
      <protection locked="0"/>
    </xf>
    <xf numFmtId="177" fontId="35" fillId="12" borderId="21" xfId="0" applyNumberFormat="1" applyFont="1" applyFill="1" applyBorder="1" applyAlignment="1">
      <alignment horizontal="center"/>
    </xf>
    <xf numFmtId="0" fontId="35" fillId="12" borderId="21" xfId="0" applyFont="1" applyFill="1" applyBorder="1" applyAlignment="1">
      <alignment horizontal="center"/>
    </xf>
    <xf numFmtId="174" fontId="35" fillId="12" borderId="21" xfId="0" applyNumberFormat="1" applyFont="1" applyFill="1" applyBorder="1" applyAlignment="1" applyProtection="1">
      <alignment horizontal="center"/>
      <protection locked="0"/>
    </xf>
    <xf numFmtId="178" fontId="35" fillId="12" borderId="21" xfId="0" applyNumberFormat="1" applyFont="1" applyFill="1" applyBorder="1"/>
    <xf numFmtId="177" fontId="35" fillId="12" borderId="0" xfId="0" applyNumberFormat="1" applyFont="1" applyFill="1" applyBorder="1" applyAlignment="1" applyProtection="1">
      <alignment horizontal="center"/>
      <protection locked="0"/>
    </xf>
    <xf numFmtId="0" fontId="35" fillId="16" borderId="0" xfId="0" applyFont="1" applyFill="1"/>
    <xf numFmtId="0" fontId="37" fillId="0" borderId="0" xfId="0" applyFont="1" applyAlignment="1">
      <alignment horizontal="center"/>
    </xf>
    <xf numFmtId="0" fontId="4" fillId="0" borderId="0" xfId="0" applyFont="1"/>
    <xf numFmtId="0" fontId="4" fillId="0" borderId="0" xfId="0" applyFont="1" applyAlignment="1">
      <alignment wrapText="1"/>
    </xf>
    <xf numFmtId="0" fontId="38" fillId="0" borderId="0" xfId="11" applyFont="1" applyAlignment="1" applyProtection="1"/>
    <xf numFmtId="37" fontId="3" fillId="3" borderId="1" xfId="0" applyNumberFormat="1" applyFont="1" applyFill="1" applyBorder="1" applyAlignment="1" applyProtection="1">
      <alignment vertical="center"/>
    </xf>
    <xf numFmtId="165" fontId="4" fillId="6" borderId="4" xfId="0" applyNumberFormat="1" applyFont="1" applyFill="1" applyBorder="1" applyAlignment="1" applyProtection="1">
      <alignment vertical="center"/>
    </xf>
    <xf numFmtId="37" fontId="4" fillId="3" borderId="31" xfId="0" applyNumberFormat="1" applyFont="1" applyFill="1" applyBorder="1" applyAlignment="1" applyProtection="1">
      <alignment vertical="center"/>
    </xf>
    <xf numFmtId="0" fontId="4" fillId="3" borderId="31" xfId="0" applyFont="1" applyFill="1" applyBorder="1" applyAlignment="1" applyProtection="1">
      <alignment vertical="center"/>
    </xf>
    <xf numFmtId="0" fontId="56" fillId="0" borderId="0" xfId="0" applyFont="1" applyAlignment="1">
      <alignment wrapText="1"/>
    </xf>
    <xf numFmtId="0" fontId="39" fillId="0" borderId="0" xfId="0" applyFont="1" applyAlignment="1" applyProtection="1">
      <alignment vertical="center"/>
    </xf>
    <xf numFmtId="0" fontId="4" fillId="12" borderId="16" xfId="0" applyFont="1" applyFill="1" applyBorder="1" applyAlignment="1" applyProtection="1">
      <alignment vertical="center"/>
    </xf>
    <xf numFmtId="0" fontId="4" fillId="12" borderId="0" xfId="0" applyFont="1" applyFill="1" applyBorder="1" applyAlignment="1" applyProtection="1">
      <alignment vertical="center"/>
    </xf>
    <xf numFmtId="0" fontId="4" fillId="12" borderId="10" xfId="0" applyFont="1" applyFill="1" applyBorder="1" applyAlignment="1" applyProtection="1">
      <alignment vertical="center"/>
    </xf>
    <xf numFmtId="177" fontId="8" fillId="12" borderId="16" xfId="0" applyNumberFormat="1" applyFont="1" applyFill="1" applyBorder="1" applyAlignment="1" applyProtection="1">
      <alignment horizontal="center" vertical="center"/>
    </xf>
    <xf numFmtId="0" fontId="8" fillId="12" borderId="0" xfId="0" applyFont="1" applyFill="1" applyBorder="1" applyAlignment="1" applyProtection="1">
      <alignment horizontal="left" vertical="center"/>
    </xf>
    <xf numFmtId="0" fontId="8" fillId="12" borderId="10" xfId="0" applyFont="1" applyFill="1" applyBorder="1" applyAlignment="1" applyProtection="1">
      <alignment vertical="center"/>
    </xf>
    <xf numFmtId="0" fontId="8" fillId="12" borderId="0" xfId="0" applyFont="1" applyFill="1" applyBorder="1" applyAlignment="1" applyProtection="1">
      <alignment vertical="center"/>
    </xf>
    <xf numFmtId="177" fontId="8" fillId="12" borderId="8" xfId="0" applyNumberFormat="1" applyFont="1" applyFill="1" applyBorder="1" applyAlignment="1" applyProtection="1">
      <alignment horizontal="center" vertical="center"/>
    </xf>
    <xf numFmtId="177" fontId="8" fillId="12" borderId="16" xfId="0" applyNumberFormat="1" applyFont="1" applyFill="1" applyBorder="1" applyAlignment="1" applyProtection="1">
      <alignment vertical="center"/>
    </xf>
    <xf numFmtId="177" fontId="41" fillId="17" borderId="8" xfId="0" applyNumberFormat="1" applyFont="1" applyFill="1" applyBorder="1" applyAlignment="1" applyProtection="1">
      <alignment horizontal="center" vertical="center"/>
    </xf>
    <xf numFmtId="0" fontId="41" fillId="17" borderId="1" xfId="0" applyFont="1" applyFill="1" applyBorder="1" applyAlignment="1" applyProtection="1">
      <alignment vertical="center"/>
    </xf>
    <xf numFmtId="0" fontId="8" fillId="17" borderId="3" xfId="0" applyFont="1" applyFill="1" applyBorder="1" applyAlignment="1" applyProtection="1">
      <alignment vertical="center"/>
    </xf>
    <xf numFmtId="0" fontId="4" fillId="17" borderId="3" xfId="0" applyFont="1" applyFill="1" applyBorder="1" applyAlignment="1" applyProtection="1">
      <alignment vertical="center"/>
    </xf>
    <xf numFmtId="0" fontId="4" fillId="0" borderId="0" xfId="0" applyFont="1" applyFill="1" applyBorder="1" applyAlignment="1" applyProtection="1">
      <alignment vertical="center"/>
    </xf>
    <xf numFmtId="0" fontId="8" fillId="12" borderId="16" xfId="0" applyFont="1" applyFill="1" applyBorder="1" applyAlignment="1" applyProtection="1">
      <alignment vertical="center"/>
    </xf>
    <xf numFmtId="177" fontId="8" fillId="12" borderId="10" xfId="0" applyNumberFormat="1" applyFont="1" applyFill="1" applyBorder="1" applyAlignment="1" applyProtection="1">
      <alignment horizontal="center" vertical="center"/>
    </xf>
    <xf numFmtId="0" fontId="8" fillId="12" borderId="16" xfId="0" applyFont="1" applyFill="1" applyBorder="1" applyAlignment="1" applyProtection="1">
      <alignment horizontal="left" vertical="center"/>
    </xf>
    <xf numFmtId="177" fontId="8" fillId="13" borderId="7" xfId="0" applyNumberFormat="1" applyFont="1" applyFill="1" applyBorder="1" applyAlignment="1" applyProtection="1">
      <alignment horizontal="center" vertical="center"/>
      <protection locked="0"/>
    </xf>
    <xf numFmtId="0" fontId="4" fillId="17" borderId="1" xfId="0" applyFont="1" applyFill="1" applyBorder="1" applyAlignment="1" applyProtection="1">
      <alignment vertical="center"/>
    </xf>
    <xf numFmtId="0" fontId="8" fillId="12" borderId="16" xfId="0" applyFont="1" applyFill="1" applyBorder="1" applyProtection="1"/>
    <xf numFmtId="0" fontId="4" fillId="12" borderId="0" xfId="0" applyFont="1" applyFill="1" applyBorder="1" applyProtection="1"/>
    <xf numFmtId="177" fontId="4" fillId="12" borderId="10" xfId="0" applyNumberFormat="1" applyFont="1" applyFill="1" applyBorder="1" applyAlignment="1" applyProtection="1">
      <alignment horizontal="center"/>
    </xf>
    <xf numFmtId="0" fontId="4" fillId="12" borderId="8" xfId="0" applyFont="1" applyFill="1" applyBorder="1" applyProtection="1"/>
    <xf numFmtId="0" fontId="4" fillId="12" borderId="1" xfId="0" applyFont="1" applyFill="1" applyBorder="1" applyProtection="1"/>
    <xf numFmtId="177" fontId="4" fillId="17" borderId="3" xfId="0" applyNumberFormat="1" applyFont="1" applyFill="1" applyBorder="1" applyAlignment="1" applyProtection="1">
      <alignment horizontal="center"/>
    </xf>
    <xf numFmtId="0" fontId="4" fillId="0" borderId="0" xfId="0" applyFont="1" applyFill="1" applyBorder="1" applyProtection="1"/>
    <xf numFmtId="0" fontId="4" fillId="12" borderId="16" xfId="0" applyFont="1" applyFill="1" applyBorder="1" applyProtection="1"/>
    <xf numFmtId="0" fontId="4" fillId="12" borderId="10" xfId="0" applyFont="1" applyFill="1" applyBorder="1" applyProtection="1"/>
    <xf numFmtId="172" fontId="4" fillId="12" borderId="10" xfId="0" applyNumberFormat="1" applyFont="1" applyFill="1" applyBorder="1" applyAlignment="1" applyProtection="1">
      <alignment horizontal="center"/>
    </xf>
    <xf numFmtId="0" fontId="4" fillId="17" borderId="16" xfId="0" applyFont="1" applyFill="1" applyBorder="1" applyProtection="1"/>
    <xf numFmtId="0" fontId="4" fillId="17" borderId="0" xfId="0" applyFont="1" applyFill="1" applyBorder="1" applyProtection="1"/>
    <xf numFmtId="0" fontId="4" fillId="17" borderId="8" xfId="0" applyFont="1" applyFill="1" applyBorder="1" applyProtection="1"/>
    <xf numFmtId="0" fontId="4" fillId="17" borderId="1" xfId="0" applyFont="1" applyFill="1" applyBorder="1" applyProtection="1"/>
    <xf numFmtId="0" fontId="4" fillId="0" borderId="0" xfId="0" applyFont="1" applyProtection="1"/>
    <xf numFmtId="177" fontId="4" fillId="12" borderId="3" xfId="0" applyNumberFormat="1" applyFont="1" applyFill="1" applyBorder="1" applyAlignment="1" applyProtection="1">
      <alignment horizontal="center"/>
    </xf>
    <xf numFmtId="174" fontId="4" fillId="13" borderId="10" xfId="0" applyNumberFormat="1" applyFont="1" applyFill="1" applyBorder="1" applyAlignment="1" applyProtection="1">
      <alignment horizontal="center"/>
      <protection locked="0"/>
    </xf>
    <xf numFmtId="177" fontId="4" fillId="17" borderId="10" xfId="0" applyNumberFormat="1" applyFont="1" applyFill="1" applyBorder="1" applyAlignment="1" applyProtection="1">
      <alignment horizontal="center"/>
    </xf>
    <xf numFmtId="0" fontId="4" fillId="17" borderId="8" xfId="0" applyFont="1" applyFill="1" applyBorder="1" applyAlignment="1" applyProtection="1">
      <alignment vertical="center"/>
    </xf>
    <xf numFmtId="177" fontId="4" fillId="17" borderId="3" xfId="0" applyNumberFormat="1" applyFont="1" applyFill="1" applyBorder="1" applyAlignment="1" applyProtection="1">
      <alignment horizontal="center" vertical="center"/>
    </xf>
    <xf numFmtId="37" fontId="4" fillId="3" borderId="4" xfId="0" applyNumberFormat="1" applyFont="1" applyFill="1" applyBorder="1" applyAlignment="1" applyProtection="1">
      <alignment horizontal="fill" vertical="center"/>
    </xf>
    <xf numFmtId="37" fontId="4" fillId="3" borderId="1" xfId="0" applyNumberFormat="1" applyFont="1" applyFill="1" applyBorder="1" applyAlignment="1" applyProtection="1">
      <alignment horizontal="center" vertical="center"/>
      <protection locked="0"/>
    </xf>
    <xf numFmtId="37" fontId="4" fillId="3" borderId="13" xfId="22" applyNumberFormat="1" applyFont="1" applyFill="1" applyBorder="1" applyAlignment="1" applyProtection="1">
      <alignment horizontal="center" vertical="center"/>
    </xf>
    <xf numFmtId="37" fontId="4" fillId="3" borderId="4" xfId="22" applyNumberFormat="1" applyFont="1" applyFill="1" applyBorder="1" applyAlignment="1" applyProtection="1">
      <alignment horizontal="center" vertical="center"/>
    </xf>
    <xf numFmtId="172" fontId="4" fillId="3" borderId="7" xfId="0" applyNumberFormat="1" applyFont="1" applyFill="1" applyBorder="1" applyAlignment="1" applyProtection="1">
      <alignment vertical="center"/>
    </xf>
    <xf numFmtId="3" fontId="4" fillId="3" borderId="31" xfId="0" applyNumberFormat="1" applyFont="1" applyFill="1" applyBorder="1" applyAlignment="1" applyProtection="1">
      <alignment vertical="center"/>
    </xf>
    <xf numFmtId="174" fontId="4" fillId="6" borderId="7" xfId="0" applyNumberFormat="1" applyFont="1" applyFill="1" applyBorder="1" applyAlignment="1" applyProtection="1">
      <alignment vertical="center"/>
    </xf>
    <xf numFmtId="3" fontId="4" fillId="6" borderId="4" xfId="0" applyNumberFormat="1" applyFont="1" applyFill="1" applyBorder="1" applyAlignment="1" applyProtection="1">
      <alignment vertical="center"/>
    </xf>
    <xf numFmtId="3" fontId="4" fillId="6" borderId="11" xfId="0" applyNumberFormat="1" applyFont="1" applyFill="1" applyBorder="1" applyAlignment="1" applyProtection="1">
      <alignment vertical="center"/>
    </xf>
    <xf numFmtId="3" fontId="4" fillId="3" borderId="4" xfId="0" applyNumberFormat="1" applyFont="1" applyFill="1" applyBorder="1" applyAlignment="1" applyProtection="1">
      <alignment vertical="center"/>
    </xf>
    <xf numFmtId="174" fontId="4" fillId="6" borderId="4" xfId="0" applyNumberFormat="1" applyFont="1" applyFill="1" applyBorder="1" applyAlignment="1" applyProtection="1">
      <alignment vertical="center"/>
    </xf>
    <xf numFmtId="37" fontId="4" fillId="3" borderId="0" xfId="0" applyNumberFormat="1" applyFont="1" applyFill="1" applyAlignment="1" applyProtection="1">
      <alignment horizontal="left" vertical="center"/>
      <protection locked="0"/>
    </xf>
    <xf numFmtId="3" fontId="4" fillId="13" borderId="7" xfId="0" applyNumberFormat="1" applyFont="1" applyFill="1" applyBorder="1" applyAlignment="1" applyProtection="1">
      <alignment horizontal="center" vertical="center"/>
      <protection locked="0"/>
    </xf>
    <xf numFmtId="0" fontId="4" fillId="13" borderId="0" xfId="0" applyFont="1" applyFill="1" applyAlignment="1" applyProtection="1">
      <alignment horizontal="left" vertical="center"/>
      <protection locked="0"/>
    </xf>
    <xf numFmtId="3" fontId="4" fillId="13" borderId="7" xfId="0" applyNumberFormat="1" applyFont="1" applyFill="1" applyBorder="1" applyAlignment="1" applyProtection="1">
      <alignment vertical="center"/>
      <protection locked="0"/>
    </xf>
    <xf numFmtId="0" fontId="3" fillId="3" borderId="0" xfId="22" applyFont="1" applyFill="1" applyAlignment="1" applyProtection="1">
      <alignment vertical="center"/>
    </xf>
    <xf numFmtId="0" fontId="4" fillId="0" borderId="0" xfId="43" applyFont="1" applyAlignment="1">
      <alignment vertical="center" wrapText="1"/>
    </xf>
    <xf numFmtId="0" fontId="4" fillId="0" borderId="0" xfId="43" applyFont="1" applyAlignment="1">
      <alignment vertical="center"/>
    </xf>
    <xf numFmtId="37" fontId="4" fillId="0" borderId="0" xfId="0" applyNumberFormat="1" applyFont="1" applyFill="1" applyAlignment="1" applyProtection="1">
      <alignment horizontal="left" vertical="center"/>
    </xf>
    <xf numFmtId="0" fontId="4" fillId="0" borderId="0" xfId="0" applyFont="1" applyFill="1" applyAlignment="1" applyProtection="1">
      <alignment vertical="center"/>
    </xf>
    <xf numFmtId="0" fontId="4" fillId="0" borderId="0" xfId="0" applyFont="1" applyFill="1" applyAlignment="1" applyProtection="1">
      <alignment horizontal="right" vertical="center"/>
    </xf>
    <xf numFmtId="37" fontId="4" fillId="0" borderId="0" xfId="0" applyNumberFormat="1" applyFont="1" applyFill="1" applyBorder="1" applyAlignment="1" applyProtection="1">
      <alignment horizontal="left" vertical="center"/>
      <protection locked="0"/>
    </xf>
    <xf numFmtId="0" fontId="4" fillId="3" borderId="0" xfId="10" applyNumberFormat="1" applyFont="1" applyFill="1" applyBorder="1" applyAlignment="1" applyProtection="1">
      <alignment horizontal="right" vertical="center"/>
    </xf>
    <xf numFmtId="0" fontId="54" fillId="12" borderId="0" xfId="0" applyFont="1" applyFill="1" applyAlignment="1">
      <alignment horizontal="center" wrapText="1"/>
    </xf>
    <xf numFmtId="0" fontId="54" fillId="12" borderId="0" xfId="0" applyFont="1" applyFill="1" applyAlignment="1">
      <alignment horizontal="center"/>
    </xf>
    <xf numFmtId="177" fontId="35" fillId="13" borderId="1" xfId="0" applyNumberFormat="1" applyFont="1" applyFill="1" applyBorder="1" applyAlignment="1" applyProtection="1">
      <alignment horizontal="center"/>
      <protection locked="0"/>
    </xf>
    <xf numFmtId="177" fontId="35" fillId="12" borderId="0" xfId="0" applyNumberFormat="1" applyFont="1" applyFill="1" applyAlignment="1">
      <alignment horizontal="center"/>
    </xf>
    <xf numFmtId="0" fontId="35" fillId="12" borderId="0" xfId="0" applyFont="1" applyFill="1" applyBorder="1" applyAlignment="1"/>
    <xf numFmtId="0" fontId="35" fillId="12" borderId="27" xfId="0" applyFont="1" applyFill="1" applyBorder="1" applyAlignment="1"/>
    <xf numFmtId="0" fontId="35" fillId="12" borderId="0" xfId="0" applyFont="1" applyFill="1" applyBorder="1" applyAlignment="1">
      <alignment horizontal="center"/>
    </xf>
    <xf numFmtId="177" fontId="35" fillId="12" borderId="0" xfId="0" applyNumberFormat="1" applyFont="1" applyFill="1" applyBorder="1" applyAlignment="1">
      <alignment horizontal="center"/>
    </xf>
    <xf numFmtId="0" fontId="35" fillId="12" borderId="15" xfId="0" applyFont="1" applyFill="1" applyBorder="1" applyAlignment="1">
      <alignment horizontal="center"/>
    </xf>
    <xf numFmtId="178" fontId="35" fillId="12" borderId="0" xfId="0" applyNumberFormat="1" applyFont="1" applyFill="1" applyBorder="1" applyAlignment="1">
      <alignment horizontal="center"/>
    </xf>
    <xf numFmtId="0" fontId="4" fillId="0" borderId="0" xfId="0" applyFont="1" applyBorder="1" applyAlignment="1">
      <alignment vertical="center"/>
    </xf>
    <xf numFmtId="0" fontId="4" fillId="3" borderId="0" xfId="0" applyFont="1" applyFill="1" applyBorder="1" applyAlignment="1">
      <alignment vertical="center"/>
    </xf>
    <xf numFmtId="37" fontId="3" fillId="3" borderId="4" xfId="0" applyNumberFormat="1" applyFont="1" applyFill="1" applyBorder="1" applyAlignment="1" applyProtection="1">
      <alignment horizontal="center" vertical="center"/>
    </xf>
    <xf numFmtId="37" fontId="3" fillId="3" borderId="2" xfId="0" applyNumberFormat="1" applyFont="1" applyFill="1" applyBorder="1" applyAlignment="1" applyProtection="1">
      <alignment horizontal="center" vertical="center"/>
    </xf>
    <xf numFmtId="0" fontId="4" fillId="12" borderId="0" xfId="28" applyFont="1" applyFill="1"/>
    <xf numFmtId="0" fontId="2" fillId="0" borderId="0" xfId="28"/>
    <xf numFmtId="0" fontId="4" fillId="12" borderId="0" xfId="28" applyFont="1" applyFill="1" applyAlignment="1">
      <alignment vertical="center"/>
    </xf>
    <xf numFmtId="37" fontId="4" fillId="12" borderId="0" xfId="28" applyNumberFormat="1" applyFont="1" applyFill="1" applyAlignment="1">
      <alignment vertical="center"/>
    </xf>
    <xf numFmtId="0" fontId="4" fillId="12" borderId="1" xfId="28" applyFont="1" applyFill="1" applyBorder="1" applyAlignment="1">
      <alignment vertical="center"/>
    </xf>
    <xf numFmtId="0" fontId="4" fillId="12" borderId="0" xfId="28" applyFont="1" applyFill="1" applyAlignment="1">
      <alignment horizontal="center" vertical="center"/>
    </xf>
    <xf numFmtId="0" fontId="5" fillId="12" borderId="0" xfId="28" applyFont="1" applyFill="1" applyAlignment="1">
      <alignment horizontal="center" vertical="center"/>
    </xf>
    <xf numFmtId="177" fontId="4" fillId="12" borderId="0" xfId="28" applyNumberFormat="1" applyFont="1" applyFill="1" applyAlignment="1">
      <alignment vertical="center"/>
    </xf>
    <xf numFmtId="177" fontId="4" fillId="12" borderId="15" xfId="28" applyNumberFormat="1" applyFont="1" applyFill="1" applyBorder="1" applyAlignment="1">
      <alignment vertical="center"/>
    </xf>
    <xf numFmtId="6" fontId="4" fillId="12" borderId="0" xfId="28" applyNumberFormat="1" applyFont="1" applyFill="1" applyBorder="1" applyAlignment="1">
      <alignment vertical="center"/>
    </xf>
    <xf numFmtId="177" fontId="4" fillId="12" borderId="0" xfId="28" applyNumberFormat="1" applyFont="1" applyFill="1" applyBorder="1" applyAlignment="1">
      <alignment vertical="center"/>
    </xf>
    <xf numFmtId="0" fontId="57" fillId="17" borderId="0" xfId="28" applyFont="1" applyFill="1" applyAlignment="1">
      <alignment vertical="center"/>
    </xf>
    <xf numFmtId="0" fontId="57" fillId="12" borderId="0" xfId="28" applyFont="1" applyFill="1" applyAlignment="1">
      <alignment horizontal="center" vertical="center"/>
    </xf>
    <xf numFmtId="174" fontId="4" fillId="12" borderId="0" xfId="28" applyNumberFormat="1" applyFont="1" applyFill="1" applyAlignment="1">
      <alignment horizontal="center" vertical="center"/>
    </xf>
    <xf numFmtId="179" fontId="57" fillId="12" borderId="0" xfId="28" applyNumberFormat="1" applyFont="1" applyFill="1" applyAlignment="1">
      <alignment horizontal="center" vertical="center"/>
    </xf>
    <xf numFmtId="0" fontId="57" fillId="17" borderId="0" xfId="28" applyFont="1" applyFill="1" applyAlignment="1">
      <alignment horizontal="center" vertical="center"/>
    </xf>
    <xf numFmtId="0" fontId="49" fillId="17" borderId="0" xfId="28" applyFont="1" applyFill="1" applyAlignment="1">
      <alignment horizontal="center" vertical="center"/>
    </xf>
    <xf numFmtId="0" fontId="4" fillId="12" borderId="0" xfId="28" applyFont="1" applyFill="1" applyAlignment="1">
      <alignment horizontal="right" vertical="center"/>
    </xf>
    <xf numFmtId="0" fontId="4" fillId="12" borderId="0" xfId="28" applyFont="1" applyFill="1" applyAlignment="1">
      <alignment horizontal="left" vertical="center"/>
    </xf>
    <xf numFmtId="0" fontId="4" fillId="12" borderId="0" xfId="25" applyFont="1" applyFill="1"/>
    <xf numFmtId="0" fontId="2" fillId="12" borderId="0" xfId="28" applyFill="1"/>
    <xf numFmtId="0" fontId="3" fillId="12" borderId="0" xfId="25" applyFont="1" applyFill="1"/>
    <xf numFmtId="0" fontId="2" fillId="12" borderId="0" xfId="25" applyFill="1"/>
    <xf numFmtId="0" fontId="30" fillId="0" borderId="0" xfId="11" applyAlignment="1" applyProtection="1"/>
    <xf numFmtId="0" fontId="4" fillId="17" borderId="0" xfId="0" applyFont="1" applyFill="1" applyBorder="1" applyAlignment="1" applyProtection="1">
      <alignment vertical="center"/>
    </xf>
    <xf numFmtId="37" fontId="4" fillId="3" borderId="0" xfId="22" applyNumberFormat="1" applyFont="1" applyFill="1" applyAlignment="1" applyProtection="1">
      <alignment vertical="center"/>
    </xf>
    <xf numFmtId="0" fontId="4" fillId="3" borderId="0" xfId="22" applyFont="1" applyFill="1" applyAlignment="1" applyProtection="1">
      <alignment vertical="center"/>
    </xf>
    <xf numFmtId="1" fontId="4" fillId="3" borderId="0" xfId="22" applyNumberFormat="1" applyFont="1" applyFill="1" applyBorder="1" applyAlignment="1" applyProtection="1">
      <alignment horizontal="right" vertical="center"/>
    </xf>
    <xf numFmtId="0" fontId="4" fillId="0" borderId="0" xfId="22" applyFont="1" applyProtection="1">
      <protection locked="0"/>
    </xf>
    <xf numFmtId="37" fontId="4" fillId="3" borderId="0" xfId="22" applyNumberFormat="1" applyFont="1" applyFill="1" applyAlignment="1" applyProtection="1">
      <alignment horizontal="right" vertical="center"/>
    </xf>
    <xf numFmtId="37" fontId="4" fillId="3" borderId="0" xfId="22" applyNumberFormat="1" applyFont="1" applyFill="1" applyAlignment="1" applyProtection="1">
      <alignment horizontal="fill" vertical="center"/>
    </xf>
    <xf numFmtId="37" fontId="4" fillId="3" borderId="0" xfId="22" quotePrefix="1" applyNumberFormat="1" applyFont="1" applyFill="1" applyAlignment="1" applyProtection="1">
      <alignment horizontal="right" vertical="center"/>
    </xf>
    <xf numFmtId="37" fontId="4" fillId="3" borderId="0" xfId="22" applyNumberFormat="1" applyFont="1" applyFill="1" applyAlignment="1" applyProtection="1">
      <alignment horizontal="left" vertical="center"/>
    </xf>
    <xf numFmtId="1" fontId="4" fillId="3" borderId="2" xfId="22" applyNumberFormat="1" applyFont="1" applyFill="1" applyBorder="1" applyAlignment="1" applyProtection="1">
      <alignment horizontal="center" vertical="center"/>
    </xf>
    <xf numFmtId="37" fontId="4" fillId="3" borderId="14" xfId="22" applyNumberFormat="1" applyFont="1" applyFill="1" applyBorder="1" applyAlignment="1" applyProtection="1">
      <alignment horizontal="center" vertical="center"/>
    </xf>
    <xf numFmtId="37" fontId="4" fillId="3" borderId="2" xfId="22" applyNumberFormat="1" applyFont="1" applyFill="1" applyBorder="1" applyAlignment="1" applyProtection="1">
      <alignment horizontal="center" vertical="center"/>
    </xf>
    <xf numFmtId="37" fontId="3" fillId="3" borderId="1" xfId="22" applyNumberFormat="1" applyFont="1" applyFill="1" applyBorder="1" applyAlignment="1" applyProtection="1">
      <alignment vertical="center"/>
    </xf>
    <xf numFmtId="0" fontId="4" fillId="3" borderId="4" xfId="22" applyNumberFormat="1" applyFont="1" applyFill="1" applyBorder="1" applyAlignment="1" applyProtection="1">
      <alignment horizontal="center" vertical="center"/>
    </xf>
    <xf numFmtId="0" fontId="4" fillId="3" borderId="8" xfId="22" applyNumberFormat="1" applyFont="1" applyFill="1" applyBorder="1" applyAlignment="1" applyProtection="1">
      <alignment horizontal="center" vertical="center"/>
    </xf>
    <xf numFmtId="1" fontId="4" fillId="3" borderId="4" xfId="22" applyNumberFormat="1" applyFont="1" applyFill="1" applyBorder="1" applyAlignment="1" applyProtection="1">
      <alignment horizontal="center" vertical="center"/>
    </xf>
    <xf numFmtId="37" fontId="4" fillId="3" borderId="5" xfId="22" applyNumberFormat="1" applyFont="1" applyFill="1" applyBorder="1" applyAlignment="1" applyProtection="1">
      <alignment horizontal="left" vertical="center"/>
    </xf>
    <xf numFmtId="37" fontId="4" fillId="2" borderId="5" xfId="22" applyNumberFormat="1" applyFont="1" applyFill="1" applyBorder="1" applyAlignment="1" applyProtection="1">
      <alignment vertical="center"/>
      <protection locked="0"/>
    </xf>
    <xf numFmtId="3" fontId="4" fillId="3" borderId="5" xfId="22" applyNumberFormat="1" applyFont="1" applyFill="1" applyBorder="1" applyAlignment="1" applyProtection="1">
      <alignment vertical="center"/>
    </xf>
    <xf numFmtId="3" fontId="4" fillId="3" borderId="7" xfId="22" applyNumberFormat="1" applyFont="1" applyFill="1" applyBorder="1" applyAlignment="1" applyProtection="1">
      <alignment vertical="center"/>
    </xf>
    <xf numFmtId="37" fontId="4" fillId="3" borderId="5" xfId="22" applyNumberFormat="1" applyFont="1" applyFill="1" applyBorder="1" applyAlignment="1" applyProtection="1">
      <alignment vertical="center"/>
    </xf>
    <xf numFmtId="37" fontId="4" fillId="2" borderId="5" xfId="22" applyNumberFormat="1" applyFont="1" applyFill="1" applyBorder="1" applyAlignment="1" applyProtection="1">
      <alignment horizontal="right" vertical="center"/>
      <protection locked="0"/>
    </xf>
    <xf numFmtId="3" fontId="4" fillId="3" borderId="7" xfId="22" applyNumberFormat="1" applyFont="1" applyFill="1" applyBorder="1" applyAlignment="1" applyProtection="1">
      <alignment horizontal="fill" vertical="center"/>
    </xf>
    <xf numFmtId="3" fontId="4" fillId="4" borderId="5" xfId="22" applyNumberFormat="1" applyFont="1" applyFill="1" applyBorder="1" applyAlignment="1" applyProtection="1">
      <alignment vertical="center"/>
      <protection locked="0"/>
    </xf>
    <xf numFmtId="3" fontId="4" fillId="4" borderId="7" xfId="22" applyNumberFormat="1" applyFont="1" applyFill="1" applyBorder="1" applyAlignment="1" applyProtection="1">
      <alignment vertical="center"/>
      <protection locked="0"/>
    </xf>
    <xf numFmtId="0" fontId="4" fillId="3" borderId="5" xfId="22" applyFont="1" applyFill="1" applyBorder="1" applyAlignment="1" applyProtection="1">
      <alignment vertical="center"/>
    </xf>
    <xf numFmtId="0" fontId="4" fillId="4" borderId="5" xfId="22" applyFont="1" applyFill="1" applyBorder="1" applyAlignment="1" applyProtection="1">
      <alignment horizontal="left" vertical="center"/>
      <protection locked="0"/>
    </xf>
    <xf numFmtId="0" fontId="4" fillId="4" borderId="7" xfId="22" applyFont="1" applyFill="1" applyBorder="1" applyAlignment="1" applyProtection="1">
      <alignment horizontal="left" vertical="center"/>
      <protection locked="0"/>
    </xf>
    <xf numFmtId="37" fontId="4" fillId="4" borderId="5" xfId="22" applyNumberFormat="1" applyFont="1" applyFill="1" applyBorder="1" applyAlignment="1" applyProtection="1">
      <alignment horizontal="left" vertical="center"/>
      <protection locked="0"/>
    </xf>
    <xf numFmtId="3" fontId="4" fillId="2" borderId="5" xfId="22" applyNumberFormat="1" applyFont="1" applyFill="1" applyBorder="1" applyAlignment="1" applyProtection="1">
      <alignment horizontal="right" vertical="center"/>
      <protection locked="0"/>
    </xf>
    <xf numFmtId="3" fontId="15" fillId="7" borderId="5" xfId="22" applyNumberFormat="1" applyFont="1" applyFill="1" applyBorder="1" applyAlignment="1" applyProtection="1">
      <alignment horizontal="center" vertical="center"/>
    </xf>
    <xf numFmtId="3" fontId="15" fillId="7" borderId="7" xfId="22" applyNumberFormat="1" applyFont="1" applyFill="1" applyBorder="1" applyAlignment="1" applyProtection="1">
      <alignment horizontal="center" vertical="center"/>
    </xf>
    <xf numFmtId="37" fontId="3" fillId="3" borderId="5" xfId="22" applyNumberFormat="1" applyFont="1" applyFill="1" applyBorder="1" applyAlignment="1" applyProtection="1">
      <alignment horizontal="left" vertical="center"/>
    </xf>
    <xf numFmtId="3" fontId="3" fillId="3" borderId="5" xfId="22" applyNumberFormat="1" applyFont="1" applyFill="1" applyBorder="1" applyAlignment="1" applyProtection="1">
      <alignment vertical="center"/>
    </xf>
    <xf numFmtId="3" fontId="3" fillId="3" borderId="7" xfId="22" applyNumberFormat="1" applyFont="1" applyFill="1" applyBorder="1" applyAlignment="1" applyProtection="1">
      <alignment vertical="center"/>
    </xf>
    <xf numFmtId="0" fontId="8" fillId="12" borderId="16" xfId="22" applyFont="1" applyFill="1" applyBorder="1" applyAlignment="1" applyProtection="1">
      <alignment vertical="center"/>
    </xf>
    <xf numFmtId="0" fontId="4" fillId="12" borderId="0" xfId="22" applyFont="1" applyFill="1" applyBorder="1" applyAlignment="1" applyProtection="1">
      <alignment vertical="center"/>
    </xf>
    <xf numFmtId="0" fontId="8" fillId="12" borderId="0" xfId="22" applyFont="1" applyFill="1" applyBorder="1" applyAlignment="1" applyProtection="1">
      <alignment vertical="center"/>
    </xf>
    <xf numFmtId="177" fontId="8" fillId="12" borderId="10" xfId="22" applyNumberFormat="1" applyFont="1" applyFill="1" applyBorder="1" applyAlignment="1" applyProtection="1">
      <alignment horizontal="center" vertical="center"/>
    </xf>
    <xf numFmtId="0" fontId="8" fillId="12" borderId="16" xfId="22" applyFont="1" applyFill="1" applyBorder="1" applyAlignment="1" applyProtection="1">
      <alignment horizontal="left" vertical="center"/>
    </xf>
    <xf numFmtId="177" fontId="8" fillId="13" borderId="7" xfId="22" applyNumberFormat="1" applyFont="1" applyFill="1" applyBorder="1" applyAlignment="1" applyProtection="1">
      <alignment horizontal="center" vertical="center"/>
      <protection locked="0"/>
    </xf>
    <xf numFmtId="174" fontId="41" fillId="12" borderId="6" xfId="22" applyNumberFormat="1" applyFont="1" applyFill="1" applyBorder="1" applyAlignment="1" applyProtection="1">
      <alignment horizontal="center" vertical="center"/>
    </xf>
    <xf numFmtId="0" fontId="41" fillId="17" borderId="16" xfId="22" applyFont="1" applyFill="1" applyBorder="1" applyAlignment="1" applyProtection="1">
      <alignment vertical="center"/>
    </xf>
    <xf numFmtId="0" fontId="4" fillId="17" borderId="0" xfId="22" applyFont="1" applyFill="1" applyBorder="1" applyAlignment="1" applyProtection="1">
      <alignment vertical="center"/>
    </xf>
    <xf numFmtId="0" fontId="8" fillId="17" borderId="0" xfId="22" applyFont="1" applyFill="1" applyBorder="1" applyAlignment="1" applyProtection="1">
      <alignment vertical="center"/>
    </xf>
    <xf numFmtId="177" fontId="41" fillId="17" borderId="6" xfId="22" applyNumberFormat="1" applyFont="1" applyFill="1" applyBorder="1" applyAlignment="1" applyProtection="1">
      <alignment horizontal="center" vertical="center"/>
    </xf>
    <xf numFmtId="37" fontId="8" fillId="3" borderId="8" xfId="22" applyNumberFormat="1" applyFont="1" applyFill="1" applyBorder="1" applyAlignment="1" applyProtection="1">
      <alignment horizontal="left" vertical="center"/>
    </xf>
    <xf numFmtId="0" fontId="45" fillId="12" borderId="1" xfId="22" applyFont="1" applyFill="1" applyBorder="1" applyAlignment="1">
      <alignment horizontal="left" vertical="center"/>
    </xf>
    <xf numFmtId="177" fontId="41" fillId="17" borderId="3" xfId="22" applyNumberFormat="1" applyFont="1" applyFill="1" applyBorder="1" applyAlignment="1" applyProtection="1">
      <alignment horizontal="center" vertical="center"/>
      <protection locked="0"/>
    </xf>
    <xf numFmtId="0" fontId="4" fillId="3" borderId="5" xfId="22" applyFont="1" applyFill="1" applyBorder="1" applyAlignment="1" applyProtection="1">
      <alignment vertical="center"/>
      <protection locked="0"/>
    </xf>
    <xf numFmtId="37" fontId="4" fillId="3" borderId="10" xfId="22" applyNumberFormat="1" applyFont="1" applyFill="1" applyBorder="1" applyAlignment="1" applyProtection="1">
      <alignment horizontal="right" vertical="center"/>
    </xf>
    <xf numFmtId="3" fontId="3" fillId="6" borderId="5" xfId="22" applyNumberFormat="1" applyFont="1" applyFill="1" applyBorder="1" applyAlignment="1" applyProtection="1">
      <alignment vertical="center"/>
    </xf>
    <xf numFmtId="3" fontId="3" fillId="6" borderId="7" xfId="22" applyNumberFormat="1" applyFont="1" applyFill="1" applyBorder="1" applyAlignment="1" applyProtection="1">
      <alignment vertical="center"/>
    </xf>
    <xf numFmtId="177" fontId="8" fillId="12" borderId="16" xfId="22" applyNumberFormat="1" applyFont="1" applyFill="1" applyBorder="1" applyAlignment="1" applyProtection="1">
      <alignment horizontal="center" vertical="center"/>
    </xf>
    <xf numFmtId="0" fontId="8" fillId="12" borderId="0" xfId="22" applyFont="1" applyFill="1" applyBorder="1" applyAlignment="1" applyProtection="1">
      <alignment horizontal="left" vertical="center"/>
    </xf>
    <xf numFmtId="0" fontId="8" fillId="12" borderId="10" xfId="22" applyFont="1" applyFill="1" applyBorder="1" applyAlignment="1" applyProtection="1">
      <alignment vertical="center"/>
    </xf>
    <xf numFmtId="3" fontId="4" fillId="6" borderId="5" xfId="22" applyNumberFormat="1" applyFont="1" applyFill="1" applyBorder="1" applyAlignment="1" applyProtection="1">
      <alignment vertical="center"/>
    </xf>
    <xf numFmtId="0" fontId="2" fillId="0" borderId="0" xfId="22"/>
    <xf numFmtId="0" fontId="4" fillId="3" borderId="0" xfId="22" applyFont="1" applyFill="1" applyAlignment="1" applyProtection="1">
      <alignment horizontal="right" vertical="center"/>
    </xf>
    <xf numFmtId="3" fontId="4" fillId="3" borderId="7" xfId="22" applyNumberFormat="1" applyFont="1" applyFill="1" applyBorder="1" applyAlignment="1" applyProtection="1">
      <alignment horizontal="center" vertical="center"/>
    </xf>
    <xf numFmtId="3" fontId="4" fillId="3" borderId="0" xfId="22" applyNumberFormat="1" applyFont="1" applyFill="1" applyAlignment="1" applyProtection="1">
      <alignment horizontal="center" vertical="center"/>
    </xf>
    <xf numFmtId="0" fontId="15" fillId="0" borderId="0" xfId="22" applyFont="1" applyAlignment="1" applyProtection="1">
      <alignment vertical="center"/>
    </xf>
    <xf numFmtId="177" fontId="8" fillId="12" borderId="8" xfId="22" applyNumberFormat="1" applyFont="1" applyFill="1" applyBorder="1" applyAlignment="1" applyProtection="1">
      <alignment horizontal="center" vertical="center"/>
    </xf>
    <xf numFmtId="0" fontId="58" fillId="0" borderId="0" xfId="22" applyFont="1" applyProtection="1">
      <protection locked="0"/>
    </xf>
    <xf numFmtId="0" fontId="46" fillId="0" borderId="0" xfId="22" applyFont="1" applyAlignment="1" applyProtection="1">
      <alignment vertical="center"/>
    </xf>
    <xf numFmtId="0" fontId="53" fillId="3" borderId="0" xfId="22" applyFont="1" applyFill="1" applyAlignment="1" applyProtection="1">
      <alignment horizontal="center" vertical="center"/>
    </xf>
    <xf numFmtId="177" fontId="8" fillId="12" borderId="16" xfId="22" applyNumberFormat="1" applyFont="1" applyFill="1" applyBorder="1" applyAlignment="1" applyProtection="1">
      <alignment vertical="center"/>
    </xf>
    <xf numFmtId="0" fontId="16" fillId="3" borderId="0" xfId="22" applyFont="1" applyFill="1" applyAlignment="1" applyProtection="1">
      <alignment horizontal="center" vertical="center"/>
    </xf>
    <xf numFmtId="3" fontId="4" fillId="6" borderId="7" xfId="22" applyNumberFormat="1" applyFont="1" applyFill="1" applyBorder="1" applyAlignment="1" applyProtection="1">
      <alignment vertical="center"/>
    </xf>
    <xf numFmtId="180" fontId="4" fillId="12" borderId="0" xfId="43" applyNumberFormat="1" applyFont="1" applyFill="1" applyAlignment="1">
      <alignment horizontal="center" vertical="center"/>
    </xf>
    <xf numFmtId="177" fontId="8" fillId="17" borderId="8" xfId="22" applyNumberFormat="1" applyFont="1" applyFill="1" applyBorder="1" applyAlignment="1" applyProtection="1">
      <alignment horizontal="center" vertical="center"/>
    </xf>
    <xf numFmtId="0" fontId="8" fillId="17" borderId="1" xfId="22" applyFont="1" applyFill="1" applyBorder="1" applyAlignment="1" applyProtection="1">
      <alignment vertical="center"/>
    </xf>
    <xf numFmtId="0" fontId="8" fillId="17" borderId="3" xfId="22" applyFont="1" applyFill="1" applyBorder="1" applyAlignment="1" applyProtection="1">
      <alignment vertical="center"/>
    </xf>
    <xf numFmtId="37" fontId="4" fillId="17" borderId="3" xfId="22" applyNumberFormat="1" applyFont="1" applyFill="1" applyBorder="1" applyAlignment="1" applyProtection="1">
      <alignment horizontal="right" vertical="center"/>
    </xf>
    <xf numFmtId="0" fontId="4" fillId="3" borderId="0" xfId="11" applyNumberFormat="1" applyFont="1" applyFill="1" applyBorder="1" applyAlignment="1" applyProtection="1">
      <alignment horizontal="right" vertical="center"/>
    </xf>
    <xf numFmtId="3" fontId="4" fillId="5" borderId="11" xfId="22" applyNumberFormat="1" applyFont="1" applyFill="1" applyBorder="1" applyAlignment="1" applyProtection="1">
      <alignment vertical="center"/>
    </xf>
    <xf numFmtId="174" fontId="4" fillId="12" borderId="0" xfId="22" applyNumberFormat="1" applyFont="1" applyFill="1" applyBorder="1" applyAlignment="1" applyProtection="1">
      <alignment vertical="center"/>
    </xf>
    <xf numFmtId="174" fontId="8" fillId="12" borderId="16" xfId="22" applyNumberFormat="1" applyFont="1" applyFill="1" applyBorder="1" applyAlignment="1" applyProtection="1">
      <alignment horizontal="center" vertical="center"/>
    </xf>
    <xf numFmtId="0" fontId="40" fillId="12" borderId="0" xfId="22" applyFont="1" applyFill="1" applyBorder="1" applyAlignment="1" applyProtection="1">
      <alignment horizontal="center" vertical="center"/>
    </xf>
    <xf numFmtId="0" fontId="2" fillId="12" borderId="10" xfId="22" applyFill="1" applyBorder="1" applyAlignment="1" applyProtection="1">
      <alignment vertical="center"/>
    </xf>
    <xf numFmtId="174" fontId="8" fillId="17" borderId="8" xfId="22" applyNumberFormat="1" applyFont="1" applyFill="1" applyBorder="1" applyAlignment="1" applyProtection="1">
      <alignment horizontal="center" vertical="center"/>
    </xf>
    <xf numFmtId="174" fontId="8" fillId="12" borderId="5" xfId="22" applyNumberFormat="1" applyFont="1" applyFill="1" applyBorder="1" applyAlignment="1" applyProtection="1">
      <alignment horizontal="center" vertical="center"/>
    </xf>
    <xf numFmtId="37" fontId="3" fillId="3" borderId="0" xfId="22" applyNumberFormat="1" applyFont="1" applyFill="1" applyBorder="1" applyAlignment="1" applyProtection="1">
      <alignment vertical="center"/>
    </xf>
    <xf numFmtId="174" fontId="8" fillId="17" borderId="5" xfId="22" applyNumberFormat="1" applyFont="1" applyFill="1" applyBorder="1" applyAlignment="1" applyProtection="1">
      <alignment horizontal="center" vertical="center"/>
    </xf>
    <xf numFmtId="0" fontId="8" fillId="12" borderId="1" xfId="22" applyFont="1" applyFill="1" applyBorder="1" applyAlignment="1" applyProtection="1">
      <alignment horizontal="left" vertical="center"/>
    </xf>
    <xf numFmtId="0" fontId="40" fillId="12" borderId="1" xfId="22" applyFont="1" applyFill="1" applyBorder="1" applyAlignment="1" applyProtection="1">
      <alignment horizontal="center" vertical="center"/>
    </xf>
    <xf numFmtId="0" fontId="2" fillId="12" borderId="3" xfId="22" applyFill="1" applyBorder="1" applyAlignment="1" applyProtection="1">
      <alignment vertical="center"/>
    </xf>
    <xf numFmtId="37" fontId="4" fillId="3" borderId="8" xfId="22" applyNumberFormat="1" applyFont="1" applyFill="1" applyBorder="1" applyAlignment="1" applyProtection="1">
      <alignment horizontal="left" vertical="center"/>
    </xf>
    <xf numFmtId="3" fontId="4" fillId="2" borderId="7" xfId="22" applyNumberFormat="1" applyFont="1" applyFill="1" applyBorder="1" applyAlignment="1" applyProtection="1">
      <alignment horizontal="right" vertical="center"/>
      <protection locked="0"/>
    </xf>
    <xf numFmtId="0" fontId="4" fillId="12" borderId="16" xfId="22" applyFont="1" applyFill="1" applyBorder="1" applyAlignment="1" applyProtection="1">
      <alignment vertical="center"/>
    </xf>
    <xf numFmtId="0" fontId="4" fillId="12" borderId="10" xfId="22" applyFont="1" applyFill="1" applyBorder="1" applyProtection="1">
      <protection locked="0"/>
    </xf>
    <xf numFmtId="0" fontId="39" fillId="0" borderId="0" xfId="22" applyFont="1" applyAlignment="1" applyProtection="1">
      <alignment horizontal="right" vertical="center"/>
    </xf>
    <xf numFmtId="177" fontId="22" fillId="12" borderId="16" xfId="22" applyNumberFormat="1" applyFont="1" applyFill="1" applyBorder="1" applyAlignment="1" applyProtection="1">
      <alignment horizontal="center" vertical="center"/>
    </xf>
    <xf numFmtId="0" fontId="4" fillId="12" borderId="10" xfId="22" applyFont="1" applyFill="1" applyBorder="1" applyAlignment="1" applyProtection="1">
      <alignment vertical="center"/>
    </xf>
    <xf numFmtId="177" fontId="22" fillId="12" borderId="16" xfId="22" applyNumberFormat="1" applyFont="1" applyFill="1" applyBorder="1" applyAlignment="1" applyProtection="1">
      <alignment vertical="center"/>
    </xf>
    <xf numFmtId="0" fontId="22" fillId="12" borderId="0" xfId="22" applyFont="1" applyFill="1" applyBorder="1" applyAlignment="1" applyProtection="1">
      <alignment vertical="center"/>
    </xf>
    <xf numFmtId="0" fontId="4" fillId="17" borderId="3" xfId="22" applyFont="1" applyFill="1" applyBorder="1" applyAlignment="1" applyProtection="1">
      <alignment vertical="center"/>
    </xf>
    <xf numFmtId="0" fontId="4" fillId="17" borderId="3" xfId="22" applyFont="1" applyFill="1" applyBorder="1" applyProtection="1">
      <protection locked="0"/>
    </xf>
    <xf numFmtId="0" fontId="58" fillId="0" borderId="0" xfId="22" applyFont="1"/>
    <xf numFmtId="37" fontId="4" fillId="2" borderId="0" xfId="22" applyNumberFormat="1" applyFont="1" applyFill="1" applyAlignment="1" applyProtection="1">
      <alignment horizontal="left" vertical="center"/>
      <protection locked="0"/>
    </xf>
    <xf numFmtId="174" fontId="8" fillId="0" borderId="0" xfId="11" applyNumberFormat="1" applyFont="1" applyFill="1" applyBorder="1" applyAlignment="1" applyProtection="1">
      <alignment horizontal="center" vertical="center"/>
    </xf>
    <xf numFmtId="0" fontId="4" fillId="0" borderId="0" xfId="22" applyFont="1" applyAlignment="1" applyProtection="1">
      <alignment vertical="center"/>
      <protection locked="0"/>
    </xf>
    <xf numFmtId="0" fontId="53" fillId="0" borderId="0" xfId="22" applyFont="1" applyProtection="1">
      <protection locked="0"/>
    </xf>
    <xf numFmtId="0" fontId="53" fillId="0" borderId="0" xfId="43" applyFont="1" applyAlignment="1" applyProtection="1">
      <alignment vertical="center"/>
      <protection locked="0"/>
    </xf>
    <xf numFmtId="37" fontId="4" fillId="3" borderId="7" xfId="0" applyNumberFormat="1" applyFont="1" applyFill="1" applyBorder="1" applyAlignment="1" applyProtection="1">
      <alignment horizontal="center" vertical="center"/>
      <protection locked="0"/>
    </xf>
    <xf numFmtId="0" fontId="3" fillId="3" borderId="5" xfId="415" applyFont="1" applyFill="1" applyBorder="1" applyAlignment="1" applyProtection="1">
      <alignment vertical="center"/>
    </xf>
    <xf numFmtId="0" fontId="3" fillId="3" borderId="12" xfId="415" applyFont="1" applyFill="1" applyBorder="1" applyAlignment="1" applyProtection="1">
      <alignment vertical="center"/>
    </xf>
    <xf numFmtId="3" fontId="3" fillId="3" borderId="6" xfId="415" applyNumberFormat="1" applyFont="1" applyFill="1" applyBorder="1" applyAlignment="1" applyProtection="1">
      <alignment vertical="center"/>
    </xf>
    <xf numFmtId="0" fontId="3" fillId="3" borderId="6" xfId="415" applyFont="1" applyFill="1" applyBorder="1" applyAlignment="1" applyProtection="1">
      <alignment vertical="center"/>
    </xf>
    <xf numFmtId="0" fontId="3" fillId="3" borderId="7" xfId="415" applyFont="1" applyFill="1" applyBorder="1" applyAlignment="1" applyProtection="1">
      <alignment horizontal="center" vertical="center"/>
    </xf>
    <xf numFmtId="0" fontId="3" fillId="3" borderId="0" xfId="415" applyFont="1" applyFill="1" applyBorder="1" applyAlignment="1" applyProtection="1">
      <alignment horizontal="left" vertical="center"/>
    </xf>
    <xf numFmtId="180" fontId="4" fillId="3" borderId="0" xfId="0" applyNumberFormat="1" applyFont="1" applyFill="1" applyBorder="1" applyAlignment="1">
      <alignment horizontal="center" vertical="center"/>
    </xf>
    <xf numFmtId="0" fontId="8" fillId="17" borderId="0" xfId="0" applyFont="1" applyFill="1" applyBorder="1" applyAlignment="1" applyProtection="1">
      <alignment vertical="center"/>
    </xf>
    <xf numFmtId="0" fontId="40" fillId="12" borderId="0" xfId="0" applyFont="1" applyFill="1" applyBorder="1" applyAlignment="1" applyProtection="1">
      <alignment horizontal="center" vertical="center"/>
    </xf>
    <xf numFmtId="0" fontId="8" fillId="0" borderId="0" xfId="0" applyFont="1" applyFill="1" applyBorder="1" applyAlignment="1" applyProtection="1">
      <alignment vertical="center"/>
    </xf>
    <xf numFmtId="177" fontId="41" fillId="0" borderId="0" xfId="0" applyNumberFormat="1" applyFont="1" applyFill="1" applyBorder="1" applyAlignment="1" applyProtection="1">
      <alignment horizontal="center" vertical="center"/>
    </xf>
    <xf numFmtId="0" fontId="41" fillId="0" borderId="0" xfId="0" applyFont="1" applyFill="1" applyBorder="1" applyAlignment="1" applyProtection="1">
      <alignment vertical="center"/>
    </xf>
    <xf numFmtId="0" fontId="41" fillId="0" borderId="0" xfId="0" applyFont="1" applyFill="1" applyBorder="1" applyAlignment="1" applyProtection="1">
      <alignment horizontal="center" vertical="center"/>
    </xf>
    <xf numFmtId="0" fontId="41" fillId="12" borderId="6" xfId="0" applyFont="1" applyFill="1" applyBorder="1" applyAlignment="1" applyProtection="1">
      <alignment horizontal="center" vertical="center"/>
    </xf>
    <xf numFmtId="0" fontId="41" fillId="17" borderId="16" xfId="0" applyFont="1" applyFill="1" applyBorder="1" applyAlignment="1" applyProtection="1">
      <alignment vertical="center"/>
    </xf>
    <xf numFmtId="177" fontId="41" fillId="17" borderId="6" xfId="0" applyNumberFormat="1" applyFont="1" applyFill="1" applyBorder="1" applyAlignment="1" applyProtection="1">
      <alignment horizontal="center" vertical="center"/>
    </xf>
    <xf numFmtId="37" fontId="8" fillId="3" borderId="8" xfId="0" applyNumberFormat="1" applyFont="1" applyFill="1" applyBorder="1" applyAlignment="1" applyProtection="1">
      <alignment horizontal="left" vertical="center"/>
    </xf>
    <xf numFmtId="0" fontId="45" fillId="12" borderId="1" xfId="0" applyFont="1" applyFill="1" applyBorder="1" applyAlignment="1">
      <alignment horizontal="left" vertical="center"/>
    </xf>
    <xf numFmtId="177" fontId="41" fillId="17" borderId="3" xfId="0" applyNumberFormat="1" applyFont="1" applyFill="1" applyBorder="1" applyAlignment="1" applyProtection="1">
      <alignment horizontal="center" vertical="center"/>
      <protection locked="0"/>
    </xf>
    <xf numFmtId="0" fontId="58" fillId="0" borderId="0" xfId="0" applyFont="1" applyProtection="1">
      <protection locked="0"/>
    </xf>
    <xf numFmtId="174" fontId="8" fillId="12" borderId="16" xfId="0" applyNumberFormat="1" applyFont="1" applyFill="1" applyBorder="1" applyAlignment="1" applyProtection="1">
      <alignment horizontal="center" vertical="center"/>
    </xf>
    <xf numFmtId="0" fontId="0" fillId="12" borderId="10" xfId="0" applyFill="1" applyBorder="1" applyAlignment="1" applyProtection="1">
      <alignment vertical="center"/>
    </xf>
    <xf numFmtId="174" fontId="8" fillId="17" borderId="8" xfId="0" applyNumberFormat="1" applyFont="1" applyFill="1" applyBorder="1" applyAlignment="1" applyProtection="1">
      <alignment horizontal="center" vertical="center"/>
    </xf>
    <xf numFmtId="174" fontId="8" fillId="12" borderId="5" xfId="0" applyNumberFormat="1" applyFont="1" applyFill="1" applyBorder="1" applyAlignment="1" applyProtection="1">
      <alignment horizontal="center" vertical="center"/>
    </xf>
    <xf numFmtId="174" fontId="8" fillId="17" borderId="5" xfId="0" applyNumberFormat="1" applyFont="1" applyFill="1" applyBorder="1" applyAlignment="1" applyProtection="1">
      <alignment horizontal="center" vertical="center"/>
    </xf>
    <xf numFmtId="0" fontId="8" fillId="12" borderId="1" xfId="0" applyFont="1" applyFill="1" applyBorder="1" applyAlignment="1" applyProtection="1">
      <alignment horizontal="left" vertical="center"/>
    </xf>
    <xf numFmtId="0" fontId="40" fillId="12" borderId="1" xfId="0" applyFont="1" applyFill="1" applyBorder="1" applyAlignment="1" applyProtection="1">
      <alignment horizontal="center" vertical="center"/>
    </xf>
    <xf numFmtId="0" fontId="0" fillId="12" borderId="3" xfId="0" applyFill="1" applyBorder="1" applyAlignment="1" applyProtection="1">
      <alignment vertical="center"/>
    </xf>
    <xf numFmtId="49" fontId="4" fillId="0" borderId="0" xfId="392" applyNumberFormat="1" applyFont="1" applyFill="1" applyAlignment="1" applyProtection="1">
      <alignment horizontal="left" vertical="center"/>
      <protection locked="0"/>
    </xf>
    <xf numFmtId="0" fontId="59" fillId="0" borderId="0" xfId="0" applyFont="1"/>
    <xf numFmtId="0" fontId="60" fillId="0" borderId="0" xfId="392" applyFont="1"/>
    <xf numFmtId="175" fontId="61" fillId="0" borderId="0" xfId="392" applyNumberFormat="1" applyFont="1" applyAlignment="1">
      <alignment horizontal="left" vertical="center"/>
    </xf>
    <xf numFmtId="0" fontId="61" fillId="0" borderId="0" xfId="392" applyNumberFormat="1" applyFont="1" applyAlignment="1">
      <alignment horizontal="left" vertical="center"/>
    </xf>
    <xf numFmtId="1" fontId="61" fillId="0" borderId="0" xfId="392" applyNumberFormat="1" applyFont="1" applyAlignment="1">
      <alignment horizontal="left" vertical="center"/>
    </xf>
    <xf numFmtId="0" fontId="62" fillId="0" borderId="0" xfId="392" applyFont="1" applyAlignment="1">
      <alignment horizontal="left" vertical="center"/>
    </xf>
    <xf numFmtId="3" fontId="4" fillId="4" borderId="7" xfId="0" applyNumberFormat="1" applyFont="1" applyFill="1" applyBorder="1" applyAlignment="1" applyProtection="1">
      <alignment horizontal="center" vertical="center"/>
    </xf>
    <xf numFmtId="0" fontId="4" fillId="4" borderId="7" xfId="0" applyFont="1" applyFill="1" applyBorder="1" applyAlignment="1" applyProtection="1">
      <alignment horizontal="center" vertical="center"/>
    </xf>
    <xf numFmtId="37" fontId="4" fillId="7" borderId="11" xfId="0" applyNumberFormat="1" applyFont="1" applyFill="1" applyBorder="1" applyAlignment="1" applyProtection="1">
      <alignment horizontal="center" vertical="center"/>
    </xf>
    <xf numFmtId="174" fontId="4" fillId="7" borderId="11" xfId="0" applyNumberFormat="1" applyFont="1" applyFill="1" applyBorder="1" applyAlignment="1" applyProtection="1">
      <alignment horizontal="center" vertical="center"/>
    </xf>
    <xf numFmtId="3" fontId="4" fillId="7" borderId="11" xfId="0" applyNumberFormat="1" applyFont="1" applyFill="1" applyBorder="1" applyAlignment="1" applyProtection="1">
      <alignment horizontal="center" vertical="center"/>
    </xf>
    <xf numFmtId="37" fontId="4" fillId="3" borderId="7" xfId="0" applyNumberFormat="1" applyFont="1" applyFill="1" applyBorder="1" applyAlignment="1" applyProtection="1">
      <alignment horizontal="right" vertical="center"/>
    </xf>
    <xf numFmtId="165" fontId="4" fillId="3" borderId="7" xfId="0" applyNumberFormat="1" applyFont="1" applyFill="1" applyBorder="1" applyAlignment="1" applyProtection="1">
      <alignment horizontal="right" vertical="center"/>
    </xf>
    <xf numFmtId="37" fontId="4" fillId="3" borderId="11" xfId="0" applyNumberFormat="1" applyFont="1" applyFill="1" applyBorder="1" applyAlignment="1" applyProtection="1">
      <alignment horizontal="right" vertical="center"/>
    </xf>
    <xf numFmtId="170" fontId="4" fillId="3" borderId="11" xfId="0" applyNumberFormat="1" applyFont="1" applyFill="1" applyBorder="1" applyAlignment="1" applyProtection="1">
      <alignment horizontal="right" vertical="center"/>
    </xf>
    <xf numFmtId="0" fontId="4" fillId="3" borderId="0" xfId="0" applyFont="1" applyFill="1" applyBorder="1" applyAlignment="1" applyProtection="1"/>
    <xf numFmtId="0" fontId="4" fillId="3" borderId="0" xfId="0" applyFont="1" applyFill="1" applyAlignment="1" applyProtection="1"/>
    <xf numFmtId="37" fontId="4" fillId="3" borderId="0" xfId="0" applyNumberFormat="1" applyFont="1" applyFill="1" applyBorder="1" applyAlignment="1" applyProtection="1">
      <alignment horizontal="fill"/>
    </xf>
    <xf numFmtId="37" fontId="4" fillId="3" borderId="0" xfId="0" applyNumberFormat="1" applyFont="1" applyFill="1" applyBorder="1" applyAlignment="1" applyProtection="1">
      <alignment horizontal="left"/>
    </xf>
    <xf numFmtId="180" fontId="4" fillId="2" borderId="7" xfId="0" applyNumberFormat="1" applyFont="1" applyFill="1" applyBorder="1" applyAlignment="1" applyProtection="1">
      <alignment vertical="center"/>
      <protection locked="0"/>
    </xf>
    <xf numFmtId="180" fontId="4" fillId="4" borderId="7" xfId="0" applyNumberFormat="1" applyFont="1" applyFill="1" applyBorder="1" applyAlignment="1" applyProtection="1">
      <alignment vertical="center"/>
      <protection locked="0"/>
    </xf>
    <xf numFmtId="0" fontId="4" fillId="0" borderId="0" xfId="22" applyFont="1" applyAlignment="1">
      <alignment vertical="center" wrapText="1"/>
    </xf>
    <xf numFmtId="37" fontId="4" fillId="0" borderId="0" xfId="22" applyNumberFormat="1" applyFont="1" applyFill="1" applyAlignment="1" applyProtection="1">
      <alignment horizontal="left" vertical="center" wrapText="1"/>
    </xf>
    <xf numFmtId="0" fontId="4" fillId="0" borderId="0" xfId="408" applyFont="1" applyAlignment="1">
      <alignment vertical="center" wrapText="1"/>
    </xf>
    <xf numFmtId="0" fontId="4" fillId="0" borderId="0" xfId="23" applyFont="1" applyAlignment="1">
      <alignment vertical="center" wrapText="1"/>
    </xf>
    <xf numFmtId="0" fontId="4" fillId="0" borderId="0" xfId="67" applyFont="1" applyAlignment="1">
      <alignment vertical="center" wrapText="1"/>
    </xf>
    <xf numFmtId="37" fontId="4" fillId="3" borderId="0" xfId="22" applyNumberFormat="1" applyFont="1" applyFill="1" applyBorder="1" applyAlignment="1" applyProtection="1">
      <alignment horizontal="right" vertical="center"/>
    </xf>
    <xf numFmtId="0" fontId="58" fillId="0" borderId="16" xfId="22" applyFont="1" applyBorder="1" applyProtection="1">
      <protection locked="0"/>
    </xf>
    <xf numFmtId="0" fontId="30" fillId="18" borderId="0" xfId="12" applyFill="1" applyAlignment="1" applyProtection="1"/>
    <xf numFmtId="0" fontId="48" fillId="18" borderId="0" xfId="349" applyFill="1"/>
    <xf numFmtId="0" fontId="4" fillId="0" borderId="0" xfId="152" applyFont="1" applyAlignment="1">
      <alignment vertical="center"/>
    </xf>
    <xf numFmtId="37" fontId="4" fillId="10" borderId="2" xfId="0" applyNumberFormat="1" applyFont="1" applyFill="1" applyBorder="1" applyAlignment="1" applyProtection="1">
      <alignment horizontal="center" vertical="center" wrapText="1"/>
    </xf>
    <xf numFmtId="0" fontId="0" fillId="10" borderId="4" xfId="0" applyFill="1" applyBorder="1" applyAlignment="1">
      <alignment vertical="center" wrapText="1"/>
    </xf>
    <xf numFmtId="37" fontId="16" fillId="3" borderId="0" xfId="0" applyNumberFormat="1" applyFont="1" applyFill="1" applyAlignment="1" applyProtection="1">
      <alignment horizontal="center" vertical="center"/>
    </xf>
    <xf numFmtId="0" fontId="17" fillId="0" borderId="0" xfId="0" applyFont="1" applyAlignment="1">
      <alignment horizontal="center" vertical="center"/>
    </xf>
    <xf numFmtId="0" fontId="4" fillId="3" borderId="0" xfId="0" applyFont="1" applyFill="1" applyBorder="1" applyAlignment="1" applyProtection="1">
      <alignment vertical="center" wrapText="1"/>
    </xf>
    <xf numFmtId="0" fontId="0" fillId="0" borderId="0" xfId="0" applyAlignment="1">
      <alignment vertical="center" wrapText="1"/>
    </xf>
    <xf numFmtId="0" fontId="0" fillId="0" borderId="0" xfId="0" applyBorder="1" applyAlignment="1">
      <alignment vertical="center" wrapText="1"/>
    </xf>
    <xf numFmtId="37" fontId="17" fillId="3" borderId="0" xfId="0" applyNumberFormat="1" applyFont="1" applyFill="1" applyBorder="1" applyAlignment="1" applyProtection="1">
      <alignment horizontal="center" vertical="center"/>
    </xf>
    <xf numFmtId="0" fontId="4" fillId="0" borderId="0" xfId="0" applyFont="1" applyAlignment="1">
      <alignment horizontal="center" vertical="center"/>
    </xf>
    <xf numFmtId="0" fontId="3" fillId="9" borderId="0" xfId="0" applyFont="1" applyFill="1" applyBorder="1" applyAlignment="1">
      <alignment horizontal="center" vertical="center"/>
    </xf>
    <xf numFmtId="0" fontId="19" fillId="9" borderId="0" xfId="0" applyFont="1" applyFill="1" applyBorder="1" applyAlignment="1">
      <alignment horizontal="center" vertical="center"/>
    </xf>
    <xf numFmtId="0" fontId="15" fillId="3" borderId="0" xfId="0" applyFont="1" applyFill="1" applyBorder="1" applyAlignment="1">
      <alignment vertical="center"/>
    </xf>
    <xf numFmtId="0" fontId="20" fillId="0" borderId="0" xfId="0" applyFont="1" applyAlignment="1">
      <alignment vertical="center"/>
    </xf>
    <xf numFmtId="0" fontId="4" fillId="0" borderId="0" xfId="392" applyFont="1" applyAlignment="1">
      <alignment horizontal="left" vertical="center" wrapText="1"/>
    </xf>
    <xf numFmtId="0" fontId="1" fillId="0" borderId="0" xfId="392" applyAlignment="1">
      <alignment horizontal="left" vertical="center" wrapText="1"/>
    </xf>
    <xf numFmtId="0" fontId="17" fillId="0" borderId="0" xfId="392" applyFont="1" applyAlignment="1">
      <alignment horizontal="left" vertical="center"/>
    </xf>
    <xf numFmtId="0" fontId="3" fillId="3" borderId="0" xfId="0" applyFont="1" applyFill="1" applyAlignment="1" applyProtection="1">
      <alignment horizontal="center" vertical="center"/>
    </xf>
    <xf numFmtId="37" fontId="4" fillId="3" borderId="2" xfId="0" applyNumberFormat="1" applyFont="1" applyFill="1" applyBorder="1" applyAlignment="1" applyProtection="1">
      <alignment horizontal="center" vertical="center" wrapText="1"/>
    </xf>
    <xf numFmtId="0" fontId="0" fillId="0" borderId="13" xfId="0" applyBorder="1" applyAlignment="1" applyProtection="1">
      <alignment horizontal="center" vertical="center" wrapText="1"/>
    </xf>
    <xf numFmtId="0" fontId="0" fillId="0" borderId="4" xfId="0" applyBorder="1" applyAlignment="1" applyProtection="1">
      <alignment horizontal="center" vertical="center" wrapText="1"/>
    </xf>
    <xf numFmtId="37" fontId="4" fillId="3" borderId="5" xfId="0" applyNumberFormat="1" applyFont="1" applyFill="1" applyBorder="1" applyAlignment="1" applyProtection="1">
      <alignment horizontal="center" vertical="center"/>
    </xf>
    <xf numFmtId="0" fontId="0" fillId="0" borderId="12" xfId="0" applyBorder="1" applyAlignment="1" applyProtection="1">
      <alignment vertical="center"/>
    </xf>
    <xf numFmtId="0" fontId="0" fillId="0" borderId="6" xfId="0" applyBorder="1" applyAlignment="1" applyProtection="1">
      <alignment vertical="center"/>
    </xf>
    <xf numFmtId="0" fontId="4" fillId="3" borderId="0" xfId="0" applyFont="1" applyFill="1" applyAlignment="1" applyProtection="1">
      <alignment horizontal="center" vertical="center"/>
    </xf>
    <xf numFmtId="0" fontId="0" fillId="0" borderId="0" xfId="0" applyAlignment="1" applyProtection="1">
      <alignment vertical="center"/>
    </xf>
    <xf numFmtId="37" fontId="4" fillId="3" borderId="0" xfId="0" applyNumberFormat="1" applyFont="1" applyFill="1" applyAlignment="1" applyProtection="1">
      <alignment horizontal="center" vertical="center"/>
    </xf>
    <xf numFmtId="0" fontId="0" fillId="0" borderId="0" xfId="0" applyAlignment="1" applyProtection="1">
      <alignment horizontal="center" vertical="center"/>
    </xf>
    <xf numFmtId="0" fontId="0" fillId="0" borderId="0" xfId="0" applyAlignment="1">
      <alignment horizontal="center" vertical="center"/>
    </xf>
    <xf numFmtId="37" fontId="17" fillId="3" borderId="0" xfId="0" applyNumberFormat="1" applyFont="1" applyFill="1" applyAlignment="1" applyProtection="1">
      <alignment horizontal="center" vertical="center"/>
    </xf>
    <xf numFmtId="37" fontId="4" fillId="3" borderId="0" xfId="0" applyNumberFormat="1" applyFont="1" applyFill="1" applyBorder="1" applyAlignment="1" applyProtection="1">
      <alignment horizontal="center" vertical="center"/>
    </xf>
    <xf numFmtId="0" fontId="0" fillId="0" borderId="0" xfId="0" applyAlignment="1">
      <alignment vertical="center"/>
    </xf>
    <xf numFmtId="0" fontId="8" fillId="9" borderId="14" xfId="0" applyFont="1" applyFill="1" applyBorder="1" applyAlignment="1" applyProtection="1">
      <alignment horizontal="center" vertical="center"/>
    </xf>
    <xf numFmtId="0" fontId="0" fillId="0" borderId="9" xfId="0" applyBorder="1" applyAlignment="1" applyProtection="1">
      <alignment vertical="center"/>
    </xf>
    <xf numFmtId="3" fontId="4" fillId="2" borderId="5" xfId="0" applyNumberFormat="1" applyFont="1" applyFill="1" applyBorder="1" applyAlignment="1" applyProtection="1">
      <alignment vertical="center"/>
      <protection locked="0"/>
    </xf>
    <xf numFmtId="3" fontId="0" fillId="0" borderId="6" xfId="0" applyNumberFormat="1" applyBorder="1" applyAlignment="1" applyProtection="1">
      <alignment vertical="center"/>
      <protection locked="0"/>
    </xf>
    <xf numFmtId="0" fontId="8" fillId="9" borderId="8" xfId="0" applyFont="1" applyFill="1" applyBorder="1" applyAlignment="1" applyProtection="1">
      <alignment horizontal="center" vertical="center"/>
    </xf>
    <xf numFmtId="0" fontId="0" fillId="0" borderId="3" xfId="0" applyBorder="1" applyAlignment="1">
      <alignment vertical="center"/>
    </xf>
    <xf numFmtId="0" fontId="6" fillId="3" borderId="0" xfId="0" applyFont="1" applyFill="1" applyAlignment="1" applyProtection="1">
      <alignment horizontal="center" vertical="center"/>
    </xf>
    <xf numFmtId="37" fontId="3" fillId="3" borderId="0" xfId="0" applyNumberFormat="1" applyFont="1" applyFill="1" applyAlignment="1" applyProtection="1">
      <alignment horizontal="center" vertical="center"/>
    </xf>
    <xf numFmtId="37" fontId="8" fillId="3" borderId="2" xfId="0" applyNumberFormat="1" applyFont="1" applyFill="1" applyBorder="1" applyAlignment="1" applyProtection="1">
      <alignment horizontal="center" vertical="center" wrapText="1"/>
    </xf>
    <xf numFmtId="0" fontId="9" fillId="0" borderId="4" xfId="0" applyFont="1" applyBorder="1" applyAlignment="1" applyProtection="1">
      <alignment horizontal="center" vertical="center" wrapText="1"/>
    </xf>
    <xf numFmtId="37" fontId="3" fillId="3" borderId="5" xfId="0" applyNumberFormat="1" applyFont="1" applyFill="1" applyBorder="1" applyAlignment="1" applyProtection="1">
      <alignment horizontal="center" vertical="center"/>
    </xf>
    <xf numFmtId="0" fontId="44" fillId="0" borderId="12" xfId="0" applyFont="1" applyBorder="1" applyAlignment="1">
      <alignment vertical="center"/>
    </xf>
    <xf numFmtId="0" fontId="44" fillId="0" borderId="6" xfId="0" applyFont="1" applyBorder="1" applyAlignment="1">
      <alignment vertical="center"/>
    </xf>
    <xf numFmtId="37" fontId="3" fillId="3" borderId="0" xfId="0" applyNumberFormat="1" applyFont="1" applyFill="1" applyBorder="1" applyAlignment="1" applyProtection="1">
      <alignment horizontal="center" vertical="center"/>
    </xf>
    <xf numFmtId="0" fontId="3" fillId="3" borderId="0" xfId="416" applyFont="1" applyFill="1" applyAlignment="1" applyProtection="1">
      <alignment horizontal="center" vertical="center"/>
    </xf>
    <xf numFmtId="0" fontId="17" fillId="12" borderId="0" xfId="406" applyFont="1" applyFill="1" applyAlignment="1">
      <alignment horizontal="center"/>
    </xf>
    <xf numFmtId="0" fontId="2" fillId="12" borderId="0" xfId="28" applyFill="1" applyAlignment="1">
      <alignment horizontal="center"/>
    </xf>
    <xf numFmtId="0" fontId="3" fillId="12" borderId="0" xfId="28" applyFont="1" applyFill="1" applyAlignment="1">
      <alignment horizontal="center" vertical="center"/>
    </xf>
    <xf numFmtId="0" fontId="17" fillId="12" borderId="0" xfId="28" applyFont="1" applyFill="1" applyAlignment="1">
      <alignment horizontal="center" vertical="center"/>
    </xf>
    <xf numFmtId="0" fontId="4" fillId="12" borderId="0" xfId="28" applyFont="1" applyFill="1" applyAlignment="1">
      <alignment vertical="center" wrapText="1"/>
    </xf>
    <xf numFmtId="174" fontId="40" fillId="12" borderId="14" xfId="0" applyNumberFormat="1" applyFont="1" applyFill="1" applyBorder="1" applyAlignment="1" applyProtection="1">
      <alignment horizontal="center"/>
    </xf>
    <xf numFmtId="0" fontId="31" fillId="0" borderId="15" xfId="0" applyFont="1" applyBorder="1" applyAlignment="1"/>
    <xf numFmtId="0" fontId="31" fillId="0" borderId="9" xfId="0" applyFont="1" applyBorder="1" applyAlignment="1"/>
    <xf numFmtId="0" fontId="4" fillId="3" borderId="0" xfId="10" applyNumberFormat="1" applyFont="1" applyFill="1" applyBorder="1" applyAlignment="1" applyProtection="1">
      <alignment horizontal="right" vertical="center"/>
    </xf>
    <xf numFmtId="0" fontId="4" fillId="0" borderId="0" xfId="10" applyFont="1" applyAlignment="1" applyProtection="1">
      <alignment horizontal="right" vertical="center"/>
    </xf>
    <xf numFmtId="3" fontId="4" fillId="3" borderId="15" xfId="43" applyNumberFormat="1" applyFont="1" applyFill="1" applyBorder="1" applyAlignment="1" applyProtection="1">
      <alignment horizontal="right" vertical="center"/>
    </xf>
    <xf numFmtId="0" fontId="2" fillId="0" borderId="9" xfId="43" applyBorder="1" applyAlignment="1">
      <alignment horizontal="right" vertical="center"/>
    </xf>
    <xf numFmtId="0" fontId="4" fillId="3" borderId="0" xfId="43" applyFont="1" applyFill="1" applyAlignment="1" applyProtection="1">
      <alignment horizontal="right" vertical="center"/>
    </xf>
    <xf numFmtId="0" fontId="4" fillId="0" borderId="10" xfId="43" applyFont="1" applyBorder="1" applyAlignment="1">
      <alignment horizontal="right" vertical="center"/>
    </xf>
    <xf numFmtId="0" fontId="40" fillId="12" borderId="14" xfId="0" applyFont="1" applyFill="1" applyBorder="1" applyAlignment="1" applyProtection="1">
      <alignment horizontal="center" vertical="center"/>
    </xf>
    <xf numFmtId="0" fontId="0" fillId="0" borderId="15" xfId="0" applyBorder="1" applyAlignment="1">
      <alignment vertical="center"/>
    </xf>
    <xf numFmtId="0" fontId="0" fillId="0" borderId="9" xfId="0" applyBorder="1" applyAlignment="1">
      <alignment vertical="center"/>
    </xf>
    <xf numFmtId="0" fontId="4" fillId="3" borderId="0" xfId="11" applyNumberFormat="1" applyFont="1" applyFill="1" applyBorder="1" applyAlignment="1" applyProtection="1">
      <alignment horizontal="right" vertical="center"/>
    </xf>
    <xf numFmtId="0" fontId="4" fillId="0" borderId="0" xfId="11" applyFont="1" applyAlignment="1" applyProtection="1">
      <alignment horizontal="right" vertical="center"/>
    </xf>
    <xf numFmtId="174" fontId="40" fillId="12" borderId="14" xfId="22" applyNumberFormat="1" applyFont="1" applyFill="1" applyBorder="1" applyAlignment="1" applyProtection="1">
      <alignment horizontal="center"/>
    </xf>
    <xf numFmtId="0" fontId="31" fillId="0" borderId="15" xfId="22" applyFont="1" applyBorder="1" applyAlignment="1"/>
    <xf numFmtId="0" fontId="31" fillId="0" borderId="9" xfId="22" applyFont="1" applyBorder="1" applyAlignment="1"/>
    <xf numFmtId="0" fontId="40" fillId="12" borderId="14" xfId="22" applyFont="1" applyFill="1" applyBorder="1" applyAlignment="1" applyProtection="1">
      <alignment horizontal="center" vertical="center"/>
    </xf>
    <xf numFmtId="0" fontId="2" fillId="0" borderId="15" xfId="22" applyBorder="1" applyAlignment="1">
      <alignment vertical="center"/>
    </xf>
    <xf numFmtId="0" fontId="2" fillId="0" borderId="9" xfId="22" applyBorder="1" applyAlignment="1">
      <alignment vertical="center"/>
    </xf>
    <xf numFmtId="0" fontId="45" fillId="0" borderId="15" xfId="22" applyFont="1" applyBorder="1" applyAlignment="1">
      <alignment horizontal="center" vertical="center"/>
    </xf>
    <xf numFmtId="0" fontId="2" fillId="0" borderId="9" xfId="22" applyBorder="1" applyAlignment="1"/>
    <xf numFmtId="0" fontId="2" fillId="0" borderId="15" xfId="22" applyBorder="1" applyAlignment="1">
      <alignment horizontal="center" vertical="center"/>
    </xf>
    <xf numFmtId="0" fontId="15" fillId="3" borderId="16" xfId="23" applyFont="1" applyFill="1" applyBorder="1" applyAlignment="1" applyProtection="1">
      <alignment vertical="center" wrapText="1"/>
    </xf>
    <xf numFmtId="0" fontId="0" fillId="0" borderId="0" xfId="0"/>
    <xf numFmtId="0" fontId="0" fillId="0" borderId="16" xfId="0" applyBorder="1"/>
    <xf numFmtId="0" fontId="3" fillId="3" borderId="5" xfId="0" applyFont="1" applyFill="1" applyBorder="1" applyAlignment="1">
      <alignment vertical="center"/>
    </xf>
    <xf numFmtId="0" fontId="3" fillId="3" borderId="6" xfId="0" applyFont="1" applyFill="1" applyBorder="1" applyAlignment="1">
      <alignment vertical="center"/>
    </xf>
    <xf numFmtId="37" fontId="3" fillId="3" borderId="5" xfId="0" applyNumberFormat="1" applyFont="1" applyFill="1" applyBorder="1" applyAlignment="1">
      <alignment vertical="center"/>
    </xf>
    <xf numFmtId="37" fontId="4" fillId="3" borderId="15" xfId="0" applyNumberFormat="1" applyFont="1" applyFill="1" applyBorder="1" applyAlignment="1" applyProtection="1">
      <alignment horizontal="center" vertical="center"/>
    </xf>
    <xf numFmtId="0" fontId="0" fillId="0" borderId="15" xfId="0" applyBorder="1" applyAlignment="1">
      <alignment horizontal="center" vertical="center"/>
    </xf>
    <xf numFmtId="37" fontId="4" fillId="3" borderId="1" xfId="0" applyNumberFormat="1" applyFont="1" applyFill="1" applyBorder="1" applyAlignment="1" applyProtection="1">
      <alignment horizontal="center" vertical="center"/>
      <protection locked="0"/>
    </xf>
    <xf numFmtId="0" fontId="17" fillId="12" borderId="14" xfId="0" applyFont="1" applyFill="1" applyBorder="1" applyAlignment="1" applyProtection="1">
      <alignment horizontal="center"/>
    </xf>
    <xf numFmtId="0" fontId="17" fillId="12" borderId="15" xfId="0" applyFont="1" applyFill="1" applyBorder="1" applyAlignment="1" applyProtection="1">
      <alignment horizontal="center"/>
    </xf>
    <xf numFmtId="0" fontId="17" fillId="12" borderId="9" xfId="0" applyFont="1" applyFill="1" applyBorder="1" applyAlignment="1" applyProtection="1">
      <alignment horizontal="center"/>
    </xf>
    <xf numFmtId="0" fontId="0" fillId="0" borderId="15" xfId="0" applyBorder="1" applyAlignment="1" applyProtection="1">
      <alignment horizontal="center"/>
    </xf>
    <xf numFmtId="0" fontId="0" fillId="0" borderId="9" xfId="0" applyBorder="1" applyAlignment="1" applyProtection="1">
      <alignment horizontal="center"/>
    </xf>
    <xf numFmtId="0" fontId="0" fillId="0" borderId="15" xfId="0" applyBorder="1" applyAlignment="1">
      <alignment horizontal="center"/>
    </xf>
    <xf numFmtId="0" fontId="0" fillId="0" borderId="9" xfId="0" applyBorder="1" applyAlignment="1">
      <alignment horizontal="center"/>
    </xf>
    <xf numFmtId="0" fontId="0" fillId="0" borderId="13" xfId="0" applyBorder="1" applyAlignment="1" applyProtection="1">
      <alignment horizontal="center" vertical="center"/>
    </xf>
    <xf numFmtId="0" fontId="0" fillId="0" borderId="4" xfId="0" applyBorder="1" applyAlignment="1" applyProtection="1">
      <alignment horizontal="center" vertical="center"/>
    </xf>
    <xf numFmtId="37" fontId="4" fillId="12" borderId="0" xfId="0" applyNumberFormat="1" applyFont="1" applyFill="1" applyAlignment="1" applyProtection="1">
      <alignment horizontal="center" vertical="center"/>
    </xf>
    <xf numFmtId="0" fontId="4" fillId="3" borderId="0" xfId="0" applyFont="1" applyFill="1" applyAlignment="1">
      <alignment horizontal="right" vertical="center"/>
    </xf>
    <xf numFmtId="0" fontId="0" fillId="0" borderId="0" xfId="0" applyAlignment="1">
      <alignment horizontal="right" vertical="center"/>
    </xf>
    <xf numFmtId="0" fontId="4" fillId="3" borderId="0" xfId="0" applyFont="1" applyFill="1" applyAlignment="1" applyProtection="1">
      <alignment horizontal="right" vertical="center"/>
    </xf>
    <xf numFmtId="0" fontId="13" fillId="0" borderId="0" xfId="0" applyFont="1" applyAlignment="1">
      <alignment wrapText="1"/>
    </xf>
    <xf numFmtId="0" fontId="0" fillId="0" borderId="0" xfId="0" applyAlignment="1">
      <alignment wrapText="1"/>
    </xf>
    <xf numFmtId="0" fontId="7" fillId="0" borderId="0" xfId="0" applyFont="1" applyAlignment="1">
      <alignment horizontal="left" wrapText="1"/>
    </xf>
    <xf numFmtId="0" fontId="0" fillId="0" borderId="0" xfId="0" applyAlignment="1"/>
    <xf numFmtId="0" fontId="12" fillId="0" borderId="0" xfId="0" applyFont="1" applyAlignment="1">
      <alignment horizontal="center"/>
    </xf>
    <xf numFmtId="0" fontId="13" fillId="0" borderId="0" xfId="0" applyFont="1" applyAlignment="1">
      <alignment horizontal="center"/>
    </xf>
    <xf numFmtId="0" fontId="12" fillId="0" borderId="0" xfId="0" applyFont="1" applyAlignment="1">
      <alignment horizontal="left" wrapText="1"/>
    </xf>
    <xf numFmtId="0" fontId="7" fillId="0" borderId="0" xfId="0" applyFont="1" applyAlignment="1">
      <alignment horizontal="center"/>
    </xf>
    <xf numFmtId="0" fontId="7" fillId="0" borderId="0" xfId="0" applyFont="1" applyAlignment="1">
      <alignment horizontal="left"/>
    </xf>
    <xf numFmtId="0" fontId="7" fillId="0" borderId="0" xfId="0" applyFont="1" applyAlignment="1">
      <alignment wrapText="1"/>
    </xf>
    <xf numFmtId="177" fontId="35" fillId="13" borderId="1" xfId="0" applyNumberFormat="1" applyFont="1" applyFill="1" applyBorder="1" applyAlignment="1" applyProtection="1">
      <alignment horizontal="center"/>
      <protection locked="0"/>
    </xf>
    <xf numFmtId="0" fontId="54" fillId="12" borderId="0" xfId="0" applyFont="1" applyFill="1" applyAlignment="1">
      <alignment horizontal="center" wrapText="1"/>
    </xf>
    <xf numFmtId="0" fontId="35" fillId="0" borderId="0" xfId="0" applyFont="1" applyAlignment="1">
      <alignment horizontal="center" wrapText="1"/>
    </xf>
    <xf numFmtId="0" fontId="54" fillId="12" borderId="0" xfId="0" applyFont="1" applyFill="1" applyAlignment="1">
      <alignment horizontal="center" vertical="center"/>
    </xf>
    <xf numFmtId="0" fontId="54" fillId="0" borderId="0" xfId="0" applyFont="1" applyAlignment="1">
      <alignment horizontal="center" vertical="center"/>
    </xf>
    <xf numFmtId="0" fontId="54" fillId="12" borderId="0" xfId="0" applyFont="1" applyFill="1" applyAlignment="1">
      <alignment horizontal="center"/>
    </xf>
    <xf numFmtId="0" fontId="35" fillId="12" borderId="0" xfId="0" applyFont="1" applyFill="1" applyAlignment="1">
      <alignment wrapText="1"/>
    </xf>
    <xf numFmtId="177" fontId="35" fillId="12" borderId="0" xfId="0" applyNumberFormat="1" applyFont="1" applyFill="1" applyAlignment="1"/>
    <xf numFmtId="0" fontId="54" fillId="12" borderId="21" xfId="0" applyFont="1" applyFill="1" applyBorder="1" applyAlignment="1">
      <alignment horizontal="center" vertical="center"/>
    </xf>
    <xf numFmtId="0" fontId="35" fillId="0" borderId="0" xfId="0" applyFont="1" applyAlignment="1">
      <alignment wrapText="1"/>
    </xf>
    <xf numFmtId="177" fontId="35" fillId="12" borderId="0" xfId="0" applyNumberFormat="1" applyFont="1" applyFill="1" applyAlignment="1">
      <alignment horizontal="center"/>
    </xf>
    <xf numFmtId="177" fontId="35" fillId="13" borderId="23" xfId="0" applyNumberFormat="1" applyFont="1" applyFill="1" applyBorder="1" applyAlignment="1" applyProtection="1">
      <alignment horizontal="center"/>
      <protection locked="0"/>
    </xf>
    <xf numFmtId="0" fontId="35" fillId="12" borderId="0" xfId="0" applyFont="1" applyFill="1" applyBorder="1" applyAlignment="1"/>
    <xf numFmtId="0" fontId="35" fillId="0" borderId="0" xfId="0" applyFont="1" applyBorder="1" applyAlignment="1"/>
    <xf numFmtId="0" fontId="35" fillId="12" borderId="26" xfId="0" applyFont="1" applyFill="1" applyBorder="1" applyAlignment="1"/>
    <xf numFmtId="0" fontId="35" fillId="12" borderId="27" xfId="0" applyFont="1" applyFill="1" applyBorder="1" applyAlignment="1"/>
    <xf numFmtId="5" fontId="35" fillId="12" borderId="1" xfId="0" applyNumberFormat="1" applyFont="1" applyFill="1" applyBorder="1" applyAlignment="1">
      <alignment horizontal="center"/>
    </xf>
    <xf numFmtId="0" fontId="35" fillId="0" borderId="21" xfId="0" applyFont="1" applyBorder="1" applyAlignment="1">
      <alignment horizontal="center" vertical="center"/>
    </xf>
    <xf numFmtId="0" fontId="54" fillId="12" borderId="0" xfId="0" applyFont="1" applyFill="1" applyBorder="1" applyAlignment="1">
      <alignment horizontal="center" wrapText="1"/>
    </xf>
    <xf numFmtId="0" fontId="54" fillId="0" borderId="0" xfId="0" applyFont="1" applyAlignment="1">
      <alignment horizontal="center" wrapText="1"/>
    </xf>
    <xf numFmtId="0" fontId="35" fillId="12" borderId="0" xfId="0" applyFont="1" applyFill="1" applyBorder="1" applyAlignment="1">
      <alignment wrapText="1"/>
    </xf>
    <xf numFmtId="172" fontId="35" fillId="13" borderId="1" xfId="0" applyNumberFormat="1" applyFont="1" applyFill="1" applyBorder="1" applyAlignment="1" applyProtection="1">
      <alignment horizontal="center"/>
      <protection locked="0"/>
    </xf>
    <xf numFmtId="178" fontId="35" fillId="12" borderId="0" xfId="0" applyNumberFormat="1" applyFont="1" applyFill="1" applyBorder="1" applyAlignment="1">
      <alignment horizontal="center"/>
    </xf>
    <xf numFmtId="178" fontId="35" fillId="0" borderId="24" xfId="0" applyNumberFormat="1" applyFont="1" applyBorder="1" applyAlignment="1">
      <alignment horizontal="center"/>
    </xf>
    <xf numFmtId="0" fontId="35" fillId="12" borderId="0" xfId="0" applyFont="1" applyFill="1" applyBorder="1" applyAlignment="1">
      <alignment horizontal="center"/>
    </xf>
    <xf numFmtId="177" fontId="35" fillId="12" borderId="0" xfId="0" applyNumberFormat="1" applyFont="1" applyFill="1" applyBorder="1" applyAlignment="1">
      <alignment horizontal="center"/>
    </xf>
    <xf numFmtId="0" fontId="35" fillId="12" borderId="15" xfId="0" applyFont="1" applyFill="1" applyBorder="1" applyAlignment="1">
      <alignment horizontal="center"/>
    </xf>
    <xf numFmtId="0" fontId="35" fillId="12" borderId="28" xfId="0" applyFont="1" applyFill="1" applyBorder="1" applyAlignment="1">
      <alignment vertical="top" wrapText="1"/>
    </xf>
    <xf numFmtId="0" fontId="35" fillId="0" borderId="0" xfId="0" applyFont="1" applyAlignment="1">
      <alignment vertical="top" wrapText="1"/>
    </xf>
    <xf numFmtId="0" fontId="35" fillId="0" borderId="24" xfId="0" applyFont="1" applyBorder="1" applyAlignment="1">
      <alignment vertical="top" wrapText="1"/>
    </xf>
    <xf numFmtId="0" fontId="35" fillId="0" borderId="24" xfId="0" applyFont="1" applyBorder="1" applyAlignment="1">
      <alignment horizontal="center"/>
    </xf>
  </cellXfs>
  <cellStyles count="417">
    <cellStyle name="Comma" xfId="1" builtinId="3"/>
    <cellStyle name="Comma 11 2" xfId="2"/>
    <cellStyle name="Comma 16" xfId="3"/>
    <cellStyle name="Comma 16 2" xfId="4"/>
    <cellStyle name="Comma 16 3" xfId="5"/>
    <cellStyle name="Comma 2 2" xfId="6"/>
    <cellStyle name="Comma 3 2" xfId="7"/>
    <cellStyle name="Comma 7" xfId="8"/>
    <cellStyle name="Comma 7 2" xfId="9"/>
    <cellStyle name="Hyperlink" xfId="10" builtinId="8"/>
    <cellStyle name="Hyperlink 2" xfId="11"/>
    <cellStyle name="Hyperlink 2 2" xfId="12"/>
    <cellStyle name="Hyperlink 2 3" xfId="13"/>
    <cellStyle name="Hyperlink 3 2" xfId="14"/>
    <cellStyle name="Hyperlink 3 3" xfId="15"/>
    <cellStyle name="Hyperlink 3 4" xfId="16"/>
    <cellStyle name="Hyperlink 4" xfId="17"/>
    <cellStyle name="Hyperlink 4 2" xfId="18"/>
    <cellStyle name="Hyperlink 7" xfId="19"/>
    <cellStyle name="Hyperlink 7 2" xfId="20"/>
    <cellStyle name="Hyperlink 7 3" xfId="21"/>
    <cellStyle name="Normal" xfId="0" builtinId="0"/>
    <cellStyle name="Normal 10" xfId="22"/>
    <cellStyle name="Normal 10 2" xfId="23"/>
    <cellStyle name="Normal 10 2 2" xfId="24"/>
    <cellStyle name="Normal 10 2 2 2" xfId="25"/>
    <cellStyle name="Normal 10 3" xfId="26"/>
    <cellStyle name="Normal 10 4" xfId="27"/>
    <cellStyle name="Normal 10 5" xfId="28"/>
    <cellStyle name="Normal 10 6" xfId="29"/>
    <cellStyle name="Normal 10 7" xfId="30"/>
    <cellStyle name="Normal 11" xfId="31"/>
    <cellStyle name="Normal 11 2" xfId="32"/>
    <cellStyle name="Normal 11 2 2" xfId="33"/>
    <cellStyle name="Normal 11 3" xfId="34"/>
    <cellStyle name="Normal 11 4" xfId="35"/>
    <cellStyle name="Normal 11 5" xfId="36"/>
    <cellStyle name="Normal 11 6" xfId="37"/>
    <cellStyle name="Normal 12" xfId="38"/>
    <cellStyle name="Normal 12 10" xfId="39"/>
    <cellStyle name="Normal 12 11" xfId="40"/>
    <cellStyle name="Normal 12 12" xfId="41"/>
    <cellStyle name="Normal 12 13" xfId="42"/>
    <cellStyle name="Normal 12 2" xfId="43"/>
    <cellStyle name="Normal 12 2 2" xfId="44"/>
    <cellStyle name="Normal 12 3" xfId="45"/>
    <cellStyle name="Normal 12 4" xfId="46"/>
    <cellStyle name="Normal 12 5" xfId="47"/>
    <cellStyle name="Normal 12 6" xfId="48"/>
    <cellStyle name="Normal 12 7" xfId="49"/>
    <cellStyle name="Normal 12 8" xfId="50"/>
    <cellStyle name="Normal 12 9" xfId="51"/>
    <cellStyle name="Normal 13" xfId="52"/>
    <cellStyle name="Normal 13 10" xfId="53"/>
    <cellStyle name="Normal 13 11" xfId="54"/>
    <cellStyle name="Normal 13 12" xfId="55"/>
    <cellStyle name="Normal 13 13" xfId="56"/>
    <cellStyle name="Normal 13 2" xfId="57"/>
    <cellStyle name="Normal 13 2 2" xfId="58"/>
    <cellStyle name="Normal 13 3" xfId="59"/>
    <cellStyle name="Normal 13 4" xfId="60"/>
    <cellStyle name="Normal 13 5" xfId="61"/>
    <cellStyle name="Normal 13 6" xfId="62"/>
    <cellStyle name="Normal 13 7" xfId="63"/>
    <cellStyle name="Normal 13 8" xfId="64"/>
    <cellStyle name="Normal 13 9" xfId="65"/>
    <cellStyle name="Normal 14" xfId="66"/>
    <cellStyle name="Normal 14 2" xfId="67"/>
    <cellStyle name="Normal 14 3" xfId="68"/>
    <cellStyle name="Normal 14 4" xfId="69"/>
    <cellStyle name="Normal 14 5" xfId="70"/>
    <cellStyle name="Normal 14 6" xfId="71"/>
    <cellStyle name="Normal 14 7" xfId="72"/>
    <cellStyle name="Normal 15" xfId="73"/>
    <cellStyle name="Normal 15 2" xfId="74"/>
    <cellStyle name="Normal 15 3" xfId="75"/>
    <cellStyle name="Normal 15 4" xfId="76"/>
    <cellStyle name="Normal 15 5" xfId="77"/>
    <cellStyle name="Normal 16" xfId="78"/>
    <cellStyle name="Normal 16 2" xfId="79"/>
    <cellStyle name="Normal 16 3" xfId="80"/>
    <cellStyle name="Normal 16 4" xfId="81"/>
    <cellStyle name="Normal 16 5" xfId="82"/>
    <cellStyle name="Normal 17" xfId="83"/>
    <cellStyle name="Normal 17 2" xfId="84"/>
    <cellStyle name="Normal 17 3" xfId="85"/>
    <cellStyle name="Normal 17 4" xfId="86"/>
    <cellStyle name="Normal 17 5" xfId="87"/>
    <cellStyle name="Normal 18" xfId="88"/>
    <cellStyle name="Normal 18 2" xfId="89"/>
    <cellStyle name="Normal 18 2 2" xfId="90"/>
    <cellStyle name="Normal 18 2 3" xfId="91"/>
    <cellStyle name="Normal 18 3" xfId="92"/>
    <cellStyle name="Normal 18 4" xfId="93"/>
    <cellStyle name="Normal 18 5" xfId="94"/>
    <cellStyle name="Normal 18 6" xfId="95"/>
    <cellStyle name="Normal 18 7" xfId="96"/>
    <cellStyle name="Normal 18 8" xfId="97"/>
    <cellStyle name="Normal 18 9" xfId="98"/>
    <cellStyle name="Normal 19" xfId="99"/>
    <cellStyle name="Normal 19 2" xfId="100"/>
    <cellStyle name="Normal 19 2 2" xfId="101"/>
    <cellStyle name="Normal 19 2 3" xfId="102"/>
    <cellStyle name="Normal 19 3" xfId="103"/>
    <cellStyle name="Normal 19 4" xfId="104"/>
    <cellStyle name="Normal 19 5" xfId="105"/>
    <cellStyle name="Normal 19 6" xfId="106"/>
    <cellStyle name="Normal 19 7" xfId="107"/>
    <cellStyle name="Normal 19 8" xfId="108"/>
    <cellStyle name="Normal 2" xfId="109"/>
    <cellStyle name="Normal 2 10" xfId="110"/>
    <cellStyle name="Normal 2 10 10" xfId="111"/>
    <cellStyle name="Normal 2 10 11" xfId="112"/>
    <cellStyle name="Normal 2 10 11 2" xfId="113"/>
    <cellStyle name="Normal 2 10 2" xfId="114"/>
    <cellStyle name="Normal 2 10 2 2" xfId="115"/>
    <cellStyle name="Normal 2 10 3" xfId="116"/>
    <cellStyle name="Normal 2 10 3 2" xfId="117"/>
    <cellStyle name="Normal 2 10 4" xfId="118"/>
    <cellStyle name="Normal 2 10 4 2" xfId="119"/>
    <cellStyle name="Normal 2 10 5" xfId="120"/>
    <cellStyle name="Normal 2 10 5 2" xfId="121"/>
    <cellStyle name="Normal 2 10 6" xfId="122"/>
    <cellStyle name="Normal 2 10 6 2" xfId="123"/>
    <cellStyle name="Normal 2 10 7" xfId="124"/>
    <cellStyle name="Normal 2 10 7 2" xfId="125"/>
    <cellStyle name="Normal 2 10 8" xfId="126"/>
    <cellStyle name="Normal 2 10 8 2" xfId="127"/>
    <cellStyle name="Normal 2 10 9" xfId="128"/>
    <cellStyle name="Normal 2 11" xfId="129"/>
    <cellStyle name="Normal 2 11 10" xfId="130"/>
    <cellStyle name="Normal 2 11 11" xfId="131"/>
    <cellStyle name="Normal 2 11 2" xfId="132"/>
    <cellStyle name="Normal 2 11 2 2" xfId="133"/>
    <cellStyle name="Normal 2 11 3" xfId="134"/>
    <cellStyle name="Normal 2 11 3 2" xfId="135"/>
    <cellStyle name="Normal 2 11 4" xfId="136"/>
    <cellStyle name="Normal 2 11 4 2" xfId="137"/>
    <cellStyle name="Normal 2 11 5" xfId="138"/>
    <cellStyle name="Normal 2 11 5 2" xfId="139"/>
    <cellStyle name="Normal 2 11 6" xfId="140"/>
    <cellStyle name="Normal 2 11 6 2" xfId="141"/>
    <cellStyle name="Normal 2 11 7" xfId="142"/>
    <cellStyle name="Normal 2 11 7 2" xfId="143"/>
    <cellStyle name="Normal 2 11 8" xfId="144"/>
    <cellStyle name="Normal 2 11 8 2" xfId="145"/>
    <cellStyle name="Normal 2 11 9" xfId="146"/>
    <cellStyle name="Normal 2 12" xfId="147"/>
    <cellStyle name="Normal 2 13" xfId="148"/>
    <cellStyle name="Normal 2 14" xfId="149"/>
    <cellStyle name="Normal 2 15" xfId="150"/>
    <cellStyle name="Normal 2 16" xfId="151"/>
    <cellStyle name="Normal 2 17" xfId="152"/>
    <cellStyle name="Normal 2 2" xfId="153"/>
    <cellStyle name="Normal 2 2 10" xfId="154"/>
    <cellStyle name="Normal 2 2 10 2" xfId="155"/>
    <cellStyle name="Normal 2 2 11" xfId="156"/>
    <cellStyle name="Normal 2 2 11 2" xfId="157"/>
    <cellStyle name="Normal 2 2 12" xfId="158"/>
    <cellStyle name="Normal 2 2 12 2" xfId="159"/>
    <cellStyle name="Normal 2 2 12 2 2" xfId="160"/>
    <cellStyle name="Normal 2 2 13" xfId="161"/>
    <cellStyle name="Normal 2 2 13 2" xfId="162"/>
    <cellStyle name="Normal 2 2 13 2 2" xfId="163"/>
    <cellStyle name="Normal 2 2 14" xfId="164"/>
    <cellStyle name="Normal 2 2 14 2" xfId="165"/>
    <cellStyle name="Normal 2 2 15" xfId="166"/>
    <cellStyle name="Normal 2 2 15 2" xfId="167"/>
    <cellStyle name="Normal 2 2 16" xfId="168"/>
    <cellStyle name="Normal 2 2 16 2" xfId="169"/>
    <cellStyle name="Normal 2 2 16 3" xfId="170"/>
    <cellStyle name="Normal 2 2 17" xfId="171"/>
    <cellStyle name="Normal 2 2 18" xfId="172"/>
    <cellStyle name="Normal 2 2 19" xfId="173"/>
    <cellStyle name="Normal 2 2 2" xfId="174"/>
    <cellStyle name="Normal 2 2 2 2" xfId="175"/>
    <cellStyle name="Normal 2 2 2 2 2" xfId="176"/>
    <cellStyle name="Normal 2 2 2 2 3" xfId="177"/>
    <cellStyle name="Normal 2 2 2 3" xfId="178"/>
    <cellStyle name="Normal 2 2 2 3 2" xfId="179"/>
    <cellStyle name="Normal 2 2 2 4" xfId="180"/>
    <cellStyle name="Normal 2 2 2 4 2" xfId="181"/>
    <cellStyle name="Normal 2 2 2 5" xfId="182"/>
    <cellStyle name="Normal 2 2 2 5 2" xfId="183"/>
    <cellStyle name="Normal 2 2 2 6" xfId="184"/>
    <cellStyle name="Normal 2 2 2 6 2" xfId="185"/>
    <cellStyle name="Normal 2 2 2 7" xfId="186"/>
    <cellStyle name="Normal 2 2 2 8" xfId="187"/>
    <cellStyle name="Normal 2 2 20" xfId="188"/>
    <cellStyle name="Normal 2 2 21" xfId="189"/>
    <cellStyle name="Normal 2 2 22" xfId="190"/>
    <cellStyle name="Normal 2 2 3" xfId="191"/>
    <cellStyle name="Normal 2 2 3 2" xfId="192"/>
    <cellStyle name="Normal 2 2 4" xfId="193"/>
    <cellStyle name="Normal 2 2 4 2" xfId="194"/>
    <cellStyle name="Normal 2 2 5" xfId="195"/>
    <cellStyle name="Normal 2 2 5 2" xfId="196"/>
    <cellStyle name="Normal 2 2 6" xfId="197"/>
    <cellStyle name="Normal 2 2 6 2" xfId="198"/>
    <cellStyle name="Normal 2 2 7" xfId="199"/>
    <cellStyle name="Normal 2 2 7 2" xfId="200"/>
    <cellStyle name="Normal 2 2 8" xfId="201"/>
    <cellStyle name="Normal 2 2 8 2" xfId="202"/>
    <cellStyle name="Normal 2 2 9" xfId="203"/>
    <cellStyle name="Normal 2 2 9 2" xfId="204"/>
    <cellStyle name="Normal 2 3" xfId="205"/>
    <cellStyle name="Normal 2 3 10" xfId="206"/>
    <cellStyle name="Normal 2 3 11" xfId="207"/>
    <cellStyle name="Normal 2 3 12" xfId="208"/>
    <cellStyle name="Normal 2 3 13" xfId="209"/>
    <cellStyle name="Normal 2 3 14" xfId="210"/>
    <cellStyle name="Normal 2 3 15" xfId="211"/>
    <cellStyle name="Normal 2 3 2" xfId="212"/>
    <cellStyle name="Normal 2 3 2 2" xfId="213"/>
    <cellStyle name="Normal 2 3 2 2 2" xfId="214"/>
    <cellStyle name="Normal 2 3 2 2 3" xfId="215"/>
    <cellStyle name="Normal 2 3 2 3" xfId="216"/>
    <cellStyle name="Normal 2 3 2 4" xfId="217"/>
    <cellStyle name="Normal 2 3 3" xfId="218"/>
    <cellStyle name="Normal 2 3 3 2" xfId="219"/>
    <cellStyle name="Normal 2 3 3 3" xfId="220"/>
    <cellStyle name="Normal 2 3 4" xfId="221"/>
    <cellStyle name="Normal 2 3 5" xfId="222"/>
    <cellStyle name="Normal 2 3 6" xfId="223"/>
    <cellStyle name="Normal 2 3 7" xfId="224"/>
    <cellStyle name="Normal 2 3 8" xfId="225"/>
    <cellStyle name="Normal 2 3 9" xfId="226"/>
    <cellStyle name="Normal 2 4" xfId="227"/>
    <cellStyle name="Normal 2 4 10" xfId="228"/>
    <cellStyle name="Normal 2 4 11" xfId="229"/>
    <cellStyle name="Normal 2 4 12" xfId="230"/>
    <cellStyle name="Normal 2 4 13" xfId="231"/>
    <cellStyle name="Normal 2 4 2" xfId="232"/>
    <cellStyle name="Normal 2 4 2 2" xfId="233"/>
    <cellStyle name="Normal 2 4 2 2 2" xfId="234"/>
    <cellStyle name="Normal 2 4 2 2 3" xfId="235"/>
    <cellStyle name="Normal 2 4 2 3" xfId="236"/>
    <cellStyle name="Normal 2 4 2 4" xfId="237"/>
    <cellStyle name="Normal 2 4 3" xfId="238"/>
    <cellStyle name="Normal 2 4 3 2" xfId="239"/>
    <cellStyle name="Normal 2 4 3 3" xfId="240"/>
    <cellStyle name="Normal 2 4 4" xfId="241"/>
    <cellStyle name="Normal 2 4 5" xfId="242"/>
    <cellStyle name="Normal 2 4 6" xfId="243"/>
    <cellStyle name="Normal 2 4 7" xfId="244"/>
    <cellStyle name="Normal 2 4 8" xfId="245"/>
    <cellStyle name="Normal 2 4 9" xfId="246"/>
    <cellStyle name="Normal 2 5" xfId="247"/>
    <cellStyle name="Normal 2 5 10" xfId="248"/>
    <cellStyle name="Normal 2 5 11" xfId="249"/>
    <cellStyle name="Normal 2 5 12" xfId="250"/>
    <cellStyle name="Normal 2 5 12 2" xfId="251"/>
    <cellStyle name="Normal 2 5 2" xfId="252"/>
    <cellStyle name="Normal 2 5 2 2" xfId="253"/>
    <cellStyle name="Normal 2 5 3" xfId="254"/>
    <cellStyle name="Normal 2 5 3 2" xfId="255"/>
    <cellStyle name="Normal 2 5 4" xfId="256"/>
    <cellStyle name="Normal 2 5 5" xfId="257"/>
    <cellStyle name="Normal 2 5 6" xfId="258"/>
    <cellStyle name="Normal 2 5 7" xfId="259"/>
    <cellStyle name="Normal 2 5 8" xfId="260"/>
    <cellStyle name="Normal 2 5 9" xfId="261"/>
    <cellStyle name="Normal 2 6" xfId="262"/>
    <cellStyle name="Normal 2 6 10" xfId="263"/>
    <cellStyle name="Normal 2 6 11" xfId="264"/>
    <cellStyle name="Normal 2 6 12" xfId="265"/>
    <cellStyle name="Normal 2 6 2" xfId="266"/>
    <cellStyle name="Normal 2 6 2 2" xfId="267"/>
    <cellStyle name="Normal 2 6 3" xfId="268"/>
    <cellStyle name="Normal 2 6 3 2" xfId="269"/>
    <cellStyle name="Normal 2 6 4" xfId="270"/>
    <cellStyle name="Normal 2 6 5" xfId="271"/>
    <cellStyle name="Normal 2 6 6" xfId="272"/>
    <cellStyle name="Normal 2 6 7" xfId="273"/>
    <cellStyle name="Normal 2 6 8" xfId="274"/>
    <cellStyle name="Normal 2 6 9" xfId="275"/>
    <cellStyle name="Normal 2 7" xfId="276"/>
    <cellStyle name="Normal 2 7 10" xfId="277"/>
    <cellStyle name="Normal 2 7 11" xfId="278"/>
    <cellStyle name="Normal 2 7 2" xfId="279"/>
    <cellStyle name="Normal 2 7 2 2" xfId="280"/>
    <cellStyle name="Normal 2 7 2 3" xfId="281"/>
    <cellStyle name="Normal 2 7 3" xfId="282"/>
    <cellStyle name="Normal 2 7 3 2" xfId="283"/>
    <cellStyle name="Normal 2 7 4" xfId="284"/>
    <cellStyle name="Normal 2 7 4 2" xfId="285"/>
    <cellStyle name="Normal 2 7 5" xfId="286"/>
    <cellStyle name="Normal 2 7 5 2" xfId="287"/>
    <cellStyle name="Normal 2 7 6" xfId="288"/>
    <cellStyle name="Normal 2 7 6 2" xfId="289"/>
    <cellStyle name="Normal 2 7 7" xfId="290"/>
    <cellStyle name="Normal 2 7 7 2" xfId="291"/>
    <cellStyle name="Normal 2 7 8" xfId="292"/>
    <cellStyle name="Normal 2 7 8 2" xfId="293"/>
    <cellStyle name="Normal 2 7 9" xfId="294"/>
    <cellStyle name="Normal 2 8" xfId="295"/>
    <cellStyle name="Normal 2 8 10" xfId="296"/>
    <cellStyle name="Normal 2 8 11" xfId="297"/>
    <cellStyle name="Normal 2 8 2" xfId="298"/>
    <cellStyle name="Normal 2 8 2 2" xfId="299"/>
    <cellStyle name="Normal 2 8 3" xfId="300"/>
    <cellStyle name="Normal 2 8 3 2" xfId="301"/>
    <cellStyle name="Normal 2 8 4" xfId="302"/>
    <cellStyle name="Normal 2 8 4 2" xfId="303"/>
    <cellStyle name="Normal 2 8 5" xfId="304"/>
    <cellStyle name="Normal 2 8 5 2" xfId="305"/>
    <cellStyle name="Normal 2 8 6" xfId="306"/>
    <cellStyle name="Normal 2 8 6 2" xfId="307"/>
    <cellStyle name="Normal 2 8 7" xfId="308"/>
    <cellStyle name="Normal 2 8 7 2" xfId="309"/>
    <cellStyle name="Normal 2 8 8" xfId="310"/>
    <cellStyle name="Normal 2 8 8 2" xfId="311"/>
    <cellStyle name="Normal 2 8 9" xfId="312"/>
    <cellStyle name="Normal 2 9" xfId="313"/>
    <cellStyle name="Normal 2 9 10" xfId="314"/>
    <cellStyle name="Normal 2 9 11" xfId="315"/>
    <cellStyle name="Normal 2 9 2" xfId="316"/>
    <cellStyle name="Normal 2 9 2 2" xfId="317"/>
    <cellStyle name="Normal 2 9 3" xfId="318"/>
    <cellStyle name="Normal 2 9 3 2" xfId="319"/>
    <cellStyle name="Normal 2 9 4" xfId="320"/>
    <cellStyle name="Normal 2 9 4 2" xfId="321"/>
    <cellStyle name="Normal 2 9 5" xfId="322"/>
    <cellStyle name="Normal 2 9 5 2" xfId="323"/>
    <cellStyle name="Normal 2 9 6" xfId="324"/>
    <cellStyle name="Normal 2 9 6 2" xfId="325"/>
    <cellStyle name="Normal 2 9 7" xfId="326"/>
    <cellStyle name="Normal 2 9 7 2" xfId="327"/>
    <cellStyle name="Normal 2 9 8" xfId="328"/>
    <cellStyle name="Normal 2 9 8 2" xfId="329"/>
    <cellStyle name="Normal 2 9 9" xfId="330"/>
    <cellStyle name="Normal 20" xfId="331"/>
    <cellStyle name="Normal 20 2" xfId="332"/>
    <cellStyle name="Normal 20 3" xfId="333"/>
    <cellStyle name="Normal 21" xfId="334"/>
    <cellStyle name="Normal 21 2" xfId="335"/>
    <cellStyle name="Normal 21 3" xfId="336"/>
    <cellStyle name="Normal 22" xfId="337"/>
    <cellStyle name="Normal 22 2" xfId="338"/>
    <cellStyle name="Normal 22 3" xfId="339"/>
    <cellStyle name="Normal 23" xfId="340"/>
    <cellStyle name="Normal 23 2" xfId="341"/>
    <cellStyle name="Normal 23 3" xfId="342"/>
    <cellStyle name="Normal 24" xfId="343"/>
    <cellStyle name="Normal 24 2" xfId="344"/>
    <cellStyle name="Normal 24 3" xfId="345"/>
    <cellStyle name="Normal 25" xfId="346"/>
    <cellStyle name="Normal 25 2" xfId="347"/>
    <cellStyle name="Normal 25 3" xfId="348"/>
    <cellStyle name="Normal 26" xfId="349"/>
    <cellStyle name="Normal 3" xfId="350"/>
    <cellStyle name="Normal 3 10" xfId="351"/>
    <cellStyle name="Normal 3 2" xfId="352"/>
    <cellStyle name="Normal 3 2 2" xfId="353"/>
    <cellStyle name="Normal 3 2 2 2" xfId="354"/>
    <cellStyle name="Normal 3 2 3" xfId="355"/>
    <cellStyle name="Normal 3 2 4" xfId="356"/>
    <cellStyle name="Normal 3 3" xfId="357"/>
    <cellStyle name="Normal 3 3 2" xfId="358"/>
    <cellStyle name="Normal 3 3 2 2" xfId="359"/>
    <cellStyle name="Normal 3 3 3" xfId="360"/>
    <cellStyle name="Normal 3 4" xfId="361"/>
    <cellStyle name="Normal 3 5" xfId="362"/>
    <cellStyle name="Normal 3 6" xfId="363"/>
    <cellStyle name="Normal 3 7" xfId="364"/>
    <cellStyle name="Normal 3 8" xfId="365"/>
    <cellStyle name="Normal 3 9" xfId="366"/>
    <cellStyle name="Normal 4" xfId="367"/>
    <cellStyle name="Normal 4 2" xfId="368"/>
    <cellStyle name="Normal 4 2 2" xfId="369"/>
    <cellStyle name="Normal 4 2 2 2" xfId="370"/>
    <cellStyle name="Normal 4 2 3" xfId="371"/>
    <cellStyle name="Normal 4 2 4" xfId="372"/>
    <cellStyle name="Normal 4 3" xfId="373"/>
    <cellStyle name="Normal 4 3 2" xfId="374"/>
    <cellStyle name="Normal 4 3 3" xfId="375"/>
    <cellStyle name="Normal 4 4" xfId="376"/>
    <cellStyle name="Normal 4 5" xfId="377"/>
    <cellStyle name="Normal 4 6" xfId="378"/>
    <cellStyle name="Normal 5" xfId="379"/>
    <cellStyle name="Normal 5 2" xfId="380"/>
    <cellStyle name="Normal 5 3" xfId="381"/>
    <cellStyle name="Normal 5 3 2" xfId="382"/>
    <cellStyle name="Normal 5 3 3" xfId="383"/>
    <cellStyle name="Normal 5 4" xfId="384"/>
    <cellStyle name="Normal 5 5" xfId="385"/>
    <cellStyle name="Normal 5 6" xfId="386"/>
    <cellStyle name="Normal 6" xfId="387"/>
    <cellStyle name="Normal 6 2" xfId="388"/>
    <cellStyle name="Normal 6 3" xfId="389"/>
    <cellStyle name="Normal 6 4" xfId="390"/>
    <cellStyle name="Normal 6 5" xfId="391"/>
    <cellStyle name="Normal 7 2" xfId="392"/>
    <cellStyle name="Normal 7 2 2" xfId="393"/>
    <cellStyle name="Normal 7 2 2 2" xfId="394"/>
    <cellStyle name="Normal 7 2 3" xfId="395"/>
    <cellStyle name="Normal 7 2 4" xfId="396"/>
    <cellStyle name="Normal 7 3" xfId="397"/>
    <cellStyle name="Normal 7 4" xfId="398"/>
    <cellStyle name="Normal 7 4 2" xfId="399"/>
    <cellStyle name="Normal 7 4 3" xfId="400"/>
    <cellStyle name="Normal 7 5" xfId="401"/>
    <cellStyle name="Normal 7 5 2" xfId="402"/>
    <cellStyle name="Normal 7 5 3" xfId="403"/>
    <cellStyle name="Normal 7 6" xfId="404"/>
    <cellStyle name="Normal 8" xfId="405"/>
    <cellStyle name="Normal 8 2" xfId="406"/>
    <cellStyle name="Normal 8 3" xfId="407"/>
    <cellStyle name="Normal 9" xfId="408"/>
    <cellStyle name="Normal 9 2" xfId="409"/>
    <cellStyle name="Normal 9 2 2" xfId="410"/>
    <cellStyle name="Normal 9 3" xfId="411"/>
    <cellStyle name="Normal 9 4" xfId="412"/>
    <cellStyle name="Normal 9 5" xfId="413"/>
    <cellStyle name="Normal 9 6" xfId="414"/>
    <cellStyle name="Normal_debt" xfId="415"/>
    <cellStyle name="Normal_lpform" xfId="416"/>
  </cellStyles>
  <dxfs count="129">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condense val="0"/>
        <extend val="0"/>
        <color indexed="43"/>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peter.haxton@library.ks.gov"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8" Type="http://schemas.openxmlformats.org/officeDocument/2006/relationships/hyperlink" Target="http://www.ksrevenue.org/" TargetMode="External"/><Relationship Id="rId3" Type="http://schemas.openxmlformats.org/officeDocument/2006/relationships/hyperlink" Target="http://www.lkm.org/resources/budgettips/" TargetMode="External"/><Relationship Id="rId7" Type="http://schemas.openxmlformats.org/officeDocument/2006/relationships/hyperlink" Target="http://www.kansasstatetreasurer.com/prodweb/dist/index.php" TargetMode="External"/><Relationship Id="rId2" Type="http://schemas.openxmlformats.org/officeDocument/2006/relationships/hyperlink" Target="http://www.da.ks.gov/ar/setoff/" TargetMode="External"/><Relationship Id="rId1" Type="http://schemas.openxmlformats.org/officeDocument/2006/relationships/hyperlink" Target="http://www.da.ks.gov/ar/muniserv/" TargetMode="External"/><Relationship Id="rId6" Type="http://schemas.openxmlformats.org/officeDocument/2006/relationships/hyperlink" Target="http://ksag.washburnlaw.edu/" TargetMode="External"/><Relationship Id="rId5" Type="http://schemas.openxmlformats.org/officeDocument/2006/relationships/hyperlink" Target="http://www.kslegislature.org/legsrv-statutes/index.do" TargetMode="External"/><Relationship Id="rId10" Type="http://schemas.openxmlformats.org/officeDocument/2006/relationships/hyperlink" Target="https://www.pooledmoneyinvestmentboard.com/" TargetMode="External"/><Relationship Id="rId4" Type="http://schemas.openxmlformats.org/officeDocument/2006/relationships/hyperlink" Target="http://www.lkm.org/publications/dokpopop.html" TargetMode="External"/><Relationship Id="rId9" Type="http://schemas.openxmlformats.org/officeDocument/2006/relationships/hyperlink" Target="http://www.ksrevenue.org/pvd.htm" TargetMode="Externa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1"/>
  <sheetViews>
    <sheetView zoomScaleNormal="100" workbookViewId="0">
      <selection activeCell="D14" sqref="D14"/>
    </sheetView>
  </sheetViews>
  <sheetFormatPr defaultRowHeight="15.75" x14ac:dyDescent="0.25"/>
  <cols>
    <col min="1" max="1" width="81.59765625" style="80" customWidth="1"/>
    <col min="2" max="16384" width="8.796875" style="80"/>
  </cols>
  <sheetData>
    <row r="1" spans="1:1" x14ac:dyDescent="0.25">
      <c r="A1" s="336" t="s">
        <v>187</v>
      </c>
    </row>
    <row r="3" spans="1:1" ht="34.5" customHeight="1" x14ac:dyDescent="0.25">
      <c r="A3" s="335" t="s">
        <v>178</v>
      </c>
    </row>
    <row r="4" spans="1:1" x14ac:dyDescent="0.25">
      <c r="A4" s="338"/>
    </row>
    <row r="5" spans="1:1" ht="52.5" customHeight="1" x14ac:dyDescent="0.25">
      <c r="A5" s="334" t="s">
        <v>325</v>
      </c>
    </row>
    <row r="6" spans="1:1" x14ac:dyDescent="0.25">
      <c r="A6" s="334"/>
    </row>
    <row r="7" spans="1:1" ht="34.5" customHeight="1" x14ac:dyDescent="0.25">
      <c r="A7" s="334" t="s">
        <v>854</v>
      </c>
    </row>
    <row r="8" spans="1:1" x14ac:dyDescent="0.25">
      <c r="A8" s="334"/>
    </row>
    <row r="9" spans="1:1" x14ac:dyDescent="0.25">
      <c r="A9" s="334" t="s">
        <v>179</v>
      </c>
    </row>
    <row r="12" spans="1:1" x14ac:dyDescent="0.25">
      <c r="A12" s="336" t="s">
        <v>222</v>
      </c>
    </row>
    <row r="13" spans="1:1" x14ac:dyDescent="0.25">
      <c r="A13" s="336"/>
    </row>
    <row r="14" spans="1:1" ht="18.75" customHeight="1" x14ac:dyDescent="0.25">
      <c r="A14" s="338" t="s">
        <v>224</v>
      </c>
    </row>
    <row r="16" spans="1:1" ht="39" customHeight="1" x14ac:dyDescent="0.25">
      <c r="A16" s="339" t="s">
        <v>356</v>
      </c>
    </row>
    <row r="17" spans="1:1" ht="9.75" customHeight="1" x14ac:dyDescent="0.25">
      <c r="A17" s="339"/>
    </row>
    <row r="20" spans="1:1" x14ac:dyDescent="0.25">
      <c r="A20" s="336" t="s">
        <v>180</v>
      </c>
    </row>
    <row r="22" spans="1:1" ht="34.5" customHeight="1" x14ac:dyDescent="0.25">
      <c r="A22" s="334" t="s">
        <v>225</v>
      </c>
    </row>
    <row r="23" spans="1:1" ht="9.75" customHeight="1" x14ac:dyDescent="0.25">
      <c r="A23" s="334"/>
    </row>
    <row r="24" spans="1:1" x14ac:dyDescent="0.25">
      <c r="A24" s="340" t="s">
        <v>181</v>
      </c>
    </row>
    <row r="25" spans="1:1" x14ac:dyDescent="0.25">
      <c r="A25" s="334"/>
    </row>
    <row r="26" spans="1:1" ht="17.25" customHeight="1" x14ac:dyDescent="0.25">
      <c r="A26" s="341" t="s">
        <v>182</v>
      </c>
    </row>
    <row r="27" spans="1:1" ht="17.25" customHeight="1" x14ac:dyDescent="0.25">
      <c r="A27" s="342"/>
    </row>
    <row r="28" spans="1:1" ht="87.75" customHeight="1" x14ac:dyDescent="0.25">
      <c r="A28" s="343" t="s">
        <v>203</v>
      </c>
    </row>
    <row r="30" spans="1:1" x14ac:dyDescent="0.25">
      <c r="A30" s="344" t="s">
        <v>183</v>
      </c>
    </row>
    <row r="32" spans="1:1" x14ac:dyDescent="0.25">
      <c r="A32" s="121" t="s">
        <v>223</v>
      </c>
    </row>
    <row r="34" spans="1:1" x14ac:dyDescent="0.25">
      <c r="A34" s="334" t="s">
        <v>184</v>
      </c>
    </row>
    <row r="37" spans="1:1" x14ac:dyDescent="0.25">
      <c r="A37" s="336" t="s">
        <v>185</v>
      </c>
    </row>
    <row r="39" spans="1:1" ht="68.25" customHeight="1" x14ac:dyDescent="0.25">
      <c r="A39" s="334" t="s">
        <v>926</v>
      </c>
    </row>
    <row r="40" spans="1:1" ht="32.25" customHeight="1" x14ac:dyDescent="0.25">
      <c r="A40" s="742" t="s">
        <v>855</v>
      </c>
    </row>
    <row r="41" spans="1:1" ht="51.75" customHeight="1" x14ac:dyDescent="0.25">
      <c r="A41" s="743" t="s">
        <v>856</v>
      </c>
    </row>
    <row r="42" spans="1:1" ht="88.5" customHeight="1" x14ac:dyDescent="0.25">
      <c r="A42" s="743" t="s">
        <v>858</v>
      </c>
    </row>
    <row r="43" spans="1:1" ht="10.5" customHeight="1" x14ac:dyDescent="0.25">
      <c r="A43" s="334"/>
    </row>
    <row r="44" spans="1:1" ht="65.25" customHeight="1" x14ac:dyDescent="0.25">
      <c r="A44" s="334" t="s">
        <v>722</v>
      </c>
    </row>
    <row r="45" spans="1:1" ht="59.25" customHeight="1" x14ac:dyDescent="0.25">
      <c r="A45" s="334" t="s">
        <v>186</v>
      </c>
    </row>
    <row r="46" spans="1:1" ht="84.75" customHeight="1" x14ac:dyDescent="0.25">
      <c r="A46" s="334" t="s">
        <v>262</v>
      </c>
    </row>
    <row r="47" spans="1:1" ht="12" customHeight="1" x14ac:dyDescent="0.25">
      <c r="A47" s="334"/>
    </row>
    <row r="48" spans="1:1" ht="67.5" customHeight="1" x14ac:dyDescent="0.25">
      <c r="A48" s="744" t="s">
        <v>859</v>
      </c>
    </row>
    <row r="49" spans="1:1" ht="69.95" customHeight="1" x14ac:dyDescent="0.25">
      <c r="A49" s="368" t="s">
        <v>594</v>
      </c>
    </row>
    <row r="50" spans="1:1" ht="54" customHeight="1" x14ac:dyDescent="0.25">
      <c r="A50" s="745" t="s">
        <v>860</v>
      </c>
    </row>
    <row r="51" spans="1:1" ht="12" customHeight="1" x14ac:dyDescent="0.25">
      <c r="A51" s="334"/>
    </row>
    <row r="52" spans="1:1" ht="68.25" customHeight="1" x14ac:dyDescent="0.25">
      <c r="A52" s="334" t="s">
        <v>595</v>
      </c>
    </row>
    <row r="53" spans="1:1" ht="74.25" customHeight="1" x14ac:dyDescent="0.25">
      <c r="A53" s="334" t="s">
        <v>596</v>
      </c>
    </row>
    <row r="54" spans="1:1" ht="45" customHeight="1" x14ac:dyDescent="0.25">
      <c r="A54" s="334" t="s">
        <v>861</v>
      </c>
    </row>
    <row r="55" spans="1:1" ht="72" customHeight="1" x14ac:dyDescent="0.25">
      <c r="A55" s="742" t="s">
        <v>862</v>
      </c>
    </row>
    <row r="56" spans="1:1" ht="15.75" customHeight="1" x14ac:dyDescent="0.25"/>
    <row r="57" spans="1:1" ht="80.25" customHeight="1" x14ac:dyDescent="0.25">
      <c r="A57" s="334" t="s">
        <v>597</v>
      </c>
    </row>
    <row r="58" spans="1:1" ht="40.5" customHeight="1" x14ac:dyDescent="0.25">
      <c r="A58" s="334" t="s">
        <v>598</v>
      </c>
    </row>
    <row r="59" spans="1:1" ht="45" customHeight="1" x14ac:dyDescent="0.25">
      <c r="A59" s="334" t="s">
        <v>599</v>
      </c>
    </row>
    <row r="60" spans="1:1" x14ac:dyDescent="0.25">
      <c r="A60" s="334"/>
    </row>
    <row r="61" spans="1:1" ht="68.25" customHeight="1" x14ac:dyDescent="0.25">
      <c r="A61" s="742" t="s">
        <v>863</v>
      </c>
    </row>
    <row r="62" spans="1:1" x14ac:dyDescent="0.25">
      <c r="A62" s="334"/>
    </row>
    <row r="63" spans="1:1" ht="40.5" customHeight="1" x14ac:dyDescent="0.25">
      <c r="A63" s="334" t="s">
        <v>600</v>
      </c>
    </row>
    <row r="64" spans="1:1" ht="34.5" customHeight="1" x14ac:dyDescent="0.25">
      <c r="A64" s="334" t="s">
        <v>608</v>
      </c>
    </row>
    <row r="65" spans="1:1" ht="77.25" customHeight="1" x14ac:dyDescent="0.25">
      <c r="A65" s="334" t="s">
        <v>609</v>
      </c>
    </row>
    <row r="66" spans="1:1" ht="41.25" customHeight="1" x14ac:dyDescent="0.25">
      <c r="A66" s="334" t="s">
        <v>606</v>
      </c>
    </row>
    <row r="67" spans="1:1" ht="41.25" customHeight="1" x14ac:dyDescent="0.25">
      <c r="A67" s="334" t="s">
        <v>607</v>
      </c>
    </row>
    <row r="68" spans="1:1" ht="9" customHeight="1" x14ac:dyDescent="0.25">
      <c r="A68" s="334"/>
    </row>
    <row r="69" spans="1:1" ht="58.5" customHeight="1" x14ac:dyDescent="0.25">
      <c r="A69" s="334" t="s">
        <v>601</v>
      </c>
    </row>
    <row r="70" spans="1:1" ht="9.75" customHeight="1" x14ac:dyDescent="0.25"/>
    <row r="71" spans="1:1" s="334" customFormat="1" ht="69" customHeight="1" x14ac:dyDescent="0.25">
      <c r="A71" s="334" t="s">
        <v>602</v>
      </c>
    </row>
    <row r="72" spans="1:1" ht="14.25" customHeight="1" x14ac:dyDescent="0.25"/>
    <row r="73" spans="1:1" ht="121.5" customHeight="1" x14ac:dyDescent="0.25">
      <c r="A73" s="742" t="s">
        <v>864</v>
      </c>
    </row>
    <row r="74" spans="1:1" ht="12" customHeight="1" x14ac:dyDescent="0.25">
      <c r="A74" s="742"/>
    </row>
    <row r="75" spans="1:1" ht="70.5" customHeight="1" x14ac:dyDescent="0.25">
      <c r="A75" s="334" t="s">
        <v>865</v>
      </c>
    </row>
    <row r="76" spans="1:1" ht="60.75" customHeight="1" x14ac:dyDescent="0.25">
      <c r="A76" s="742" t="s">
        <v>866</v>
      </c>
    </row>
    <row r="77" spans="1:1" ht="90.75" customHeight="1" x14ac:dyDescent="0.25">
      <c r="A77" s="542" t="s">
        <v>867</v>
      </c>
    </row>
    <row r="78" spans="1:1" ht="60.75" customHeight="1" x14ac:dyDescent="0.25">
      <c r="A78" s="542" t="s">
        <v>868</v>
      </c>
    </row>
    <row r="79" spans="1:1" ht="60.75" customHeight="1" x14ac:dyDescent="0.25">
      <c r="A79" s="542" t="s">
        <v>869</v>
      </c>
    </row>
    <row r="80" spans="1:1" ht="60" customHeight="1" x14ac:dyDescent="0.25">
      <c r="A80" s="334" t="s">
        <v>872</v>
      </c>
    </row>
    <row r="81" spans="1:1" ht="117.75" customHeight="1" x14ac:dyDescent="0.25">
      <c r="A81" s="334" t="s">
        <v>870</v>
      </c>
    </row>
    <row r="82" spans="1:1" ht="59.25" customHeight="1" x14ac:dyDescent="0.25">
      <c r="A82" s="334" t="s">
        <v>871</v>
      </c>
    </row>
    <row r="83" spans="1:1" ht="84.75" customHeight="1" x14ac:dyDescent="0.25">
      <c r="A83" s="334" t="s">
        <v>873</v>
      </c>
    </row>
    <row r="84" spans="1:1" ht="102.75" customHeight="1" x14ac:dyDescent="0.25">
      <c r="A84" s="334" t="s">
        <v>874</v>
      </c>
    </row>
    <row r="85" spans="1:1" ht="102.75" customHeight="1" x14ac:dyDescent="0.25">
      <c r="A85" s="345" t="s">
        <v>875</v>
      </c>
    </row>
    <row r="86" spans="1:1" ht="54" customHeight="1" x14ac:dyDescent="0.25">
      <c r="A86" s="337" t="s">
        <v>876</v>
      </c>
    </row>
    <row r="87" spans="1:1" ht="115.5" customHeight="1" x14ac:dyDescent="0.25">
      <c r="A87" s="334" t="s">
        <v>927</v>
      </c>
    </row>
    <row r="88" spans="1:1" ht="78" customHeight="1" x14ac:dyDescent="0.25">
      <c r="A88" s="345" t="s">
        <v>877</v>
      </c>
    </row>
    <row r="89" spans="1:1" ht="124.5" customHeight="1" x14ac:dyDescent="0.25">
      <c r="A89" s="345" t="s">
        <v>928</v>
      </c>
    </row>
    <row r="90" spans="1:1" ht="138" customHeight="1" x14ac:dyDescent="0.25">
      <c r="A90" s="334" t="s">
        <v>878</v>
      </c>
    </row>
    <row r="91" spans="1:1" ht="147" customHeight="1" x14ac:dyDescent="0.25">
      <c r="A91" s="334" t="s">
        <v>879</v>
      </c>
    </row>
    <row r="92" spans="1:1" ht="101.25" customHeight="1" x14ac:dyDescent="0.25">
      <c r="A92" s="334" t="s">
        <v>880</v>
      </c>
    </row>
    <row r="94" spans="1:1" ht="102.75" customHeight="1" x14ac:dyDescent="0.25">
      <c r="A94" s="334" t="s">
        <v>881</v>
      </c>
    </row>
    <row r="95" spans="1:1" ht="89.25" customHeight="1" x14ac:dyDescent="0.25">
      <c r="A95" s="345" t="s">
        <v>882</v>
      </c>
    </row>
    <row r="96" spans="1:1" ht="57" customHeight="1" x14ac:dyDescent="0.25">
      <c r="A96" s="345" t="s">
        <v>883</v>
      </c>
    </row>
    <row r="97" spans="1:1" ht="20.25" customHeight="1" x14ac:dyDescent="0.25">
      <c r="A97" s="334" t="s">
        <v>884</v>
      </c>
    </row>
    <row r="99" spans="1:1" ht="53.25" customHeight="1" x14ac:dyDescent="0.25">
      <c r="A99" s="334" t="s">
        <v>885</v>
      </c>
    </row>
    <row r="100" spans="1:1" ht="21" customHeight="1" x14ac:dyDescent="0.25">
      <c r="A100" s="334" t="s">
        <v>886</v>
      </c>
    </row>
    <row r="101" spans="1:1" ht="39.75" customHeight="1" x14ac:dyDescent="0.25">
      <c r="A101" s="542" t="s">
        <v>887</v>
      </c>
    </row>
    <row r="102" spans="1:1" ht="103.5" customHeight="1" x14ac:dyDescent="0.25">
      <c r="A102" s="542" t="s">
        <v>888</v>
      </c>
    </row>
    <row r="103" spans="1:1" ht="114" customHeight="1" x14ac:dyDescent="0.25">
      <c r="A103" s="542" t="s">
        <v>889</v>
      </c>
    </row>
    <row r="104" spans="1:1" ht="74.25" customHeight="1" x14ac:dyDescent="0.25">
      <c r="A104" s="746" t="s">
        <v>891</v>
      </c>
    </row>
    <row r="105" spans="1:1" ht="51.75" customHeight="1" x14ac:dyDescent="0.25">
      <c r="A105" s="334" t="s">
        <v>890</v>
      </c>
    </row>
    <row r="106" spans="1:1" ht="14.25" customHeight="1" x14ac:dyDescent="0.25"/>
    <row r="107" spans="1:1" ht="69.75" customHeight="1" x14ac:dyDescent="0.25">
      <c r="A107" s="334" t="s">
        <v>892</v>
      </c>
    </row>
    <row r="109" spans="1:1" ht="54" customHeight="1" x14ac:dyDescent="0.25">
      <c r="A109" s="542" t="s">
        <v>893</v>
      </c>
    </row>
    <row r="110" spans="1:1" ht="85.5" customHeight="1" x14ac:dyDescent="0.25">
      <c r="A110" s="542" t="s">
        <v>894</v>
      </c>
    </row>
    <row r="111" spans="1:1" ht="99" customHeight="1" x14ac:dyDescent="0.25">
      <c r="A111" s="542" t="s">
        <v>895</v>
      </c>
    </row>
  </sheetData>
  <sheetProtection sheet="1"/>
  <phoneticPr fontId="0" type="noConversion"/>
  <pageMargins left="0.5" right="0.5" top="0.5" bottom="0.5" header="0.5" footer="0"/>
  <pageSetup fitToHeight="2" orientation="portrait" blackAndWhite="1"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39"/>
  <sheetViews>
    <sheetView zoomScale="75" workbookViewId="0">
      <selection activeCell="F13" sqref="F13"/>
    </sheetView>
  </sheetViews>
  <sheetFormatPr defaultRowHeight="15.75" x14ac:dyDescent="0.25"/>
  <cols>
    <col min="1" max="1" width="8.796875" style="168"/>
    <col min="2" max="2" width="18.69921875" style="168" customWidth="1"/>
    <col min="3" max="3" width="8.796875" style="168"/>
    <col min="4" max="4" width="7.8984375" style="168" customWidth="1"/>
    <col min="5" max="5" width="8.796875" style="168"/>
    <col min="6" max="6" width="16.19921875" style="168" customWidth="1"/>
    <col min="7" max="16384" width="8.796875" style="168"/>
  </cols>
  <sheetData>
    <row r="1" spans="2:12" x14ac:dyDescent="0.25">
      <c r="B1" s="166" t="str">
        <f>inputPrYr!$D$2</f>
        <v>Liberty Township</v>
      </c>
      <c r="C1" s="167"/>
      <c r="D1" s="167"/>
      <c r="E1" s="167"/>
      <c r="F1" s="167"/>
      <c r="G1" s="167"/>
      <c r="H1" s="167"/>
      <c r="I1" s="167"/>
      <c r="J1" s="14"/>
      <c r="K1" s="14"/>
      <c r="L1" s="15">
        <f>inputPrYr!D5</f>
        <v>2013</v>
      </c>
    </row>
    <row r="2" spans="2:12" x14ac:dyDescent="0.25">
      <c r="B2" s="166" t="str">
        <f>inputPrYr!$D$3</f>
        <v>Osborne County</v>
      </c>
      <c r="C2" s="167"/>
      <c r="D2" s="167"/>
      <c r="E2" s="167"/>
      <c r="F2" s="167"/>
      <c r="G2" s="167"/>
      <c r="H2" s="167"/>
      <c r="I2" s="167"/>
      <c r="J2" s="14"/>
      <c r="K2" s="14"/>
      <c r="L2" s="52"/>
    </row>
    <row r="3" spans="2:12" x14ac:dyDescent="0.25">
      <c r="B3" s="169" t="s">
        <v>74</v>
      </c>
      <c r="C3" s="170"/>
      <c r="D3" s="170"/>
      <c r="E3" s="145"/>
      <c r="F3" s="170"/>
      <c r="G3" s="170"/>
      <c r="H3" s="170"/>
      <c r="I3" s="170"/>
      <c r="J3" s="170"/>
      <c r="K3" s="170"/>
      <c r="L3" s="170"/>
    </row>
    <row r="4" spans="2:12" x14ac:dyDescent="0.25">
      <c r="B4" s="167"/>
      <c r="C4" s="167"/>
      <c r="D4" s="167"/>
      <c r="E4" s="167"/>
      <c r="F4" s="167"/>
      <c r="G4" s="167"/>
      <c r="H4" s="167"/>
      <c r="I4" s="167"/>
      <c r="J4" s="167"/>
      <c r="K4" s="167"/>
      <c r="L4" s="167"/>
    </row>
    <row r="5" spans="2:12" x14ac:dyDescent="0.25">
      <c r="B5" s="171" t="s">
        <v>831</v>
      </c>
      <c r="C5" s="171" t="s">
        <v>54</v>
      </c>
      <c r="D5" s="171" t="s">
        <v>61</v>
      </c>
      <c r="E5" s="171"/>
      <c r="F5" s="171" t="s">
        <v>4</v>
      </c>
      <c r="G5" s="172"/>
      <c r="H5" s="173"/>
      <c r="I5" s="172" t="s">
        <v>55</v>
      </c>
      <c r="J5" s="173"/>
      <c r="K5" s="172" t="s">
        <v>55</v>
      </c>
      <c r="L5" s="173"/>
    </row>
    <row r="6" spans="2:12" x14ac:dyDescent="0.25">
      <c r="B6" s="174" t="s">
        <v>56</v>
      </c>
      <c r="C6" s="174" t="s">
        <v>56</v>
      </c>
      <c r="D6" s="174" t="s">
        <v>3</v>
      </c>
      <c r="E6" s="174" t="s">
        <v>4</v>
      </c>
      <c r="F6" s="174" t="s">
        <v>122</v>
      </c>
      <c r="G6" s="175" t="s">
        <v>57</v>
      </c>
      <c r="H6" s="176"/>
      <c r="I6" s="175">
        <f>L1-1</f>
        <v>2012</v>
      </c>
      <c r="J6" s="176"/>
      <c r="K6" s="175">
        <f>L1</f>
        <v>2013</v>
      </c>
      <c r="L6" s="176"/>
    </row>
    <row r="7" spans="2:12" x14ac:dyDescent="0.25">
      <c r="B7" s="177" t="s">
        <v>832</v>
      </c>
      <c r="C7" s="177" t="s">
        <v>58</v>
      </c>
      <c r="D7" s="177" t="s">
        <v>29</v>
      </c>
      <c r="E7" s="177" t="s">
        <v>59</v>
      </c>
      <c r="F7" s="178" t="str">
        <f>CONCATENATE("Jan 1,",L1-1,"")</f>
        <v>Jan 1,2012</v>
      </c>
      <c r="G7" s="179" t="s">
        <v>61</v>
      </c>
      <c r="H7" s="179" t="s">
        <v>62</v>
      </c>
      <c r="I7" s="179" t="s">
        <v>61</v>
      </c>
      <c r="J7" s="179" t="s">
        <v>62</v>
      </c>
      <c r="K7" s="179" t="s">
        <v>61</v>
      </c>
      <c r="L7" s="179" t="s">
        <v>62</v>
      </c>
    </row>
    <row r="8" spans="2:12" x14ac:dyDescent="0.25">
      <c r="B8" s="180" t="s">
        <v>51</v>
      </c>
      <c r="C8" s="181"/>
      <c r="D8" s="180"/>
      <c r="E8" s="180"/>
      <c r="F8" s="180"/>
      <c r="G8" s="182"/>
      <c r="H8" s="182"/>
      <c r="I8" s="180"/>
      <c r="J8" s="180"/>
      <c r="K8" s="180"/>
      <c r="L8" s="183"/>
    </row>
    <row r="9" spans="2:12" x14ac:dyDescent="0.25">
      <c r="B9" s="184"/>
      <c r="C9" s="379"/>
      <c r="D9" s="186"/>
      <c r="E9" s="34"/>
      <c r="F9" s="187"/>
      <c r="G9" s="188"/>
      <c r="H9" s="188"/>
      <c r="I9" s="187"/>
      <c r="J9" s="187"/>
      <c r="K9" s="187"/>
      <c r="L9" s="187"/>
    </row>
    <row r="10" spans="2:12" x14ac:dyDescent="0.25">
      <c r="B10" s="184"/>
      <c r="C10" s="379"/>
      <c r="D10" s="186"/>
      <c r="E10" s="34"/>
      <c r="F10" s="187"/>
      <c r="G10" s="188"/>
      <c r="H10" s="188"/>
      <c r="I10" s="187"/>
      <c r="J10" s="187"/>
      <c r="K10" s="187"/>
      <c r="L10" s="187"/>
    </row>
    <row r="11" spans="2:12" x14ac:dyDescent="0.25">
      <c r="B11" s="73" t="s">
        <v>154</v>
      </c>
      <c r="C11" s="189"/>
      <c r="D11" s="190"/>
      <c r="E11" s="32"/>
      <c r="F11" s="158">
        <f>SUM(F9:F10)</f>
        <v>0</v>
      </c>
      <c r="G11" s="191"/>
      <c r="H11" s="191"/>
      <c r="I11" s="158">
        <f>SUM(I9:I10)</f>
        <v>0</v>
      </c>
      <c r="J11" s="158">
        <f>SUM(J9:J10)</f>
        <v>0</v>
      </c>
      <c r="K11" s="158">
        <f>SUM(K9:K10)</f>
        <v>0</v>
      </c>
      <c r="L11" s="158">
        <f>SUM(L9:L10)</f>
        <v>0</v>
      </c>
    </row>
    <row r="12" spans="2:12" x14ac:dyDescent="0.25">
      <c r="B12" s="73" t="s">
        <v>21</v>
      </c>
      <c r="C12" s="189"/>
      <c r="D12" s="190"/>
      <c r="E12" s="32"/>
      <c r="F12" s="85"/>
      <c r="G12" s="191"/>
      <c r="H12" s="191"/>
      <c r="I12" s="85"/>
      <c r="J12" s="85"/>
      <c r="K12" s="85"/>
      <c r="L12" s="85"/>
    </row>
    <row r="13" spans="2:12" x14ac:dyDescent="0.25">
      <c r="B13" s="184"/>
      <c r="C13" s="379"/>
      <c r="D13" s="186"/>
      <c r="E13" s="34"/>
      <c r="F13" s="187"/>
      <c r="G13" s="188"/>
      <c r="H13" s="188"/>
      <c r="I13" s="187"/>
      <c r="J13" s="187"/>
      <c r="K13" s="187"/>
      <c r="L13" s="187"/>
    </row>
    <row r="14" spans="2:12" x14ac:dyDescent="0.25">
      <c r="B14" s="184"/>
      <c r="C14" s="379"/>
      <c r="D14" s="186"/>
      <c r="E14" s="34"/>
      <c r="F14" s="187"/>
      <c r="G14" s="188"/>
      <c r="H14" s="188"/>
      <c r="I14" s="187"/>
      <c r="J14" s="187"/>
      <c r="K14" s="187"/>
      <c r="L14" s="187"/>
    </row>
    <row r="15" spans="2:12" x14ac:dyDescent="0.25">
      <c r="B15" s="73" t="s">
        <v>155</v>
      </c>
      <c r="C15" s="189"/>
      <c r="D15" s="190"/>
      <c r="E15" s="32"/>
      <c r="F15" s="158">
        <f>SUM(F13:F14)</f>
        <v>0</v>
      </c>
      <c r="G15" s="191"/>
      <c r="H15" s="191"/>
      <c r="I15" s="158">
        <f>SUM(I13:I14)</f>
        <v>0</v>
      </c>
      <c r="J15" s="158">
        <f>SUM(J13:J14)</f>
        <v>0</v>
      </c>
      <c r="K15" s="158">
        <f>SUM(K13:K14)</f>
        <v>0</v>
      </c>
      <c r="L15" s="158">
        <f>SUM(L13:L14)</f>
        <v>0</v>
      </c>
    </row>
    <row r="16" spans="2:12" x14ac:dyDescent="0.25">
      <c r="B16" s="192" t="s">
        <v>833</v>
      </c>
      <c r="C16" s="692"/>
      <c r="D16" s="693"/>
      <c r="E16" s="694"/>
      <c r="F16" s="194">
        <f>SUM(F11+F15)</f>
        <v>0</v>
      </c>
      <c r="G16" s="692"/>
      <c r="H16" s="695"/>
      <c r="I16" s="194">
        <f>SUM(I11+I15)</f>
        <v>0</v>
      </c>
      <c r="J16" s="194">
        <f>SUM(J11+J15)</f>
        <v>0</v>
      </c>
      <c r="K16" s="194">
        <f>SUM(K11+K15)</f>
        <v>0</v>
      </c>
      <c r="L16" s="194">
        <f>SUM(L11+L15)</f>
        <v>0</v>
      </c>
    </row>
    <row r="17" spans="2:25" x14ac:dyDescent="0.25">
      <c r="B17" s="14"/>
      <c r="C17" s="14"/>
      <c r="D17" s="19"/>
      <c r="E17" s="19"/>
      <c r="F17" s="19"/>
      <c r="G17" s="19"/>
      <c r="H17" s="19"/>
      <c r="I17" s="19"/>
      <c r="J17" s="19"/>
      <c r="K17" s="19"/>
      <c r="L17" s="19"/>
      <c r="M17" s="80"/>
      <c r="N17" s="80"/>
      <c r="O17" s="80"/>
      <c r="P17" s="80"/>
      <c r="Q17" s="80"/>
      <c r="R17" s="80"/>
      <c r="S17" s="80"/>
      <c r="T17" s="80"/>
      <c r="U17" s="80"/>
      <c r="V17" s="80"/>
      <c r="W17" s="80"/>
      <c r="X17" s="80"/>
      <c r="Y17" s="80"/>
    </row>
    <row r="18" spans="2:25" s="197" customFormat="1" x14ac:dyDescent="0.25">
      <c r="B18" s="797" t="s">
        <v>73</v>
      </c>
      <c r="C18" s="779"/>
      <c r="D18" s="779"/>
      <c r="E18" s="779"/>
      <c r="F18" s="779"/>
      <c r="G18" s="779"/>
      <c r="H18" s="779"/>
      <c r="I18" s="779"/>
      <c r="J18" s="195"/>
      <c r="K18" s="195"/>
      <c r="L18" s="196"/>
    </row>
    <row r="19" spans="2:25" s="197" customFormat="1" x14ac:dyDescent="0.25">
      <c r="B19" s="19"/>
      <c r="C19" s="198"/>
      <c r="D19" s="198"/>
      <c r="E19" s="198"/>
      <c r="F19" s="198"/>
      <c r="G19" s="198"/>
      <c r="H19" s="198"/>
      <c r="I19" s="198"/>
      <c r="J19" s="199"/>
      <c r="K19" s="199"/>
      <c r="L19" s="196"/>
    </row>
    <row r="20" spans="2:25" s="197" customFormat="1" x14ac:dyDescent="0.25">
      <c r="B20" s="155"/>
      <c r="C20" s="155"/>
      <c r="D20" s="171" t="s">
        <v>60</v>
      </c>
      <c r="E20" s="155"/>
      <c r="F20" s="171" t="s">
        <v>276</v>
      </c>
      <c r="G20" s="155"/>
      <c r="H20" s="155"/>
      <c r="I20" s="155"/>
      <c r="J20" s="200"/>
      <c r="K20" s="201"/>
      <c r="L20" s="196"/>
    </row>
    <row r="21" spans="2:25" s="197" customFormat="1" x14ac:dyDescent="0.25">
      <c r="B21" s="202"/>
      <c r="C21" s="174"/>
      <c r="D21" s="174" t="s">
        <v>56</v>
      </c>
      <c r="E21" s="174" t="s">
        <v>61</v>
      </c>
      <c r="F21" s="174" t="s">
        <v>4</v>
      </c>
      <c r="G21" s="174" t="s">
        <v>62</v>
      </c>
      <c r="H21" s="174" t="s">
        <v>63</v>
      </c>
      <c r="I21" s="174" t="s">
        <v>63</v>
      </c>
      <c r="J21" s="196"/>
      <c r="K21" s="196"/>
      <c r="L21" s="196"/>
    </row>
    <row r="22" spans="2:25" s="197" customFormat="1" x14ac:dyDescent="0.25">
      <c r="B22" s="174" t="s">
        <v>834</v>
      </c>
      <c r="C22" s="174" t="s">
        <v>64</v>
      </c>
      <c r="D22" s="174" t="s">
        <v>65</v>
      </c>
      <c r="E22" s="174" t="s">
        <v>3</v>
      </c>
      <c r="F22" s="174" t="s">
        <v>66</v>
      </c>
      <c r="G22" s="174" t="s">
        <v>106</v>
      </c>
      <c r="H22" s="174" t="s">
        <v>67</v>
      </c>
      <c r="I22" s="174" t="s">
        <v>67</v>
      </c>
      <c r="J22" s="196"/>
      <c r="K22" s="196"/>
      <c r="L22" s="196"/>
    </row>
    <row r="23" spans="2:25" s="197" customFormat="1" x14ac:dyDescent="0.25">
      <c r="B23" s="177" t="s">
        <v>835</v>
      </c>
      <c r="C23" s="177" t="s">
        <v>54</v>
      </c>
      <c r="D23" s="203" t="s">
        <v>68</v>
      </c>
      <c r="E23" s="177" t="s">
        <v>29</v>
      </c>
      <c r="F23" s="203" t="s">
        <v>123</v>
      </c>
      <c r="G23" s="178" t="str">
        <f>CONCATENATE("Jan 1,",L1-1,"")</f>
        <v>Jan 1,2012</v>
      </c>
      <c r="H23" s="177">
        <f>L1-1</f>
        <v>2012</v>
      </c>
      <c r="I23" s="177">
        <f>L1</f>
        <v>2013</v>
      </c>
      <c r="J23" s="196"/>
      <c r="K23" s="196"/>
      <c r="L23" s="196"/>
    </row>
    <row r="24" spans="2:25" s="197" customFormat="1" x14ac:dyDescent="0.25">
      <c r="B24" s="184"/>
      <c r="C24" s="185"/>
      <c r="D24" s="204"/>
      <c r="E24" s="186"/>
      <c r="F24" s="34"/>
      <c r="G24" s="34"/>
      <c r="H24" s="34"/>
      <c r="I24" s="34"/>
      <c r="J24" s="196"/>
      <c r="K24" s="196"/>
      <c r="L24" s="196"/>
    </row>
    <row r="25" spans="2:25" s="197" customFormat="1" x14ac:dyDescent="0.25">
      <c r="B25" s="184"/>
      <c r="C25" s="185"/>
      <c r="D25" s="204"/>
      <c r="E25" s="186"/>
      <c r="F25" s="34"/>
      <c r="G25" s="34"/>
      <c r="H25" s="34"/>
      <c r="I25" s="34"/>
      <c r="J25" s="196"/>
      <c r="K25" s="196"/>
      <c r="L25" s="196"/>
    </row>
    <row r="26" spans="2:25" s="197" customFormat="1" x14ac:dyDescent="0.25">
      <c r="B26" s="184"/>
      <c r="C26" s="185"/>
      <c r="D26" s="204"/>
      <c r="E26" s="186"/>
      <c r="F26" s="34"/>
      <c r="G26" s="34"/>
      <c r="H26" s="34"/>
      <c r="I26" s="34"/>
      <c r="J26" s="196"/>
      <c r="K26" s="196"/>
      <c r="L26" s="196"/>
    </row>
    <row r="27" spans="2:25" s="197" customFormat="1" x14ac:dyDescent="0.25">
      <c r="B27" s="184"/>
      <c r="C27" s="185"/>
      <c r="D27" s="204"/>
      <c r="E27" s="186"/>
      <c r="F27" s="34"/>
      <c r="G27" s="34"/>
      <c r="H27" s="34"/>
      <c r="I27" s="34"/>
      <c r="J27" s="196"/>
      <c r="K27" s="196"/>
      <c r="L27" s="196"/>
    </row>
    <row r="28" spans="2:25" s="197" customFormat="1" x14ac:dyDescent="0.25">
      <c r="B28" s="184"/>
      <c r="C28" s="185"/>
      <c r="D28" s="204"/>
      <c r="E28" s="186"/>
      <c r="F28" s="34"/>
      <c r="G28" s="34"/>
      <c r="H28" s="34"/>
      <c r="I28" s="34"/>
      <c r="J28" s="196"/>
      <c r="K28" s="196"/>
      <c r="L28" s="196"/>
    </row>
    <row r="29" spans="2:25" s="197" customFormat="1" x14ac:dyDescent="0.25">
      <c r="B29" s="184"/>
      <c r="C29" s="185"/>
      <c r="D29" s="204"/>
      <c r="E29" s="186"/>
      <c r="F29" s="34"/>
      <c r="G29" s="34"/>
      <c r="H29" s="34"/>
      <c r="I29" s="34"/>
      <c r="J29" s="196"/>
      <c r="K29" s="196"/>
      <c r="L29" s="196"/>
    </row>
    <row r="30" spans="2:25" s="197" customFormat="1" x14ac:dyDescent="0.25">
      <c r="B30" s="184"/>
      <c r="C30" s="185"/>
      <c r="D30" s="204"/>
      <c r="E30" s="186"/>
      <c r="F30" s="34"/>
      <c r="G30" s="34"/>
      <c r="H30" s="34"/>
      <c r="I30" s="34"/>
      <c r="J30" s="196"/>
      <c r="K30" s="196"/>
      <c r="L30" s="196"/>
    </row>
    <row r="31" spans="2:25" s="197" customFormat="1" x14ac:dyDescent="0.25">
      <c r="B31" s="184"/>
      <c r="C31" s="185"/>
      <c r="D31" s="204"/>
      <c r="E31" s="186"/>
      <c r="F31" s="34"/>
      <c r="G31" s="34"/>
      <c r="H31" s="34"/>
      <c r="I31" s="34"/>
      <c r="J31" s="196"/>
      <c r="K31" s="196"/>
      <c r="L31" s="196"/>
    </row>
    <row r="32" spans="2:25" s="197" customFormat="1" x14ac:dyDescent="0.25">
      <c r="B32" s="184"/>
      <c r="C32" s="185"/>
      <c r="D32" s="204"/>
      <c r="E32" s="186"/>
      <c r="F32" s="34"/>
      <c r="G32" s="34"/>
      <c r="H32" s="34"/>
      <c r="I32" s="34"/>
      <c r="J32" s="196"/>
      <c r="K32" s="196"/>
      <c r="L32" s="196"/>
    </row>
    <row r="33" spans="2:12" s="197" customFormat="1" x14ac:dyDescent="0.25">
      <c r="B33" s="184"/>
      <c r="C33" s="185"/>
      <c r="D33" s="204"/>
      <c r="E33" s="186"/>
      <c r="F33" s="34"/>
      <c r="G33" s="34"/>
      <c r="H33" s="34"/>
      <c r="I33" s="34"/>
      <c r="J33" s="196"/>
      <c r="K33" s="196"/>
      <c r="L33" s="196"/>
    </row>
    <row r="34" spans="2:12" s="197" customFormat="1" x14ac:dyDescent="0.25">
      <c r="B34" s="184"/>
      <c r="C34" s="185"/>
      <c r="D34" s="204"/>
      <c r="E34" s="186"/>
      <c r="F34" s="34"/>
      <c r="G34" s="34"/>
      <c r="H34" s="34"/>
      <c r="I34" s="34"/>
      <c r="J34" s="196"/>
      <c r="K34" s="196"/>
      <c r="L34" s="196"/>
    </row>
    <row r="35" spans="2:12" s="197" customFormat="1" x14ac:dyDescent="0.25">
      <c r="B35" s="184"/>
      <c r="C35" s="185"/>
      <c r="D35" s="204"/>
      <c r="E35" s="186"/>
      <c r="F35" s="34"/>
      <c r="G35" s="34"/>
      <c r="H35" s="34"/>
      <c r="I35" s="34"/>
      <c r="J35" s="196"/>
      <c r="K35" s="196"/>
      <c r="L35" s="196"/>
    </row>
    <row r="36" spans="2:12" x14ac:dyDescent="0.25">
      <c r="B36" s="697"/>
      <c r="C36" s="193"/>
      <c r="D36" s="193"/>
      <c r="E36" s="205"/>
      <c r="F36" s="696" t="s">
        <v>276</v>
      </c>
      <c r="G36" s="194">
        <f>SUM(G24:G35)</f>
        <v>0</v>
      </c>
      <c r="H36" s="194">
        <f>SUM(H24:H35)</f>
        <v>0</v>
      </c>
      <c r="I36" s="194">
        <f>SUM(I24:I35)</f>
        <v>0</v>
      </c>
      <c r="J36" s="167"/>
      <c r="K36" s="167"/>
      <c r="L36" s="206"/>
    </row>
    <row r="37" spans="2:12" x14ac:dyDescent="0.25">
      <c r="B37" s="167"/>
      <c r="C37" s="167"/>
      <c r="D37" s="167"/>
      <c r="E37" s="167"/>
      <c r="F37" s="167"/>
      <c r="G37" s="167"/>
      <c r="H37" s="167"/>
      <c r="I37" s="167"/>
      <c r="J37" s="167"/>
      <c r="K37" s="167"/>
      <c r="L37" s="167"/>
    </row>
    <row r="38" spans="2:12" x14ac:dyDescent="0.25">
      <c r="B38" s="207" t="s">
        <v>246</v>
      </c>
      <c r="C38" s="207"/>
      <c r="D38" s="207"/>
      <c r="E38" s="207"/>
      <c r="F38" s="207"/>
      <c r="G38" s="207"/>
      <c r="H38" s="207"/>
      <c r="I38" s="167"/>
      <c r="J38" s="167"/>
      <c r="K38" s="167"/>
      <c r="L38" s="167"/>
    </row>
    <row r="39" spans="2:12" x14ac:dyDescent="0.25">
      <c r="B39" s="208"/>
    </row>
  </sheetData>
  <sheetProtection sheet="1"/>
  <mergeCells count="1">
    <mergeCell ref="B18:I18"/>
  </mergeCells>
  <phoneticPr fontId="0" type="noConversion"/>
  <pageMargins left="0.5" right="0.5" top="1" bottom="0.5" header="0.5" footer="0.5"/>
  <pageSetup scale="88" orientation="landscape" blackAndWhite="1" horizontalDpi="120" verticalDpi="144" r:id="rId1"/>
  <headerFooter alignWithMargins="0">
    <oddHeader xml:space="preserve">&amp;RState of Kansas
Township
</oddHeader>
    <oddFooter>&amp;CPage No. 5</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I108"/>
  <sheetViews>
    <sheetView zoomScaleNormal="100" workbookViewId="0">
      <selection activeCell="L34" sqref="L34"/>
    </sheetView>
  </sheetViews>
  <sheetFormatPr defaultRowHeight="15" x14ac:dyDescent="0.2"/>
  <cols>
    <col min="1" max="1" width="2.296875" style="564" customWidth="1"/>
    <col min="2" max="4" width="8.796875" style="564"/>
    <col min="5" max="5" width="8.69921875" style="564" customWidth="1"/>
    <col min="6" max="6" width="8.796875" style="564"/>
    <col min="7" max="7" width="8.69921875" style="564" customWidth="1"/>
    <col min="8" max="16384" width="8.796875" style="564"/>
  </cols>
  <sheetData>
    <row r="1" spans="2:9" ht="15.75" x14ac:dyDescent="0.25">
      <c r="B1" s="563"/>
      <c r="C1" s="563"/>
      <c r="D1" s="563"/>
      <c r="E1" s="563"/>
      <c r="F1" s="563"/>
      <c r="G1" s="563"/>
      <c r="H1" s="563"/>
      <c r="I1" s="563"/>
    </row>
    <row r="2" spans="2:9" ht="15.75" x14ac:dyDescent="0.2">
      <c r="B2" s="800" t="s">
        <v>770</v>
      </c>
      <c r="C2" s="800"/>
      <c r="D2" s="800"/>
      <c r="E2" s="800"/>
      <c r="F2" s="800"/>
      <c r="G2" s="800"/>
      <c r="H2" s="800"/>
      <c r="I2" s="800"/>
    </row>
    <row r="3" spans="2:9" ht="15.75" x14ac:dyDescent="0.2">
      <c r="B3" s="800" t="s">
        <v>771</v>
      </c>
      <c r="C3" s="800"/>
      <c r="D3" s="800"/>
      <c r="E3" s="800"/>
      <c r="F3" s="800"/>
      <c r="G3" s="800"/>
      <c r="H3" s="800"/>
      <c r="I3" s="800"/>
    </row>
    <row r="4" spans="2:9" ht="15.75" x14ac:dyDescent="0.2">
      <c r="B4" s="565"/>
      <c r="C4" s="565"/>
      <c r="D4" s="565"/>
      <c r="E4" s="565"/>
      <c r="F4" s="565"/>
      <c r="G4" s="565"/>
      <c r="H4" s="565"/>
      <c r="I4" s="565"/>
    </row>
    <row r="5" spans="2:9" ht="15.75" x14ac:dyDescent="0.2">
      <c r="B5" s="801" t="str">
        <f>CONCATENATE("Budgeted Year: ",inputPrYr!D5,"")</f>
        <v>Budgeted Year: 2013</v>
      </c>
      <c r="C5" s="801"/>
      <c r="D5" s="801"/>
      <c r="E5" s="801"/>
      <c r="F5" s="801"/>
      <c r="G5" s="801"/>
      <c r="H5" s="801"/>
      <c r="I5" s="801"/>
    </row>
    <row r="6" spans="2:9" ht="15.75" x14ac:dyDescent="0.2">
      <c r="B6" s="566"/>
      <c r="C6" s="565"/>
      <c r="D6" s="565"/>
      <c r="E6" s="565"/>
      <c r="F6" s="565"/>
      <c r="G6" s="565"/>
      <c r="H6" s="565"/>
      <c r="I6" s="565"/>
    </row>
    <row r="7" spans="2:9" ht="15.75" x14ac:dyDescent="0.2">
      <c r="B7" s="566" t="str">
        <f>CONCATENATE("Library found in: ",inputPrYr!D2,"")</f>
        <v>Library found in: Liberty Township</v>
      </c>
      <c r="C7" s="565"/>
      <c r="D7" s="565"/>
      <c r="E7" s="565"/>
      <c r="F7" s="565"/>
      <c r="G7" s="565"/>
      <c r="H7" s="565"/>
      <c r="I7" s="565"/>
    </row>
    <row r="8" spans="2:9" ht="15.75" x14ac:dyDescent="0.2">
      <c r="B8" s="566" t="str">
        <f>inputPrYr!D3</f>
        <v>Osborne County</v>
      </c>
      <c r="C8" s="565"/>
      <c r="D8" s="565"/>
      <c r="E8" s="565"/>
      <c r="F8" s="565"/>
      <c r="G8" s="565"/>
      <c r="H8" s="565"/>
      <c r="I8" s="565"/>
    </row>
    <row r="9" spans="2:9" ht="15.75" x14ac:dyDescent="0.2">
      <c r="B9" s="565"/>
      <c r="C9" s="565"/>
      <c r="D9" s="565"/>
      <c r="E9" s="565"/>
      <c r="F9" s="565"/>
      <c r="G9" s="565"/>
      <c r="H9" s="565"/>
      <c r="I9" s="565"/>
    </row>
    <row r="10" spans="2:9" ht="39" customHeight="1" x14ac:dyDescent="0.2">
      <c r="B10" s="802" t="s">
        <v>772</v>
      </c>
      <c r="C10" s="802"/>
      <c r="D10" s="802"/>
      <c r="E10" s="802"/>
      <c r="F10" s="802"/>
      <c r="G10" s="802"/>
      <c r="H10" s="802"/>
      <c r="I10" s="802"/>
    </row>
    <row r="11" spans="2:9" ht="15.75" x14ac:dyDescent="0.2">
      <c r="B11" s="565"/>
      <c r="C11" s="565"/>
      <c r="D11" s="565"/>
      <c r="E11" s="565"/>
      <c r="F11" s="565"/>
      <c r="G11" s="565"/>
      <c r="H11" s="565"/>
      <c r="I11" s="565"/>
    </row>
    <row r="12" spans="2:9" ht="15.75" x14ac:dyDescent="0.2">
      <c r="B12" s="567" t="s">
        <v>773</v>
      </c>
      <c r="C12" s="565"/>
      <c r="D12" s="565"/>
      <c r="E12" s="565"/>
      <c r="F12" s="565"/>
      <c r="G12" s="565"/>
      <c r="H12" s="565"/>
      <c r="I12" s="565"/>
    </row>
    <row r="13" spans="2:9" ht="15.75" x14ac:dyDescent="0.2">
      <c r="B13" s="565"/>
      <c r="C13" s="565"/>
      <c r="D13" s="565"/>
      <c r="E13" s="568" t="s">
        <v>12</v>
      </c>
      <c r="F13" s="565"/>
      <c r="G13" s="568" t="s">
        <v>774</v>
      </c>
      <c r="H13" s="565"/>
      <c r="I13" s="565"/>
    </row>
    <row r="14" spans="2:9" ht="15.75" x14ac:dyDescent="0.2">
      <c r="B14" s="565"/>
      <c r="C14" s="565"/>
      <c r="D14" s="565"/>
      <c r="E14" s="569">
        <f>inputPrYr!D5-1</f>
        <v>2012</v>
      </c>
      <c r="F14" s="565"/>
      <c r="G14" s="569">
        <f>inputPrYr!D5</f>
        <v>2013</v>
      </c>
      <c r="H14" s="565"/>
      <c r="I14" s="565"/>
    </row>
    <row r="15" spans="2:9" ht="15.75" x14ac:dyDescent="0.2">
      <c r="B15" s="566" t="str">
        <f>'DebtSvs-Library'!B48</f>
        <v>Ad Valorem Tax</v>
      </c>
      <c r="C15" s="565"/>
      <c r="D15" s="565"/>
      <c r="E15" s="570">
        <f>'DebtSvs-Library'!D48</f>
        <v>0</v>
      </c>
      <c r="F15" s="565"/>
      <c r="G15" s="570">
        <f>'DebtSvs-Library'!E80</f>
        <v>0</v>
      </c>
      <c r="H15" s="565"/>
      <c r="I15" s="565"/>
    </row>
    <row r="16" spans="2:9" ht="15.75" x14ac:dyDescent="0.2">
      <c r="B16" s="566" t="str">
        <f>'DebtSvs-Library'!B49</f>
        <v>Delinquent Tax</v>
      </c>
      <c r="C16" s="565"/>
      <c r="D16" s="565"/>
      <c r="E16" s="570">
        <f>'DebtSvs-Library'!D49</f>
        <v>0</v>
      </c>
      <c r="F16" s="565"/>
      <c r="G16" s="570">
        <f>'DebtSvs-Library'!E49</f>
        <v>0</v>
      </c>
      <c r="H16" s="565"/>
      <c r="I16" s="565"/>
    </row>
    <row r="17" spans="2:9" ht="15.75" x14ac:dyDescent="0.2">
      <c r="B17" s="566" t="str">
        <f>'DebtSvs-Library'!B50</f>
        <v>Motor Vehicle Tax</v>
      </c>
      <c r="C17" s="565"/>
      <c r="D17" s="565"/>
      <c r="E17" s="570">
        <f>'DebtSvs-Library'!D50</f>
        <v>0</v>
      </c>
      <c r="F17" s="565"/>
      <c r="G17" s="570">
        <f>'DebtSvs-Library'!E50</f>
        <v>0</v>
      </c>
      <c r="H17" s="565"/>
      <c r="I17" s="565"/>
    </row>
    <row r="18" spans="2:9" ht="15.75" x14ac:dyDescent="0.2">
      <c r="B18" s="566" t="str">
        <f>'DebtSvs-Library'!B51</f>
        <v>Recreational Vehicle Tax</v>
      </c>
      <c r="C18" s="565"/>
      <c r="D18" s="565"/>
      <c r="E18" s="570">
        <f>'DebtSvs-Library'!D51</f>
        <v>0</v>
      </c>
      <c r="F18" s="565"/>
      <c r="G18" s="570">
        <f>'DebtSvs-Library'!E51</f>
        <v>0</v>
      </c>
      <c r="H18" s="565"/>
      <c r="I18" s="565"/>
    </row>
    <row r="19" spans="2:9" ht="15.75" x14ac:dyDescent="0.2">
      <c r="B19" s="566" t="str">
        <f>'DebtSvs-Library'!B52</f>
        <v>16/20M Vehicle Tax</v>
      </c>
      <c r="C19" s="565"/>
      <c r="D19" s="565"/>
      <c r="E19" s="570">
        <f>'DebtSvs-Library'!D52</f>
        <v>0</v>
      </c>
      <c r="F19" s="565"/>
      <c r="G19" s="570">
        <f>'DebtSvs-Library'!E52</f>
        <v>0</v>
      </c>
      <c r="H19" s="565"/>
      <c r="I19" s="565"/>
    </row>
    <row r="20" spans="2:9" ht="15.75" x14ac:dyDescent="0.2">
      <c r="B20" s="565" t="s">
        <v>161</v>
      </c>
      <c r="C20" s="565"/>
      <c r="D20" s="565"/>
      <c r="E20" s="570">
        <v>0</v>
      </c>
      <c r="F20" s="565"/>
      <c r="G20" s="570">
        <v>0</v>
      </c>
      <c r="H20" s="565"/>
      <c r="I20" s="565"/>
    </row>
    <row r="21" spans="2:9" ht="15.75" x14ac:dyDescent="0.2">
      <c r="B21" s="565"/>
      <c r="C21" s="565"/>
      <c r="D21" s="565"/>
      <c r="E21" s="570">
        <v>0</v>
      </c>
      <c r="F21" s="565"/>
      <c r="G21" s="570">
        <v>0</v>
      </c>
      <c r="H21" s="565"/>
      <c r="I21" s="565"/>
    </row>
    <row r="22" spans="2:9" ht="15.75" x14ac:dyDescent="0.2">
      <c r="B22" s="565" t="s">
        <v>775</v>
      </c>
      <c r="C22" s="565"/>
      <c r="D22" s="565"/>
      <c r="E22" s="571">
        <f>SUM(E15:E21)</f>
        <v>0</v>
      </c>
      <c r="F22" s="565"/>
      <c r="G22" s="571">
        <f>SUM(G15:G21)</f>
        <v>0</v>
      </c>
      <c r="H22" s="565"/>
      <c r="I22" s="565"/>
    </row>
    <row r="23" spans="2:9" ht="15.75" x14ac:dyDescent="0.2">
      <c r="B23" s="565" t="s">
        <v>776</v>
      </c>
      <c r="C23" s="565"/>
      <c r="D23" s="565"/>
      <c r="E23" s="572">
        <f>G22-E22</f>
        <v>0</v>
      </c>
      <c r="F23" s="565"/>
      <c r="G23" s="573"/>
      <c r="H23" s="565"/>
      <c r="I23" s="565"/>
    </row>
    <row r="24" spans="2:9" ht="15.75" x14ac:dyDescent="0.2">
      <c r="B24" s="565" t="s">
        <v>777</v>
      </c>
      <c r="C24" s="565"/>
      <c r="D24" s="574" t="str">
        <f>IF((G22-E22)&gt;0,"Qualify","Not Qualify")</f>
        <v>Not Qualify</v>
      </c>
      <c r="E24" s="565"/>
      <c r="F24" s="565"/>
      <c r="G24" s="565"/>
      <c r="H24" s="565"/>
      <c r="I24" s="565"/>
    </row>
    <row r="25" spans="2:9" ht="15.75" x14ac:dyDescent="0.2">
      <c r="B25" s="565"/>
      <c r="C25" s="565"/>
      <c r="D25" s="565"/>
      <c r="E25" s="565"/>
      <c r="F25" s="565"/>
      <c r="G25" s="565"/>
      <c r="H25" s="565"/>
      <c r="I25" s="565"/>
    </row>
    <row r="26" spans="2:9" ht="15.75" x14ac:dyDescent="0.2">
      <c r="B26" s="567" t="s">
        <v>778</v>
      </c>
      <c r="C26" s="565"/>
      <c r="D26" s="565"/>
      <c r="E26" s="565"/>
      <c r="F26" s="565"/>
      <c r="G26" s="565"/>
      <c r="H26" s="565"/>
      <c r="I26" s="565"/>
    </row>
    <row r="27" spans="2:9" ht="15.75" x14ac:dyDescent="0.2">
      <c r="B27" s="565" t="s">
        <v>779</v>
      </c>
      <c r="C27" s="565"/>
      <c r="D27" s="565"/>
      <c r="E27" s="570">
        <f>summ!E37</f>
        <v>628850</v>
      </c>
      <c r="F27" s="565"/>
      <c r="G27" s="570">
        <f>summ!G37</f>
        <v>682005</v>
      </c>
      <c r="H27" s="565"/>
      <c r="I27" s="565"/>
    </row>
    <row r="28" spans="2:9" ht="15.75" x14ac:dyDescent="0.2">
      <c r="B28" s="565" t="s">
        <v>780</v>
      </c>
      <c r="C28" s="565"/>
      <c r="D28" s="565"/>
      <c r="E28" s="575" t="str">
        <f>IF(G27-E27&gt;0,"No","Yes")</f>
        <v>No</v>
      </c>
      <c r="F28" s="565"/>
      <c r="G28" s="565"/>
      <c r="H28" s="565"/>
      <c r="I28" s="565"/>
    </row>
    <row r="29" spans="2:9" ht="15.75" x14ac:dyDescent="0.2">
      <c r="B29" s="565" t="s">
        <v>781</v>
      </c>
      <c r="C29" s="565"/>
      <c r="D29" s="565"/>
      <c r="E29" s="576" t="str">
        <f>summ!F20</f>
        <v xml:space="preserve">  </v>
      </c>
      <c r="F29" s="565"/>
      <c r="G29" s="576" t="str">
        <f>summ!I20</f>
        <v xml:space="preserve"> </v>
      </c>
      <c r="H29" s="565"/>
      <c r="I29" s="565"/>
    </row>
    <row r="30" spans="2:9" ht="15.75" x14ac:dyDescent="0.2">
      <c r="B30" s="565" t="s">
        <v>782</v>
      </c>
      <c r="C30" s="565"/>
      <c r="D30" s="565"/>
      <c r="E30" s="577" t="e">
        <f>G29-E29</f>
        <v>#VALUE!</v>
      </c>
      <c r="F30" s="565"/>
      <c r="G30" s="565"/>
      <c r="H30" s="565"/>
      <c r="I30" s="565"/>
    </row>
    <row r="31" spans="2:9" ht="15.75" x14ac:dyDescent="0.2">
      <c r="B31" s="565" t="s">
        <v>777</v>
      </c>
      <c r="C31" s="565"/>
      <c r="D31" s="578" t="e">
        <f>IF(E30&gt;=0,"Qualify","Not Qualify")</f>
        <v>#VALUE!</v>
      </c>
      <c r="E31" s="565"/>
      <c r="F31" s="565"/>
      <c r="G31" s="565"/>
      <c r="H31" s="565"/>
      <c r="I31" s="565"/>
    </row>
    <row r="32" spans="2:9" ht="15.75" x14ac:dyDescent="0.2">
      <c r="B32" s="565"/>
      <c r="C32" s="565"/>
      <c r="D32" s="565"/>
      <c r="E32" s="565"/>
      <c r="F32" s="565"/>
      <c r="G32" s="565"/>
      <c r="H32" s="565"/>
      <c r="I32" s="565"/>
    </row>
    <row r="33" spans="2:9" ht="15.75" x14ac:dyDescent="0.2">
      <c r="B33" s="565" t="s">
        <v>783</v>
      </c>
      <c r="C33" s="565"/>
      <c r="D33" s="565"/>
      <c r="E33" s="565"/>
      <c r="F33" s="579" t="e">
        <f>IF(D24="Not Qualify",IF(D31="Not Qualify",IF(D31="Not Qualify","Not Qualify","Qualify"),"Qualify"),"Qualify")</f>
        <v>#VALUE!</v>
      </c>
      <c r="G33" s="565"/>
      <c r="H33" s="565"/>
      <c r="I33" s="565"/>
    </row>
    <row r="34" spans="2:9" ht="15.75" x14ac:dyDescent="0.2">
      <c r="B34" s="565"/>
      <c r="C34" s="565"/>
      <c r="D34" s="565"/>
      <c r="E34" s="565"/>
      <c r="F34" s="565"/>
      <c r="G34" s="565"/>
      <c r="H34" s="565"/>
      <c r="I34" s="565"/>
    </row>
    <row r="35" spans="2:9" ht="15.75" x14ac:dyDescent="0.2">
      <c r="B35" s="565"/>
      <c r="C35" s="565"/>
      <c r="D35" s="565"/>
      <c r="E35" s="565"/>
      <c r="F35" s="565"/>
      <c r="G35" s="565"/>
      <c r="H35" s="565"/>
      <c r="I35" s="565"/>
    </row>
    <row r="36" spans="2:9" ht="37.5" customHeight="1" x14ac:dyDescent="0.2">
      <c r="B36" s="802" t="s">
        <v>784</v>
      </c>
      <c r="C36" s="802"/>
      <c r="D36" s="802"/>
      <c r="E36" s="802"/>
      <c r="F36" s="802"/>
      <c r="G36" s="802"/>
      <c r="H36" s="802"/>
      <c r="I36" s="802"/>
    </row>
    <row r="37" spans="2:9" ht="15.75" x14ac:dyDescent="0.2">
      <c r="B37" s="565"/>
      <c r="C37" s="565"/>
      <c r="D37" s="565"/>
      <c r="E37" s="565"/>
      <c r="F37" s="565"/>
      <c r="G37" s="565"/>
      <c r="H37" s="565"/>
      <c r="I37" s="565"/>
    </row>
    <row r="38" spans="2:9" ht="15.75" x14ac:dyDescent="0.2">
      <c r="B38" s="565"/>
      <c r="C38" s="565"/>
      <c r="D38" s="565"/>
      <c r="E38" s="565"/>
      <c r="F38" s="565"/>
      <c r="G38" s="565"/>
      <c r="H38" s="565"/>
      <c r="I38" s="565"/>
    </row>
    <row r="39" spans="2:9" ht="15.75" x14ac:dyDescent="0.2">
      <c r="B39" s="565"/>
      <c r="C39" s="565"/>
      <c r="D39" s="565"/>
      <c r="E39" s="565"/>
      <c r="F39" s="565"/>
      <c r="G39" s="565"/>
      <c r="H39" s="565"/>
      <c r="I39" s="565"/>
    </row>
    <row r="40" spans="2:9" ht="15.75" x14ac:dyDescent="0.2">
      <c r="B40" s="565"/>
      <c r="C40" s="565"/>
      <c r="D40" s="565"/>
      <c r="E40" s="580" t="s">
        <v>785</v>
      </c>
      <c r="F40" s="581">
        <v>6</v>
      </c>
      <c r="G40" s="565"/>
      <c r="H40" s="565"/>
      <c r="I40" s="565"/>
    </row>
    <row r="41" spans="2:9" ht="15.75" x14ac:dyDescent="0.2">
      <c r="B41" s="565"/>
      <c r="C41" s="565"/>
      <c r="D41" s="565"/>
      <c r="E41" s="565"/>
      <c r="F41" s="565"/>
      <c r="G41" s="565"/>
      <c r="H41" s="565"/>
      <c r="I41" s="565"/>
    </row>
    <row r="42" spans="2:9" ht="15.75" x14ac:dyDescent="0.2">
      <c r="B42" s="565"/>
      <c r="C42" s="565"/>
      <c r="D42" s="565"/>
      <c r="E42" s="565"/>
      <c r="F42" s="565"/>
      <c r="G42" s="565"/>
      <c r="H42" s="565"/>
      <c r="I42" s="565"/>
    </row>
    <row r="43" spans="2:9" ht="15.75" x14ac:dyDescent="0.25">
      <c r="B43" s="798" t="s">
        <v>786</v>
      </c>
      <c r="C43" s="799"/>
      <c r="D43" s="799"/>
      <c r="E43" s="799"/>
      <c r="F43" s="799"/>
      <c r="G43" s="799"/>
      <c r="H43" s="799"/>
      <c r="I43" s="799"/>
    </row>
    <row r="44" spans="2:9" ht="15.75" x14ac:dyDescent="0.2">
      <c r="B44" s="565"/>
      <c r="C44" s="565"/>
      <c r="D44" s="565"/>
      <c r="E44" s="565"/>
      <c r="F44" s="565"/>
      <c r="G44" s="565"/>
      <c r="H44" s="565"/>
      <c r="I44" s="565"/>
    </row>
    <row r="45" spans="2:9" ht="15.75" x14ac:dyDescent="0.25">
      <c r="B45" s="582" t="s">
        <v>787</v>
      </c>
      <c r="C45" s="565"/>
      <c r="D45" s="565"/>
      <c r="E45" s="565"/>
      <c r="F45" s="565"/>
      <c r="G45" s="565"/>
      <c r="H45" s="565"/>
      <c r="I45" s="565"/>
    </row>
    <row r="46" spans="2:9" ht="15.75" x14ac:dyDescent="0.25">
      <c r="B46" s="582" t="str">
        <f>CONCATENATE("sources in your ",G14," library fund is not equal to or greater than the amount from the same")</f>
        <v>sources in your 2013 library fund is not equal to or greater than the amount from the same</v>
      </c>
      <c r="C46" s="565"/>
      <c r="D46" s="565"/>
      <c r="E46" s="565"/>
      <c r="F46" s="565"/>
      <c r="G46" s="565"/>
      <c r="H46" s="565"/>
      <c r="I46" s="565"/>
    </row>
    <row r="47" spans="2:9" ht="15.75" x14ac:dyDescent="0.25">
      <c r="B47" s="582" t="str">
        <f>CONCATENATE("sources in ",E14,".")</f>
        <v>sources in 2012.</v>
      </c>
      <c r="C47" s="563"/>
      <c r="D47" s="563"/>
      <c r="E47" s="563"/>
      <c r="F47" s="563"/>
      <c r="G47" s="563"/>
      <c r="H47" s="563"/>
      <c r="I47" s="563"/>
    </row>
    <row r="48" spans="2:9" ht="15.75" x14ac:dyDescent="0.25">
      <c r="B48" s="563"/>
      <c r="C48" s="563"/>
      <c r="D48" s="563"/>
      <c r="E48" s="563"/>
      <c r="F48" s="563"/>
      <c r="G48" s="563"/>
      <c r="H48" s="563"/>
      <c r="I48" s="563"/>
    </row>
    <row r="49" spans="2:9" ht="15.75" x14ac:dyDescent="0.25">
      <c r="B49" s="582" t="s">
        <v>788</v>
      </c>
      <c r="C49" s="582"/>
      <c r="D49" s="583"/>
      <c r="E49" s="583"/>
      <c r="F49" s="583"/>
      <c r="G49" s="583"/>
      <c r="H49" s="583"/>
      <c r="I49" s="583"/>
    </row>
    <row r="50" spans="2:9" ht="15.75" x14ac:dyDescent="0.25">
      <c r="B50" s="582" t="s">
        <v>789</v>
      </c>
      <c r="C50" s="582"/>
      <c r="D50" s="583"/>
      <c r="E50" s="583"/>
      <c r="F50" s="583"/>
      <c r="G50" s="583"/>
      <c r="H50" s="583"/>
      <c r="I50" s="583"/>
    </row>
    <row r="51" spans="2:9" ht="15.75" x14ac:dyDescent="0.25">
      <c r="B51" s="582" t="s">
        <v>790</v>
      </c>
      <c r="C51" s="582"/>
      <c r="D51" s="583"/>
      <c r="E51" s="583"/>
      <c r="F51" s="583"/>
      <c r="G51" s="583"/>
      <c r="H51" s="583"/>
      <c r="I51" s="583"/>
    </row>
    <row r="52" spans="2:9" x14ac:dyDescent="0.2">
      <c r="B52" s="583"/>
      <c r="C52" s="583"/>
      <c r="D52" s="583"/>
      <c r="E52" s="583"/>
      <c r="F52" s="583"/>
      <c r="G52" s="583"/>
      <c r="H52" s="583"/>
      <c r="I52" s="583"/>
    </row>
    <row r="53" spans="2:9" ht="15.75" x14ac:dyDescent="0.25">
      <c r="B53" s="584" t="s">
        <v>791</v>
      </c>
      <c r="C53" s="583"/>
      <c r="D53" s="583"/>
      <c r="E53" s="583"/>
      <c r="F53" s="583"/>
      <c r="G53" s="583"/>
      <c r="H53" s="583"/>
      <c r="I53" s="583"/>
    </row>
    <row r="54" spans="2:9" x14ac:dyDescent="0.2">
      <c r="B54" s="583"/>
      <c r="C54" s="583"/>
      <c r="D54" s="583"/>
      <c r="E54" s="583"/>
      <c r="F54" s="583"/>
      <c r="G54" s="583"/>
      <c r="H54" s="583"/>
      <c r="I54" s="583"/>
    </row>
    <row r="55" spans="2:9" ht="15.75" x14ac:dyDescent="0.25">
      <c r="B55" s="582" t="s">
        <v>792</v>
      </c>
      <c r="C55" s="583"/>
      <c r="D55" s="583"/>
      <c r="E55" s="583"/>
      <c r="F55" s="583"/>
      <c r="G55" s="583"/>
      <c r="H55" s="583"/>
      <c r="I55" s="583"/>
    </row>
    <row r="56" spans="2:9" ht="15.75" x14ac:dyDescent="0.25">
      <c r="B56" s="582" t="s">
        <v>793</v>
      </c>
      <c r="C56" s="583"/>
      <c r="D56" s="583"/>
      <c r="E56" s="583"/>
      <c r="F56" s="583"/>
      <c r="G56" s="583"/>
      <c r="H56" s="583"/>
      <c r="I56" s="583"/>
    </row>
    <row r="57" spans="2:9" x14ac:dyDescent="0.2">
      <c r="B57" s="583"/>
      <c r="C57" s="583"/>
      <c r="D57" s="583"/>
      <c r="E57" s="583"/>
      <c r="F57" s="583"/>
      <c r="G57" s="583"/>
      <c r="H57" s="583"/>
      <c r="I57" s="583"/>
    </row>
    <row r="58" spans="2:9" ht="15.75" x14ac:dyDescent="0.25">
      <c r="B58" s="584" t="s">
        <v>794</v>
      </c>
      <c r="C58" s="582"/>
      <c r="D58" s="582"/>
      <c r="E58" s="582"/>
      <c r="F58" s="582"/>
      <c r="G58" s="583"/>
      <c r="H58" s="583"/>
      <c r="I58" s="583"/>
    </row>
    <row r="59" spans="2:9" ht="15.75" x14ac:dyDescent="0.25">
      <c r="B59" s="582"/>
      <c r="C59" s="582"/>
      <c r="D59" s="582"/>
      <c r="E59" s="582"/>
      <c r="F59" s="582"/>
      <c r="G59" s="583"/>
      <c r="H59" s="583"/>
      <c r="I59" s="583"/>
    </row>
    <row r="60" spans="2:9" ht="15.75" x14ac:dyDescent="0.25">
      <c r="B60" s="582" t="s">
        <v>795</v>
      </c>
      <c r="C60" s="582"/>
      <c r="D60" s="582"/>
      <c r="E60" s="582"/>
      <c r="F60" s="582"/>
      <c r="G60" s="583"/>
      <c r="H60" s="583"/>
      <c r="I60" s="583"/>
    </row>
    <row r="61" spans="2:9" ht="15.75" x14ac:dyDescent="0.25">
      <c r="B61" s="582" t="s">
        <v>796</v>
      </c>
      <c r="C61" s="582"/>
      <c r="D61" s="582"/>
      <c r="E61" s="582"/>
      <c r="F61" s="582"/>
      <c r="G61" s="583"/>
      <c r="H61" s="583"/>
      <c r="I61" s="583"/>
    </row>
    <row r="62" spans="2:9" ht="15.75" x14ac:dyDescent="0.25">
      <c r="B62" s="582" t="s">
        <v>797</v>
      </c>
      <c r="C62" s="582"/>
      <c r="D62" s="582"/>
      <c r="E62" s="582"/>
      <c r="F62" s="582"/>
      <c r="G62" s="583"/>
      <c r="H62" s="583"/>
      <c r="I62" s="583"/>
    </row>
    <row r="63" spans="2:9" ht="15.75" x14ac:dyDescent="0.25">
      <c r="B63" s="582" t="s">
        <v>798</v>
      </c>
      <c r="C63" s="582"/>
      <c r="D63" s="582"/>
      <c r="E63" s="582"/>
      <c r="F63" s="582"/>
      <c r="G63" s="583"/>
      <c r="H63" s="583"/>
      <c r="I63" s="583"/>
    </row>
    <row r="64" spans="2:9" x14ac:dyDescent="0.2">
      <c r="B64" s="585"/>
      <c r="C64" s="585"/>
      <c r="D64" s="585"/>
      <c r="E64" s="585"/>
      <c r="F64" s="585"/>
      <c r="G64" s="583"/>
      <c r="H64" s="583"/>
      <c r="I64" s="583"/>
    </row>
    <row r="65" spans="2:9" ht="15.75" x14ac:dyDescent="0.25">
      <c r="B65" s="582" t="s">
        <v>799</v>
      </c>
      <c r="C65" s="585"/>
      <c r="D65" s="585"/>
      <c r="E65" s="585"/>
      <c r="F65" s="585"/>
      <c r="G65" s="583"/>
      <c r="H65" s="583"/>
      <c r="I65" s="583"/>
    </row>
    <row r="66" spans="2:9" ht="15.75" x14ac:dyDescent="0.25">
      <c r="B66" s="582" t="s">
        <v>800</v>
      </c>
      <c r="C66" s="585"/>
      <c r="D66" s="585"/>
      <c r="E66" s="585"/>
      <c r="F66" s="585"/>
      <c r="G66" s="583"/>
      <c r="H66" s="583"/>
      <c r="I66" s="583"/>
    </row>
    <row r="67" spans="2:9" x14ac:dyDescent="0.2">
      <c r="B67" s="585"/>
      <c r="C67" s="585"/>
      <c r="D67" s="585"/>
      <c r="E67" s="585"/>
      <c r="F67" s="585"/>
      <c r="G67" s="583"/>
      <c r="H67" s="583"/>
      <c r="I67" s="583"/>
    </row>
    <row r="68" spans="2:9" ht="15.75" x14ac:dyDescent="0.25">
      <c r="B68" s="582" t="s">
        <v>801</v>
      </c>
      <c r="C68" s="585"/>
      <c r="D68" s="585"/>
      <c r="E68" s="585"/>
      <c r="F68" s="585"/>
      <c r="G68" s="583"/>
      <c r="H68" s="583"/>
      <c r="I68" s="583"/>
    </row>
    <row r="69" spans="2:9" ht="15.75" x14ac:dyDescent="0.25">
      <c r="B69" s="582" t="s">
        <v>802</v>
      </c>
      <c r="C69" s="585"/>
      <c r="D69" s="585"/>
      <c r="E69" s="585"/>
      <c r="F69" s="585"/>
      <c r="G69" s="583"/>
      <c r="H69" s="583"/>
      <c r="I69" s="583"/>
    </row>
    <row r="70" spans="2:9" x14ac:dyDescent="0.2">
      <c r="B70" s="585"/>
      <c r="C70" s="585"/>
      <c r="D70" s="585"/>
      <c r="E70" s="585"/>
      <c r="F70" s="585"/>
      <c r="G70" s="583"/>
      <c r="H70" s="583"/>
      <c r="I70" s="583"/>
    </row>
    <row r="71" spans="2:9" ht="15.75" x14ac:dyDescent="0.25">
      <c r="B71" s="584" t="s">
        <v>803</v>
      </c>
      <c r="C71" s="585"/>
      <c r="D71" s="585"/>
      <c r="E71" s="585"/>
      <c r="F71" s="585"/>
      <c r="G71" s="583"/>
      <c r="H71" s="583"/>
      <c r="I71" s="583"/>
    </row>
    <row r="72" spans="2:9" x14ac:dyDescent="0.2">
      <c r="B72" s="585"/>
      <c r="C72" s="585"/>
      <c r="D72" s="585"/>
      <c r="E72" s="585"/>
      <c r="F72" s="585"/>
      <c r="G72" s="583"/>
      <c r="H72" s="583"/>
      <c r="I72" s="583"/>
    </row>
    <row r="73" spans="2:9" ht="15.75" x14ac:dyDescent="0.25">
      <c r="B73" s="582" t="s">
        <v>804</v>
      </c>
      <c r="C73" s="585"/>
      <c r="D73" s="585"/>
      <c r="E73" s="585"/>
      <c r="F73" s="585"/>
      <c r="G73" s="583"/>
      <c r="H73" s="583"/>
      <c r="I73" s="583"/>
    </row>
    <row r="74" spans="2:9" ht="15.75" x14ac:dyDescent="0.25">
      <c r="B74" s="582" t="s">
        <v>805</v>
      </c>
      <c r="C74" s="585"/>
      <c r="D74" s="585"/>
      <c r="E74" s="585"/>
      <c r="F74" s="585"/>
      <c r="G74" s="583"/>
      <c r="H74" s="583"/>
      <c r="I74" s="583"/>
    </row>
    <row r="75" spans="2:9" x14ac:dyDescent="0.2">
      <c r="B75" s="585"/>
      <c r="C75" s="585"/>
      <c r="D75" s="585"/>
      <c r="E75" s="585"/>
      <c r="F75" s="585"/>
      <c r="G75" s="583"/>
      <c r="H75" s="583"/>
      <c r="I75" s="583"/>
    </row>
    <row r="76" spans="2:9" ht="15.75" x14ac:dyDescent="0.25">
      <c r="B76" s="584" t="s">
        <v>806</v>
      </c>
      <c r="C76" s="585"/>
      <c r="D76" s="585"/>
      <c r="E76" s="585"/>
      <c r="F76" s="585"/>
      <c r="G76" s="583"/>
      <c r="H76" s="583"/>
      <c r="I76" s="583"/>
    </row>
    <row r="77" spans="2:9" x14ac:dyDescent="0.2">
      <c r="B77" s="585"/>
      <c r="C77" s="585"/>
      <c r="D77" s="585"/>
      <c r="E77" s="585"/>
      <c r="F77" s="585"/>
      <c r="G77" s="583"/>
      <c r="H77" s="583"/>
      <c r="I77" s="583"/>
    </row>
    <row r="78" spans="2:9" ht="15.75" x14ac:dyDescent="0.25">
      <c r="B78" s="582" t="str">
        <f>CONCATENATE("If the ",G14," municipal budget has not been published and has not been submitted to the County")</f>
        <v>If the 2013 municipal budget has not been published and has not been submitted to the County</v>
      </c>
      <c r="C78" s="585"/>
      <c r="D78" s="585"/>
      <c r="E78" s="585"/>
      <c r="F78" s="585"/>
      <c r="G78" s="583"/>
      <c r="H78" s="583"/>
      <c r="I78" s="583"/>
    </row>
    <row r="79" spans="2:9" ht="15.75" x14ac:dyDescent="0.25">
      <c r="B79" s="582" t="s">
        <v>807</v>
      </c>
      <c r="C79" s="585"/>
      <c r="D79" s="585"/>
      <c r="E79" s="585"/>
      <c r="F79" s="585"/>
      <c r="G79" s="583"/>
      <c r="H79" s="583"/>
      <c r="I79" s="583"/>
    </row>
    <row r="80" spans="2:9" x14ac:dyDescent="0.2">
      <c r="B80" s="585"/>
      <c r="C80" s="585"/>
      <c r="D80" s="585"/>
      <c r="E80" s="585"/>
      <c r="F80" s="585"/>
      <c r="G80" s="583"/>
      <c r="H80" s="583"/>
      <c r="I80" s="583"/>
    </row>
    <row r="81" spans="2:9" ht="15.75" x14ac:dyDescent="0.25">
      <c r="B81" s="584" t="s">
        <v>392</v>
      </c>
      <c r="C81" s="585"/>
      <c r="D81" s="585"/>
      <c r="E81" s="585"/>
      <c r="F81" s="585"/>
      <c r="G81" s="583"/>
      <c r="H81" s="583"/>
      <c r="I81" s="583"/>
    </row>
    <row r="82" spans="2:9" x14ac:dyDescent="0.2">
      <c r="B82" s="585"/>
      <c r="C82" s="585"/>
      <c r="D82" s="585"/>
      <c r="E82" s="585"/>
      <c r="F82" s="585"/>
      <c r="G82" s="583"/>
      <c r="H82" s="583"/>
      <c r="I82" s="583"/>
    </row>
    <row r="83" spans="2:9" ht="15.75" x14ac:dyDescent="0.25">
      <c r="B83" s="582" t="s">
        <v>808</v>
      </c>
      <c r="C83" s="585"/>
      <c r="D83" s="585"/>
      <c r="E83" s="585"/>
      <c r="F83" s="585"/>
      <c r="G83" s="583"/>
      <c r="H83" s="583"/>
      <c r="I83" s="583"/>
    </row>
    <row r="84" spans="2:9" ht="15.75" x14ac:dyDescent="0.25">
      <c r="B84" s="582" t="str">
        <f>CONCATENATE("Budget Year ",G14," is equal to or greater than that for Current Year Estimate ",E14,".")</f>
        <v>Budget Year 2013 is equal to or greater than that for Current Year Estimate 2012.</v>
      </c>
      <c r="C84" s="585"/>
      <c r="D84" s="585"/>
      <c r="E84" s="585"/>
      <c r="F84" s="585"/>
      <c r="G84" s="583"/>
      <c r="H84" s="583"/>
      <c r="I84" s="583"/>
    </row>
    <row r="85" spans="2:9" x14ac:dyDescent="0.2">
      <c r="B85" s="585"/>
      <c r="C85" s="585"/>
      <c r="D85" s="585"/>
      <c r="E85" s="585"/>
      <c r="F85" s="585"/>
      <c r="G85" s="583"/>
      <c r="H85" s="583"/>
      <c r="I85" s="583"/>
    </row>
    <row r="86" spans="2:9" ht="15.75" x14ac:dyDescent="0.25">
      <c r="B86" s="582" t="s">
        <v>809</v>
      </c>
      <c r="C86" s="585"/>
      <c r="D86" s="585"/>
      <c r="E86" s="585"/>
      <c r="F86" s="585"/>
      <c r="G86" s="583"/>
      <c r="H86" s="583"/>
      <c r="I86" s="583"/>
    </row>
    <row r="87" spans="2:9" ht="15.75" x14ac:dyDescent="0.25">
      <c r="B87" s="582" t="s">
        <v>810</v>
      </c>
      <c r="C87" s="585"/>
      <c r="D87" s="585"/>
      <c r="E87" s="585"/>
      <c r="F87" s="585"/>
      <c r="G87" s="583"/>
      <c r="H87" s="583"/>
      <c r="I87" s="583"/>
    </row>
    <row r="88" spans="2:9" ht="15.75" x14ac:dyDescent="0.25">
      <c r="B88" s="582" t="s">
        <v>811</v>
      </c>
      <c r="C88" s="585"/>
      <c r="D88" s="585"/>
      <c r="E88" s="585"/>
      <c r="F88" s="585"/>
      <c r="G88" s="583"/>
      <c r="H88" s="583"/>
      <c r="I88" s="583"/>
    </row>
    <row r="89" spans="2:9" ht="15.75" x14ac:dyDescent="0.25">
      <c r="B89" s="582" t="str">
        <f>CONCATENATE("purpose for the previous (",E14,") year.")</f>
        <v>purpose for the previous (2012) year.</v>
      </c>
      <c r="C89" s="585"/>
      <c r="D89" s="585"/>
      <c r="E89" s="585"/>
      <c r="F89" s="585"/>
      <c r="G89" s="583"/>
      <c r="H89" s="583"/>
      <c r="I89" s="583"/>
    </row>
    <row r="90" spans="2:9" x14ac:dyDescent="0.2">
      <c r="B90" s="585"/>
      <c r="C90" s="585"/>
      <c r="D90" s="585"/>
      <c r="E90" s="585"/>
      <c r="F90" s="585"/>
      <c r="G90" s="583"/>
      <c r="H90" s="583"/>
      <c r="I90" s="583"/>
    </row>
    <row r="91" spans="2:9" ht="15.75" x14ac:dyDescent="0.25">
      <c r="B91" s="582" t="str">
        <f>CONCATENATE("Next, look to see if delinquent tax for ",G14," is budgeted. Often this line is budgeted at $0 or left")</f>
        <v>Next, look to see if delinquent tax for 2013 is budgeted. Often this line is budgeted at $0 or left</v>
      </c>
      <c r="C91" s="585"/>
      <c r="D91" s="585"/>
      <c r="E91" s="585"/>
      <c r="F91" s="585"/>
      <c r="G91" s="583"/>
      <c r="H91" s="583"/>
      <c r="I91" s="583"/>
    </row>
    <row r="92" spans="2:9" ht="15.75" x14ac:dyDescent="0.25">
      <c r="B92" s="582" t="s">
        <v>812</v>
      </c>
      <c r="C92" s="585"/>
      <c r="D92" s="585"/>
      <c r="E92" s="585"/>
      <c r="F92" s="585"/>
      <c r="G92" s="583"/>
      <c r="H92" s="583"/>
      <c r="I92" s="583"/>
    </row>
    <row r="93" spans="2:9" ht="15.75" x14ac:dyDescent="0.25">
      <c r="B93" s="582" t="s">
        <v>813</v>
      </c>
      <c r="C93" s="585"/>
      <c r="D93" s="585"/>
      <c r="E93" s="585"/>
      <c r="F93" s="585"/>
      <c r="G93" s="583"/>
      <c r="H93" s="583"/>
      <c r="I93" s="583"/>
    </row>
    <row r="94" spans="2:9" ht="15.75" x14ac:dyDescent="0.25">
      <c r="B94" s="582" t="s">
        <v>814</v>
      </c>
      <c r="C94" s="585"/>
      <c r="D94" s="585"/>
      <c r="E94" s="585"/>
      <c r="F94" s="585"/>
      <c r="G94" s="583"/>
      <c r="H94" s="583"/>
      <c r="I94" s="583"/>
    </row>
    <row r="95" spans="2:9" x14ac:dyDescent="0.2">
      <c r="B95" s="585"/>
      <c r="C95" s="585"/>
      <c r="D95" s="585"/>
      <c r="E95" s="585"/>
      <c r="F95" s="585"/>
      <c r="G95" s="583"/>
      <c r="H95" s="583"/>
      <c r="I95" s="583"/>
    </row>
    <row r="96" spans="2:9" ht="15.75" x14ac:dyDescent="0.25">
      <c r="B96" s="584" t="s">
        <v>815</v>
      </c>
      <c r="C96" s="585"/>
      <c r="D96" s="585"/>
      <c r="E96" s="585"/>
      <c r="F96" s="585"/>
      <c r="G96" s="583"/>
      <c r="H96" s="583"/>
      <c r="I96" s="583"/>
    </row>
    <row r="97" spans="2:9" x14ac:dyDescent="0.2">
      <c r="B97" s="585"/>
      <c r="C97" s="585"/>
      <c r="D97" s="585"/>
      <c r="E97" s="585"/>
      <c r="F97" s="585"/>
      <c r="G97" s="583"/>
      <c r="H97" s="583"/>
      <c r="I97" s="583"/>
    </row>
    <row r="98" spans="2:9" ht="15.75" x14ac:dyDescent="0.25">
      <c r="B98" s="582" t="s">
        <v>816</v>
      </c>
      <c r="C98" s="585"/>
      <c r="D98" s="585"/>
      <c r="E98" s="585"/>
      <c r="F98" s="585"/>
      <c r="G98" s="583"/>
      <c r="H98" s="583"/>
      <c r="I98" s="583"/>
    </row>
    <row r="99" spans="2:9" ht="15.75" x14ac:dyDescent="0.25">
      <c r="B99" s="582" t="s">
        <v>817</v>
      </c>
      <c r="C99" s="585"/>
      <c r="D99" s="585"/>
      <c r="E99" s="585"/>
      <c r="F99" s="585"/>
      <c r="G99" s="583"/>
      <c r="H99" s="583"/>
      <c r="I99" s="583"/>
    </row>
    <row r="100" spans="2:9" x14ac:dyDescent="0.2">
      <c r="B100" s="585"/>
      <c r="C100" s="585"/>
      <c r="D100" s="585"/>
      <c r="E100" s="585"/>
      <c r="F100" s="585"/>
      <c r="G100" s="583"/>
      <c r="H100" s="583"/>
      <c r="I100" s="583"/>
    </row>
    <row r="101" spans="2:9" ht="15.75" x14ac:dyDescent="0.25">
      <c r="B101" s="582" t="s">
        <v>818</v>
      </c>
      <c r="C101" s="585"/>
      <c r="D101" s="585"/>
      <c r="E101" s="585"/>
      <c r="F101" s="585"/>
      <c r="G101" s="583"/>
      <c r="H101" s="583"/>
      <c r="I101" s="583"/>
    </row>
    <row r="102" spans="2:9" ht="15.75" x14ac:dyDescent="0.25">
      <c r="B102" s="582" t="s">
        <v>819</v>
      </c>
      <c r="C102" s="585"/>
      <c r="D102" s="585"/>
      <c r="E102" s="585"/>
      <c r="F102" s="585"/>
      <c r="G102" s="583"/>
      <c r="H102" s="583"/>
      <c r="I102" s="583"/>
    </row>
    <row r="103" spans="2:9" ht="15.75" x14ac:dyDescent="0.25">
      <c r="B103" s="582" t="s">
        <v>820</v>
      </c>
      <c r="C103" s="585"/>
      <c r="D103" s="585"/>
      <c r="E103" s="585"/>
      <c r="F103" s="585"/>
      <c r="G103" s="583"/>
      <c r="H103" s="583"/>
      <c r="I103" s="583"/>
    </row>
    <row r="104" spans="2:9" ht="15.75" x14ac:dyDescent="0.25">
      <c r="B104" s="582" t="s">
        <v>821</v>
      </c>
      <c r="C104" s="585"/>
      <c r="D104" s="585"/>
      <c r="E104" s="585"/>
      <c r="F104" s="585"/>
      <c r="G104" s="583"/>
      <c r="H104" s="583"/>
      <c r="I104" s="583"/>
    </row>
    <row r="105" spans="2:9" ht="15.75" x14ac:dyDescent="0.25">
      <c r="B105" s="749" t="s">
        <v>929</v>
      </c>
      <c r="C105" s="750"/>
      <c r="D105" s="750"/>
      <c r="E105" s="750"/>
      <c r="F105" s="750"/>
      <c r="G105" s="583"/>
      <c r="H105" s="583"/>
      <c r="I105" s="583"/>
    </row>
    <row r="108" spans="2:9" x14ac:dyDescent="0.2">
      <c r="G108" s="586"/>
    </row>
  </sheetData>
  <sheetProtection sheet="1"/>
  <mergeCells count="6">
    <mergeCell ref="B43:I43"/>
    <mergeCell ref="B2:I2"/>
    <mergeCell ref="B3:I3"/>
    <mergeCell ref="B5:I5"/>
    <mergeCell ref="B10:I10"/>
    <mergeCell ref="B36:I36"/>
  </mergeCells>
  <hyperlinks>
    <hyperlink ref="B105" r:id="rId1" display="mailto:peter.haxton@library.ks.gov"/>
  </hyperlinks>
  <pageMargins left="0.7" right="0.7" top="0.75" bottom="0.75" header="0.25" footer="0.25"/>
  <pageSetup scale="80" orientation="portrait" blackAndWhite="1" r:id="rId2"/>
  <headerFooter>
    <oddHeader>&amp;RState of Kansas
City</oddHeader>
  </headerFooter>
  <rowBreaks count="1" manualBreakCount="1">
    <brk id="4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73"/>
  <sheetViews>
    <sheetView topLeftCell="A31" workbookViewId="0">
      <selection activeCell="E37" sqref="E37"/>
    </sheetView>
  </sheetViews>
  <sheetFormatPr defaultRowHeight="15.75" x14ac:dyDescent="0.25"/>
  <cols>
    <col min="1" max="1" width="2.3984375" style="16" customWidth="1"/>
    <col min="2" max="2" width="31" style="16" customWidth="1"/>
    <col min="3" max="4" width="15.69921875" style="16" customWidth="1"/>
    <col min="5" max="5" width="13.69921875" style="16" customWidth="1"/>
    <col min="6" max="6" width="7.3984375" style="16" customWidth="1"/>
    <col min="7" max="7" width="10.8984375" style="16" customWidth="1"/>
    <col min="8" max="8" width="8.796875" style="16"/>
    <col min="9" max="9" width="0.796875" style="16" customWidth="1"/>
    <col min="10" max="10" width="10.3984375" style="16" customWidth="1"/>
    <col min="11" max="16384" width="8.796875" style="16"/>
  </cols>
  <sheetData>
    <row r="1" spans="2:5" x14ac:dyDescent="0.25">
      <c r="B1" s="13" t="str">
        <f>inputPrYr!D2</f>
        <v>Liberty Township</v>
      </c>
      <c r="C1" s="14"/>
      <c r="D1" s="14"/>
      <c r="E1" s="15">
        <f>inputPrYr!D5</f>
        <v>2013</v>
      </c>
    </row>
    <row r="2" spans="2:5" x14ac:dyDescent="0.25">
      <c r="B2" s="17"/>
      <c r="C2" s="14"/>
      <c r="D2" s="14"/>
      <c r="E2" s="18"/>
    </row>
    <row r="3" spans="2:5" x14ac:dyDescent="0.25">
      <c r="B3" s="541" t="s">
        <v>721</v>
      </c>
      <c r="C3" s="20"/>
      <c r="D3" s="20"/>
      <c r="E3" s="21"/>
    </row>
    <row r="4" spans="2:5" x14ac:dyDescent="0.25">
      <c r="B4" s="22" t="s">
        <v>10</v>
      </c>
      <c r="C4" s="388" t="s">
        <v>11</v>
      </c>
      <c r="D4" s="391" t="s">
        <v>12</v>
      </c>
      <c r="E4" s="23" t="s">
        <v>13</v>
      </c>
    </row>
    <row r="5" spans="2:5" x14ac:dyDescent="0.25">
      <c r="B5" s="400" t="str">
        <f>inputPrYr!B16</f>
        <v>General</v>
      </c>
      <c r="C5" s="389" t="str">
        <f>CONCATENATE("Actual for ",$E$1-2,"")</f>
        <v>Actual for 2011</v>
      </c>
      <c r="D5" s="389" t="str">
        <f>CONCATENATE("Estimate for ",$E$1-1,"")</f>
        <v>Estimate for 2012</v>
      </c>
      <c r="E5" s="26" t="str">
        <f>CONCATENATE("Year for ",$E$1,"")</f>
        <v>Year for 2013</v>
      </c>
    </row>
    <row r="6" spans="2:5" x14ac:dyDescent="0.25">
      <c r="B6" s="27" t="s">
        <v>118</v>
      </c>
      <c r="C6" s="29">
        <v>65</v>
      </c>
      <c r="D6" s="390">
        <f>C51</f>
        <v>70</v>
      </c>
      <c r="E6" s="32">
        <f>D51</f>
        <v>25</v>
      </c>
    </row>
    <row r="7" spans="2:5" x14ac:dyDescent="0.25">
      <c r="B7" s="27" t="s">
        <v>120</v>
      </c>
      <c r="C7" s="390"/>
      <c r="D7" s="390"/>
      <c r="E7" s="33"/>
    </row>
    <row r="8" spans="2:5" x14ac:dyDescent="0.25">
      <c r="B8" s="27" t="s">
        <v>16</v>
      </c>
      <c r="C8" s="29">
        <v>1283</v>
      </c>
      <c r="D8" s="390">
        <f>IF(inputPrYr!H15&gt;0,inputPrYr!G16,inputPrYr!E16)</f>
        <v>988</v>
      </c>
      <c r="E8" s="33" t="s">
        <v>290</v>
      </c>
    </row>
    <row r="9" spans="2:5" x14ac:dyDescent="0.25">
      <c r="B9" s="27" t="s">
        <v>17</v>
      </c>
      <c r="C9" s="29">
        <v>6</v>
      </c>
      <c r="D9" s="29">
        <v>0</v>
      </c>
      <c r="E9" s="34"/>
    </row>
    <row r="10" spans="2:5" x14ac:dyDescent="0.25">
      <c r="B10" s="27" t="s">
        <v>18</v>
      </c>
      <c r="C10" s="29">
        <v>15</v>
      </c>
      <c r="D10" s="29">
        <v>53</v>
      </c>
      <c r="E10" s="32">
        <f>mvalloc!G11</f>
        <v>37</v>
      </c>
    </row>
    <row r="11" spans="2:5" x14ac:dyDescent="0.25">
      <c r="B11" s="27" t="s">
        <v>19</v>
      </c>
      <c r="C11" s="29">
        <v>0</v>
      </c>
      <c r="D11" s="29">
        <v>1</v>
      </c>
      <c r="E11" s="32">
        <f>mvalloc!I11</f>
        <v>1</v>
      </c>
    </row>
    <row r="12" spans="2:5" x14ac:dyDescent="0.25">
      <c r="B12" s="35" t="s">
        <v>69</v>
      </c>
      <c r="C12" s="29">
        <v>3</v>
      </c>
      <c r="D12" s="29">
        <v>13</v>
      </c>
      <c r="E12" s="32">
        <f>mvalloc!J11</f>
        <v>8</v>
      </c>
    </row>
    <row r="13" spans="2:5" x14ac:dyDescent="0.25">
      <c r="B13" s="35" t="s">
        <v>161</v>
      </c>
      <c r="C13" s="29"/>
      <c r="D13" s="29"/>
      <c r="E13" s="32">
        <f>inputOth!E35</f>
        <v>0</v>
      </c>
    </row>
    <row r="14" spans="2:5" x14ac:dyDescent="0.25">
      <c r="B14" s="27" t="s">
        <v>20</v>
      </c>
      <c r="C14" s="29">
        <v>364</v>
      </c>
      <c r="D14" s="29"/>
      <c r="E14" s="32">
        <f>inputOth!E12</f>
        <v>0</v>
      </c>
    </row>
    <row r="15" spans="2:5" x14ac:dyDescent="0.25">
      <c r="B15" s="37"/>
      <c r="C15" s="29"/>
      <c r="D15" s="29"/>
      <c r="E15" s="36"/>
    </row>
    <row r="16" spans="2:5" x14ac:dyDescent="0.25">
      <c r="B16" s="37"/>
      <c r="C16" s="29"/>
      <c r="D16" s="29"/>
      <c r="E16" s="34"/>
    </row>
    <row r="17" spans="2:5" x14ac:dyDescent="0.25">
      <c r="B17" s="37"/>
      <c r="C17" s="29"/>
      <c r="D17" s="29"/>
      <c r="E17" s="34"/>
    </row>
    <row r="18" spans="2:5" x14ac:dyDescent="0.25">
      <c r="B18" s="37"/>
      <c r="C18" s="29"/>
      <c r="D18" s="29"/>
      <c r="E18" s="34"/>
    </row>
    <row r="19" spans="2:5" x14ac:dyDescent="0.25">
      <c r="B19" s="38"/>
      <c r="C19" s="29"/>
      <c r="D19" s="29"/>
      <c r="E19" s="34"/>
    </row>
    <row r="20" spans="2:5" x14ac:dyDescent="0.25">
      <c r="B20" s="38"/>
      <c r="C20" s="29"/>
      <c r="D20" s="29"/>
      <c r="E20" s="34"/>
    </row>
    <row r="21" spans="2:5" x14ac:dyDescent="0.25">
      <c r="B21" s="38"/>
      <c r="C21" s="29"/>
      <c r="D21" s="29"/>
      <c r="E21" s="34"/>
    </row>
    <row r="22" spans="2:5" x14ac:dyDescent="0.25">
      <c r="B22" s="37"/>
      <c r="C22" s="29"/>
      <c r="D22" s="29"/>
      <c r="E22" s="34"/>
    </row>
    <row r="23" spans="2:5" x14ac:dyDescent="0.25">
      <c r="B23" s="38" t="s">
        <v>22</v>
      </c>
      <c r="C23" s="29"/>
      <c r="D23" s="29"/>
      <c r="E23" s="34"/>
    </row>
    <row r="24" spans="2:5" x14ac:dyDescent="0.25">
      <c r="B24" s="39" t="s">
        <v>213</v>
      </c>
      <c r="C24" s="29"/>
      <c r="D24" s="29"/>
      <c r="E24" s="34"/>
    </row>
    <row r="25" spans="2:5" x14ac:dyDescent="0.25">
      <c r="B25" s="39" t="s">
        <v>214</v>
      </c>
      <c r="C25" s="387" t="str">
        <f>IF(C26*0.1&lt;C24,"Exceed 10% Rule","")</f>
        <v/>
      </c>
      <c r="D25" s="387" t="str">
        <f>IF(D26*0.1&lt;D24,"Exceed 10% Rule","")</f>
        <v/>
      </c>
      <c r="E25" s="45" t="str">
        <f>IF(E26*0.1+E57&lt;E24,"Exceed 10% Rule","")</f>
        <v/>
      </c>
    </row>
    <row r="26" spans="2:5" x14ac:dyDescent="0.25">
      <c r="B26" s="41" t="s">
        <v>23</v>
      </c>
      <c r="C26" s="392">
        <f>SUM(C8:C24)</f>
        <v>1671</v>
      </c>
      <c r="D26" s="392">
        <f>SUM(D8:D24)</f>
        <v>1055</v>
      </c>
      <c r="E26" s="42">
        <f>SUM(E8:E24)</f>
        <v>46</v>
      </c>
    </row>
    <row r="27" spans="2:5" x14ac:dyDescent="0.25">
      <c r="B27" s="43" t="s">
        <v>24</v>
      </c>
      <c r="C27" s="392">
        <f>C26+C6</f>
        <v>1736</v>
      </c>
      <c r="D27" s="392">
        <f>D26+D6</f>
        <v>1125</v>
      </c>
      <c r="E27" s="42">
        <f>E26+E6</f>
        <v>71</v>
      </c>
    </row>
    <row r="28" spans="2:5" x14ac:dyDescent="0.25">
      <c r="B28" s="27" t="s">
        <v>25</v>
      </c>
      <c r="C28" s="390"/>
      <c r="D28" s="390"/>
      <c r="E28" s="32"/>
    </row>
    <row r="29" spans="2:5" x14ac:dyDescent="0.25">
      <c r="B29" s="37"/>
      <c r="C29" s="29"/>
      <c r="D29" s="29"/>
      <c r="E29" s="34"/>
    </row>
    <row r="30" spans="2:5" x14ac:dyDescent="0.25">
      <c r="B30" s="38" t="s">
        <v>101</v>
      </c>
      <c r="C30" s="29">
        <v>150</v>
      </c>
      <c r="D30" s="29"/>
      <c r="E30" s="34"/>
    </row>
    <row r="31" spans="2:5" x14ac:dyDescent="0.25">
      <c r="B31" s="38" t="s">
        <v>125</v>
      </c>
      <c r="C31" s="29"/>
      <c r="D31" s="29"/>
      <c r="E31" s="34"/>
    </row>
    <row r="32" spans="2:5" x14ac:dyDescent="0.25">
      <c r="B32" s="38" t="s">
        <v>102</v>
      </c>
      <c r="C32" s="29">
        <v>160</v>
      </c>
      <c r="D32" s="29"/>
      <c r="E32" s="34"/>
    </row>
    <row r="33" spans="2:10" x14ac:dyDescent="0.25">
      <c r="B33" s="38" t="s">
        <v>36</v>
      </c>
      <c r="C33" s="29"/>
      <c r="D33" s="29"/>
      <c r="E33" s="34"/>
    </row>
    <row r="34" spans="2:10" x14ac:dyDescent="0.25">
      <c r="B34" s="37" t="s">
        <v>103</v>
      </c>
      <c r="C34" s="29">
        <v>101</v>
      </c>
      <c r="D34" s="29"/>
      <c r="E34" s="34"/>
    </row>
    <row r="35" spans="2:10" x14ac:dyDescent="0.25">
      <c r="B35" s="37" t="s">
        <v>126</v>
      </c>
      <c r="C35" s="29"/>
      <c r="D35" s="29"/>
      <c r="E35" s="34"/>
    </row>
    <row r="36" spans="2:10" x14ac:dyDescent="0.25">
      <c r="B36" s="38" t="s">
        <v>128</v>
      </c>
      <c r="C36" s="29">
        <v>1117</v>
      </c>
      <c r="D36" s="29">
        <v>1100</v>
      </c>
      <c r="E36" s="34">
        <v>1150</v>
      </c>
    </row>
    <row r="37" spans="2:10" x14ac:dyDescent="0.25">
      <c r="B37" s="38" t="s">
        <v>937</v>
      </c>
      <c r="C37" s="29">
        <v>138</v>
      </c>
      <c r="D37" s="29"/>
      <c r="E37" s="34"/>
    </row>
    <row r="38" spans="2:10" x14ac:dyDescent="0.25">
      <c r="B38" s="37"/>
      <c r="C38" s="29"/>
      <c r="D38" s="29"/>
      <c r="E38" s="34"/>
    </row>
    <row r="39" spans="2:10" x14ac:dyDescent="0.25">
      <c r="B39" s="38"/>
      <c r="C39" s="29"/>
      <c r="D39" s="29"/>
      <c r="E39" s="34"/>
    </row>
    <row r="40" spans="2:10" x14ac:dyDescent="0.25">
      <c r="B40" s="38"/>
      <c r="C40" s="29"/>
      <c r="D40" s="29"/>
      <c r="E40" s="34"/>
    </row>
    <row r="41" spans="2:10" x14ac:dyDescent="0.25">
      <c r="B41" s="37"/>
      <c r="C41" s="29"/>
      <c r="D41" s="29"/>
      <c r="E41" s="34"/>
      <c r="G41" s="812" t="str">
        <f>CONCATENATE("Desired Carryover Into ",E1+1,"")</f>
        <v>Desired Carryover Into 2014</v>
      </c>
      <c r="H41" s="813"/>
      <c r="I41" s="813"/>
      <c r="J41" s="814"/>
    </row>
    <row r="42" spans="2:10" x14ac:dyDescent="0.25">
      <c r="B42" s="38"/>
      <c r="C42" s="29"/>
      <c r="D42" s="29"/>
      <c r="E42" s="34"/>
      <c r="G42" s="501"/>
      <c r="H42" s="488"/>
      <c r="I42" s="493"/>
      <c r="J42" s="502"/>
    </row>
    <row r="43" spans="2:10" x14ac:dyDescent="0.25">
      <c r="B43" s="35" t="s">
        <v>268</v>
      </c>
      <c r="C43" s="29"/>
      <c r="D43" s="29"/>
      <c r="E43" s="34"/>
      <c r="G43" s="503" t="s">
        <v>715</v>
      </c>
      <c r="H43" s="493"/>
      <c r="I43" s="493"/>
      <c r="J43" s="504">
        <v>0</v>
      </c>
    </row>
    <row r="44" spans="2:10" x14ac:dyDescent="0.25">
      <c r="B44" s="35" t="s">
        <v>265</v>
      </c>
      <c r="C44" s="386" t="str">
        <f>IF(AND($C$43&gt;0,$C$8&gt;0),"Not Authorized","")</f>
        <v/>
      </c>
      <c r="D44" s="386" t="str">
        <f>IF(AND($D$43&gt;0,$D$8&gt;0),"Not Authorized","")</f>
        <v/>
      </c>
      <c r="E44" s="44" t="str">
        <f>IF(AND(cert!F21&gt;0,$E$43&gt;0),"Not Authorized","")</f>
        <v/>
      </c>
      <c r="G44" s="501" t="s">
        <v>716</v>
      </c>
      <c r="H44" s="488"/>
      <c r="I44" s="488"/>
      <c r="J44" s="705" t="str">
        <f>IF(J43=0,"",ROUND((J43+E57-G56)/inputOth!E7*1000,3)-G61)</f>
        <v/>
      </c>
    </row>
    <row r="45" spans="2:10" x14ac:dyDescent="0.25">
      <c r="B45" s="27" t="s">
        <v>269</v>
      </c>
      <c r="C45" s="29"/>
      <c r="D45" s="29"/>
      <c r="E45" s="34"/>
      <c r="G45" s="706" t="str">
        <f>CONCATENATE("",E1," Tot Exp/Non-Appr Must Be:")</f>
        <v>2013 Tot Exp/Non-Appr Must Be:</v>
      </c>
      <c r="H45" s="587"/>
      <c r="I45" s="699"/>
      <c r="J45" s="707">
        <f>IF(J43&gt;0,IF(E54&lt;E23,IF(J43=G56,E54,((J43-G56)*(1-D56))+E23),E54+(J43-G56)),0)</f>
        <v>0</v>
      </c>
    </row>
    <row r="46" spans="2:10" x14ac:dyDescent="0.25">
      <c r="B46" s="27" t="s">
        <v>753</v>
      </c>
      <c r="C46" s="387" t="str">
        <f>IF(C27*0.25&lt;C45,"Exceeds 25%","")</f>
        <v/>
      </c>
      <c r="D46" s="387" t="str">
        <f>IF(D27*0.25&lt;D45,"Exceeds 25%","")</f>
        <v/>
      </c>
      <c r="E46" s="45" t="str">
        <f>IF(E27*0.25+E57&lt;E45,"Exceeds 25%","")</f>
        <v/>
      </c>
      <c r="G46" s="708" t="s">
        <v>825</v>
      </c>
      <c r="H46" s="709"/>
      <c r="I46" s="709"/>
      <c r="J46" s="710">
        <f>IF(J43&gt;0,J45-E54,0)</f>
        <v>0</v>
      </c>
    </row>
    <row r="47" spans="2:10" x14ac:dyDescent="0.25">
      <c r="B47" s="35" t="s">
        <v>215</v>
      </c>
      <c r="C47" s="29"/>
      <c r="D47" s="29"/>
      <c r="E47" s="46" t="str">
        <f>nhood!E6</f>
        <v/>
      </c>
    </row>
    <row r="48" spans="2:10" x14ac:dyDescent="0.25">
      <c r="B48" s="35" t="s">
        <v>213</v>
      </c>
      <c r="C48" s="29"/>
      <c r="D48" s="29"/>
      <c r="E48" s="34"/>
      <c r="G48" s="812" t="str">
        <f>CONCATENATE("Projected Carryover Into ",E1+1,"")</f>
        <v>Projected Carryover Into 2014</v>
      </c>
      <c r="H48" s="813"/>
      <c r="I48" s="813"/>
      <c r="J48" s="814"/>
    </row>
    <row r="49" spans="2:11" x14ac:dyDescent="0.25">
      <c r="B49" s="35" t="s">
        <v>622</v>
      </c>
      <c r="C49" s="387" t="str">
        <f>IF(C50*0.1&lt;C48,"Exceed 10% Rule","")</f>
        <v/>
      </c>
      <c r="D49" s="387" t="str">
        <f>IF(D50*0.1&lt;D48,"Exceed 10% Rule","")</f>
        <v/>
      </c>
      <c r="E49" s="45" t="str">
        <f>IF(E50*0.1&lt;E48,"Exceed 10% Rule","")</f>
        <v/>
      </c>
      <c r="G49" s="487"/>
      <c r="H49" s="488"/>
      <c r="I49" s="488"/>
      <c r="J49" s="489"/>
    </row>
    <row r="50" spans="2:11" x14ac:dyDescent="0.25">
      <c r="B50" s="43" t="s">
        <v>26</v>
      </c>
      <c r="C50" s="384">
        <f>SUM(C29:C48)</f>
        <v>1666</v>
      </c>
      <c r="D50" s="384">
        <f>SUM(D29:D48)</f>
        <v>1100</v>
      </c>
      <c r="E50" s="47">
        <f>SUM(E29:E43,E45,E47:E48)</f>
        <v>1150</v>
      </c>
      <c r="G50" s="490">
        <f>D51</f>
        <v>25</v>
      </c>
      <c r="H50" s="491" t="str">
        <f>CONCATENATE("",E1-1," Ending Cash Balance (est.)")</f>
        <v>2012 Ending Cash Balance (est.)</v>
      </c>
      <c r="I50" s="492"/>
      <c r="J50" s="489"/>
    </row>
    <row r="51" spans="2:11" x14ac:dyDescent="0.25">
      <c r="B51" s="27" t="s">
        <v>119</v>
      </c>
      <c r="C51" s="385">
        <f>C27-C50</f>
        <v>70</v>
      </c>
      <c r="D51" s="385">
        <f>SUM(D27-D50)</f>
        <v>25</v>
      </c>
      <c r="E51" s="33" t="s">
        <v>290</v>
      </c>
      <c r="G51" s="490">
        <f>E26</f>
        <v>46</v>
      </c>
      <c r="H51" s="493" t="str">
        <f>CONCATENATE("",E1," Non-AV Receipts (est.)")</f>
        <v>2013 Non-AV Receipts (est.)</v>
      </c>
      <c r="I51" s="492"/>
      <c r="J51" s="489"/>
    </row>
    <row r="52" spans="2:11" x14ac:dyDescent="0.2">
      <c r="B52" s="48" t="str">
        <f>CONCATENATE("",E1-2,"/",E1-1," Budget Authority Amount:")</f>
        <v>2011/2012 Budget Authority Amount:</v>
      </c>
      <c r="C52" s="132">
        <f>inputOth!B46</f>
        <v>1690</v>
      </c>
      <c r="D52" s="161">
        <f>inputPrYr!D16</f>
        <v>1100</v>
      </c>
      <c r="E52" s="33" t="s">
        <v>290</v>
      </c>
      <c r="F52" s="50"/>
      <c r="G52" s="494">
        <f>IF(D56&gt;0,E55,E57)</f>
        <v>1079</v>
      </c>
      <c r="H52" s="493" t="str">
        <f>CONCATENATE("",E1," Ad Valorem Tax (est.)")</f>
        <v>2013 Ad Valorem Tax (est.)</v>
      </c>
      <c r="I52" s="492"/>
      <c r="J52" s="489"/>
      <c r="K52" s="711" t="str">
        <f>IF(G52=E57,"","Note: Does not include Delinquent Taxes")</f>
        <v/>
      </c>
    </row>
    <row r="53" spans="2:11" x14ac:dyDescent="0.25">
      <c r="B53" s="48"/>
      <c r="C53" s="808" t="s">
        <v>623</v>
      </c>
      <c r="D53" s="809"/>
      <c r="E53" s="34"/>
      <c r="F53" s="486" t="str">
        <f>IF(E50/0.95-E50&lt;E53,"Exceeds 5%","")</f>
        <v/>
      </c>
      <c r="G53" s="490">
        <f>SUM(G50:G52)</f>
        <v>1150</v>
      </c>
      <c r="H53" s="493" t="str">
        <f>CONCATENATE("Total ",E1," Resources Available")</f>
        <v>Total 2013 Resources Available</v>
      </c>
      <c r="I53" s="492"/>
      <c r="J53" s="489"/>
    </row>
    <row r="54" spans="2:11" x14ac:dyDescent="0.25">
      <c r="B54" s="399" t="str">
        <f>CONCATENATE(C72,"     ",D72)</f>
        <v xml:space="preserve">     </v>
      </c>
      <c r="C54" s="810" t="s">
        <v>624</v>
      </c>
      <c r="D54" s="811"/>
      <c r="E54" s="32">
        <f>E50+E53</f>
        <v>1150</v>
      </c>
      <c r="G54" s="495"/>
      <c r="H54" s="493"/>
      <c r="I54" s="493"/>
      <c r="J54" s="489"/>
    </row>
    <row r="55" spans="2:11" x14ac:dyDescent="0.25">
      <c r="B55" s="399" t="str">
        <f>CONCATENATE(C73,"     ",D73)</f>
        <v xml:space="preserve">     </v>
      </c>
      <c r="C55" s="60"/>
      <c r="D55" s="52" t="s">
        <v>28</v>
      </c>
      <c r="E55" s="46">
        <f>IF(E54-E27&gt;0,E54-E27,0)</f>
        <v>1079</v>
      </c>
      <c r="G55" s="494">
        <f>ROUND(C50*0.05+C50,0)</f>
        <v>1749</v>
      </c>
      <c r="H55" s="493" t="str">
        <f>CONCATENATE("Less ",E1-2," Expenditures + 5%")</f>
        <v>Less 2011 Expenditures + 5%</v>
      </c>
      <c r="I55" s="492"/>
      <c r="J55" s="489"/>
    </row>
    <row r="56" spans="2:11" x14ac:dyDescent="0.25">
      <c r="B56" s="52"/>
      <c r="C56" s="403" t="s">
        <v>625</v>
      </c>
      <c r="D56" s="698">
        <f>inputOth!$E$40</f>
        <v>0</v>
      </c>
      <c r="E56" s="32">
        <f>ROUND(IF(D56&gt;0,(E55*D56),0),0)</f>
        <v>0</v>
      </c>
      <c r="G56" s="496">
        <f>G53-G55</f>
        <v>-599</v>
      </c>
      <c r="H56" s="497" t="str">
        <f>CONCATENATE("Projected ",E1+1," Carryover (est.)")</f>
        <v>Projected 2014 Carryover (est.)</v>
      </c>
      <c r="I56" s="498"/>
      <c r="J56" s="499"/>
    </row>
    <row r="57" spans="2:11" x14ac:dyDescent="0.25">
      <c r="B57" s="14"/>
      <c r="C57" s="806" t="str">
        <f>CONCATENATE("Amount of  ",$E$1-1," Ad Valorem Tax")</f>
        <v>Amount of  2012 Ad Valorem Tax</v>
      </c>
      <c r="D57" s="807"/>
      <c r="E57" s="46">
        <f>E55+E56</f>
        <v>1079</v>
      </c>
    </row>
    <row r="58" spans="2:11" x14ac:dyDescent="0.2">
      <c r="B58" s="14"/>
      <c r="C58" s="14"/>
      <c r="D58" s="14"/>
      <c r="E58" s="14"/>
      <c r="G58" s="803" t="s">
        <v>826</v>
      </c>
      <c r="H58" s="804"/>
      <c r="I58" s="804"/>
      <c r="J58" s="805"/>
    </row>
    <row r="59" spans="2:11" s="54" customFormat="1" x14ac:dyDescent="0.25">
      <c r="B59" s="19"/>
      <c r="C59" s="19"/>
      <c r="D59" s="53"/>
      <c r="E59" s="19"/>
      <c r="G59" s="712"/>
      <c r="H59" s="491"/>
      <c r="I59" s="700"/>
      <c r="J59" s="713"/>
      <c r="K59" s="16"/>
    </row>
    <row r="60" spans="2:11" s="56" customFormat="1" x14ac:dyDescent="0.25">
      <c r="B60" s="14"/>
      <c r="C60" s="14"/>
      <c r="D60" s="55"/>
      <c r="E60" s="14"/>
      <c r="G60" s="714">
        <f>summ!I18</f>
        <v>1.5820000000000001</v>
      </c>
      <c r="H60" s="491" t="str">
        <f>CONCATENATE("",E1," Fund Mill Rate")</f>
        <v>2013 Fund Mill Rate</v>
      </c>
      <c r="I60" s="700"/>
      <c r="J60" s="713"/>
      <c r="K60" s="16"/>
    </row>
    <row r="61" spans="2:11" x14ac:dyDescent="0.25">
      <c r="B61" s="52" t="s">
        <v>9</v>
      </c>
      <c r="C61" s="405">
        <f>IF(inputPrYr!D18&gt;0,7,6)</f>
        <v>6</v>
      </c>
      <c r="D61" s="14"/>
      <c r="E61" s="55"/>
      <c r="G61" s="715">
        <f>summ!F18</f>
        <v>1.577</v>
      </c>
      <c r="H61" s="491" t="str">
        <f>CONCATENATE("",E1-1," Fund Mill Rate")</f>
        <v>2012 Fund Mill Rate</v>
      </c>
      <c r="I61" s="700"/>
      <c r="J61" s="713"/>
    </row>
    <row r="62" spans="2:11" x14ac:dyDescent="0.25">
      <c r="G62" s="716">
        <f>summ!I32</f>
        <v>18.600000000000001</v>
      </c>
      <c r="H62" s="491" t="str">
        <f>CONCATENATE("Total ",E1," Mill Rate")</f>
        <v>Total 2013 Mill Rate</v>
      </c>
      <c r="I62" s="700"/>
      <c r="J62" s="713"/>
    </row>
    <row r="63" spans="2:11" x14ac:dyDescent="0.25">
      <c r="B63" s="12"/>
      <c r="G63" s="715">
        <f>summ!F32</f>
        <v>20.238</v>
      </c>
      <c r="H63" s="717" t="str">
        <f>CONCATENATE("Total ",E1-1," Mill Rate")</f>
        <v>Total 2012 Mill Rate</v>
      </c>
      <c r="I63" s="718"/>
      <c r="J63" s="719"/>
    </row>
    <row r="64" spans="2:11" x14ac:dyDescent="0.25">
      <c r="G64" s="701"/>
      <c r="H64" s="500"/>
      <c r="I64" s="500"/>
      <c r="J64" s="704"/>
    </row>
    <row r="65" spans="3:10" x14ac:dyDescent="0.25">
      <c r="G65" s="703"/>
      <c r="H65" s="500"/>
      <c r="I65" s="701"/>
      <c r="J65" s="702"/>
    </row>
    <row r="66" spans="3:10" x14ac:dyDescent="0.25">
      <c r="E66" s="57"/>
    </row>
    <row r="68" spans="3:10" x14ac:dyDescent="0.25">
      <c r="E68" s="57"/>
    </row>
    <row r="70" spans="3:10" x14ac:dyDescent="0.25">
      <c r="C70" s="58"/>
    </row>
    <row r="71" spans="3:10" x14ac:dyDescent="0.25">
      <c r="C71" s="57"/>
      <c r="E71" s="57"/>
    </row>
    <row r="72" spans="3:10" hidden="1" x14ac:dyDescent="0.25">
      <c r="C72" s="16" t="str">
        <f>IF(C50&gt;C52,"See Tab A","")</f>
        <v/>
      </c>
      <c r="D72" s="16" t="str">
        <f>IF(D50&gt;D52,"See Tab C","")</f>
        <v/>
      </c>
    </row>
    <row r="73" spans="3:10" hidden="1" x14ac:dyDescent="0.25">
      <c r="C73" s="16" t="str">
        <f>IF(C51&lt;0,"See Tab B","")</f>
        <v/>
      </c>
      <c r="D73" s="16" t="str">
        <f>IF(D51&lt;0,"See Tab D","")</f>
        <v/>
      </c>
    </row>
  </sheetData>
  <sheetProtection sheet="1"/>
  <mergeCells count="6">
    <mergeCell ref="G58:J58"/>
    <mergeCell ref="C57:D57"/>
    <mergeCell ref="C53:D53"/>
    <mergeCell ref="C54:D54"/>
    <mergeCell ref="G41:J41"/>
    <mergeCell ref="G48:J48"/>
  </mergeCells>
  <phoneticPr fontId="0" type="noConversion"/>
  <conditionalFormatting sqref="E53">
    <cfRule type="cellIs" dxfId="127" priority="12" stopIfTrue="1" operator="greaterThan">
      <formula>$E$50/0.95-$E$50</formula>
    </cfRule>
  </conditionalFormatting>
  <conditionalFormatting sqref="C48">
    <cfRule type="cellIs" dxfId="126" priority="13" stopIfTrue="1" operator="greaterThan">
      <formula>$C$50*0.1</formula>
    </cfRule>
  </conditionalFormatting>
  <conditionalFormatting sqref="D48">
    <cfRule type="cellIs" dxfId="125" priority="14" stopIfTrue="1" operator="greaterThan">
      <formula>$D$50*0.1</formula>
    </cfRule>
  </conditionalFormatting>
  <conditionalFormatting sqref="E48">
    <cfRule type="cellIs" dxfId="124" priority="15" stopIfTrue="1" operator="greaterThan">
      <formula>$E$50*0.1</formula>
    </cfRule>
  </conditionalFormatting>
  <conditionalFormatting sqref="C51">
    <cfRule type="cellIs" dxfId="123" priority="17" stopIfTrue="1" operator="lessThan">
      <formula>0</formula>
    </cfRule>
  </conditionalFormatting>
  <conditionalFormatting sqref="D50">
    <cfRule type="cellIs" dxfId="122" priority="18" stopIfTrue="1" operator="greaterThan">
      <formula>$D$52</formula>
    </cfRule>
  </conditionalFormatting>
  <conditionalFormatting sqref="C45">
    <cfRule type="cellIs" dxfId="121" priority="19" stopIfTrue="1" operator="greaterThan">
      <formula>$C$27*0.25</formula>
    </cfRule>
  </conditionalFormatting>
  <conditionalFormatting sqref="C24">
    <cfRule type="cellIs" dxfId="120" priority="20" stopIfTrue="1" operator="greaterThan">
      <formula>$C$26*0.1</formula>
    </cfRule>
  </conditionalFormatting>
  <conditionalFormatting sqref="D24">
    <cfRule type="cellIs" dxfId="119" priority="21" stopIfTrue="1" operator="greaterThan">
      <formula>$D$26*0.1</formula>
    </cfRule>
  </conditionalFormatting>
  <conditionalFormatting sqref="E24">
    <cfRule type="cellIs" dxfId="118" priority="22" stopIfTrue="1" operator="greaterThan">
      <formula>$E$26*0.1+$E$57</formula>
    </cfRule>
  </conditionalFormatting>
  <conditionalFormatting sqref="C42">
    <cfRule type="expression" dxfId="117" priority="23" stopIfTrue="1">
      <formula>"Mike"</formula>
    </cfRule>
  </conditionalFormatting>
  <conditionalFormatting sqref="D45">
    <cfRule type="cellIs" dxfId="116" priority="24" stopIfTrue="1" operator="greaterThan">
      <formula>$D$27*0.25</formula>
    </cfRule>
  </conditionalFormatting>
  <conditionalFormatting sqref="E45">
    <cfRule type="cellIs" dxfId="115" priority="25" stopIfTrue="1" operator="greaterThan">
      <formula>$E$27*0.25+$E$57</formula>
    </cfRule>
  </conditionalFormatting>
  <conditionalFormatting sqref="C43">
    <cfRule type="expression" dxfId="114" priority="26" stopIfTrue="1">
      <formula>$C$8&gt;0</formula>
    </cfRule>
  </conditionalFormatting>
  <conditionalFormatting sqref="D43">
    <cfRule type="expression" dxfId="113" priority="28" stopIfTrue="1">
      <formula>$D$8&gt;0</formula>
    </cfRule>
  </conditionalFormatting>
  <conditionalFormatting sqref="C50">
    <cfRule type="cellIs" dxfId="112" priority="10" stopIfTrue="1" operator="greaterThan">
      <formula>$C$52</formula>
    </cfRule>
  </conditionalFormatting>
  <conditionalFormatting sqref="D51">
    <cfRule type="cellIs" dxfId="111" priority="9" stopIfTrue="1" operator="lessThan">
      <formula>0</formula>
    </cfRule>
  </conditionalFormatting>
  <conditionalFormatting sqref="E43">
    <cfRule type="expression" dxfId="110" priority="2" stopIfTrue="1">
      <formula>$E$57&gt;0</formula>
    </cfRule>
  </conditionalFormatting>
  <pageMargins left="0.9" right="0.9" top="0.96" bottom="0.5" header="0.41" footer="0.3"/>
  <pageSetup scale="81" orientation="portrait" blackAndWhite="1" horizontalDpi="1200" verticalDpi="1200" r:id="rId1"/>
  <headerFooter alignWithMargins="0">
    <oddHeader xml:space="preserve">&amp;RState of Kansas
Township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6"/>
  <sheetViews>
    <sheetView zoomScaleNormal="100" workbookViewId="0">
      <selection activeCell="D48" sqref="D48"/>
    </sheetView>
  </sheetViews>
  <sheetFormatPr defaultRowHeight="15.75" x14ac:dyDescent="0.25"/>
  <cols>
    <col min="1" max="1" width="2.19921875" style="591" customWidth="1"/>
    <col min="2" max="2" width="28.59765625" style="591" customWidth="1"/>
    <col min="3" max="4" width="14.19921875" style="591" customWidth="1"/>
    <col min="5" max="5" width="14.59765625" style="591" customWidth="1"/>
    <col min="6" max="6" width="7.296875" style="591" customWidth="1"/>
    <col min="7" max="7" width="9.19921875" style="591" customWidth="1"/>
    <col min="8" max="8" width="8.796875" style="591"/>
    <col min="9" max="9" width="4.5" style="591" customWidth="1"/>
    <col min="10" max="10" width="9" style="591" customWidth="1"/>
    <col min="11" max="16384" width="8.796875" style="591"/>
  </cols>
  <sheetData>
    <row r="1" spans="2:5" x14ac:dyDescent="0.25">
      <c r="B1" s="588" t="str">
        <f>inputPrYr!D2</f>
        <v>Liberty Township</v>
      </c>
      <c r="C1" s="588"/>
      <c r="D1" s="589"/>
      <c r="E1" s="590">
        <f>inputPrYr!D5</f>
        <v>2013</v>
      </c>
    </row>
    <row r="2" spans="2:5" x14ac:dyDescent="0.25">
      <c r="B2" s="589"/>
      <c r="C2" s="589"/>
      <c r="D2" s="589"/>
      <c r="E2" s="592"/>
    </row>
    <row r="3" spans="2:5" x14ac:dyDescent="0.25">
      <c r="B3" s="541" t="s">
        <v>721</v>
      </c>
      <c r="C3" s="541"/>
      <c r="D3" s="593"/>
      <c r="E3" s="594"/>
    </row>
    <row r="4" spans="2:5" x14ac:dyDescent="0.25">
      <c r="B4" s="595" t="s">
        <v>10</v>
      </c>
      <c r="C4" s="596" t="s">
        <v>822</v>
      </c>
      <c r="D4" s="597" t="s">
        <v>823</v>
      </c>
      <c r="E4" s="598" t="s">
        <v>824</v>
      </c>
    </row>
    <row r="5" spans="2:5" x14ac:dyDescent="0.25">
      <c r="B5" s="599" t="str">
        <f>inputPrYr!B17</f>
        <v>Debt Service</v>
      </c>
      <c r="C5" s="600" t="str">
        <f>CONCATENATE("Actual for ",$E$1-2,"")</f>
        <v>Actual for 2011</v>
      </c>
      <c r="D5" s="601" t="str">
        <f>CONCATENATE("Estimate for ",$E$1-1,"")</f>
        <v>Estimate for 2012</v>
      </c>
      <c r="E5" s="602" t="str">
        <f>CONCATENATE("Year for ",$E$1,"")</f>
        <v>Year for 2013</v>
      </c>
    </row>
    <row r="6" spans="2:5" x14ac:dyDescent="0.25">
      <c r="B6" s="603" t="s">
        <v>144</v>
      </c>
      <c r="C6" s="604"/>
      <c r="D6" s="605">
        <f>C34</f>
        <v>0</v>
      </c>
      <c r="E6" s="606">
        <f>D34</f>
        <v>0</v>
      </c>
    </row>
    <row r="7" spans="2:5" x14ac:dyDescent="0.25">
      <c r="B7" s="603" t="s">
        <v>120</v>
      </c>
      <c r="C7" s="607"/>
      <c r="D7" s="605"/>
      <c r="E7" s="606"/>
    </row>
    <row r="8" spans="2:5" x14ac:dyDescent="0.25">
      <c r="B8" s="603" t="s">
        <v>16</v>
      </c>
      <c r="C8" s="608"/>
      <c r="D8" s="605">
        <f>IF(inputPrYr!H15&gt;0,inputPrYr!G17,inputPrYr!E17)</f>
        <v>0</v>
      </c>
      <c r="E8" s="609" t="s">
        <v>290</v>
      </c>
    </row>
    <row r="9" spans="2:5" x14ac:dyDescent="0.25">
      <c r="B9" s="603" t="s">
        <v>17</v>
      </c>
      <c r="C9" s="608"/>
      <c r="D9" s="610"/>
      <c r="E9" s="611"/>
    </row>
    <row r="10" spans="2:5" x14ac:dyDescent="0.25">
      <c r="B10" s="603" t="s">
        <v>18</v>
      </c>
      <c r="C10" s="608"/>
      <c r="D10" s="610"/>
      <c r="E10" s="606">
        <f>mvalloc!G12</f>
        <v>0</v>
      </c>
    </row>
    <row r="11" spans="2:5" x14ac:dyDescent="0.25">
      <c r="B11" s="603" t="s">
        <v>19</v>
      </c>
      <c r="C11" s="608"/>
      <c r="D11" s="610"/>
      <c r="E11" s="606">
        <f>mvalloc!I12</f>
        <v>0</v>
      </c>
    </row>
    <row r="12" spans="2:5" x14ac:dyDescent="0.25">
      <c r="B12" s="612" t="s">
        <v>99</v>
      </c>
      <c r="C12" s="608"/>
      <c r="D12" s="610"/>
      <c r="E12" s="606">
        <f>mvalloc!J12</f>
        <v>0</v>
      </c>
    </row>
    <row r="13" spans="2:5" x14ac:dyDescent="0.25">
      <c r="B13" s="613"/>
      <c r="C13" s="608"/>
      <c r="D13" s="610"/>
      <c r="E13" s="614"/>
    </row>
    <row r="14" spans="2:5" x14ac:dyDescent="0.25">
      <c r="B14" s="613"/>
      <c r="C14" s="608"/>
      <c r="D14" s="610"/>
      <c r="E14" s="611"/>
    </row>
    <row r="15" spans="2:5" x14ac:dyDescent="0.25">
      <c r="B15" s="613"/>
      <c r="C15" s="608"/>
      <c r="D15" s="610"/>
      <c r="E15" s="611"/>
    </row>
    <row r="16" spans="2:5" x14ac:dyDescent="0.25">
      <c r="B16" s="613"/>
      <c r="C16" s="608"/>
      <c r="D16" s="610"/>
      <c r="E16" s="611"/>
    </row>
    <row r="17" spans="2:10" x14ac:dyDescent="0.25">
      <c r="B17" s="615" t="s">
        <v>22</v>
      </c>
      <c r="C17" s="608"/>
      <c r="D17" s="610"/>
      <c r="E17" s="611"/>
    </row>
    <row r="18" spans="2:10" x14ac:dyDescent="0.25">
      <c r="B18" s="603" t="s">
        <v>213</v>
      </c>
      <c r="C18" s="616"/>
      <c r="D18" s="610"/>
      <c r="E18" s="611"/>
    </row>
    <row r="19" spans="2:10" x14ac:dyDescent="0.25">
      <c r="B19" s="603" t="s">
        <v>828</v>
      </c>
      <c r="C19" s="617" t="str">
        <f>IF(C20*0.1&lt;C18,"Exceed 10% Rule","")</f>
        <v/>
      </c>
      <c r="D19" s="617" t="str">
        <f>IF(D20*0.1&lt;D18,"Exceeds 10% Rule","")</f>
        <v/>
      </c>
      <c r="E19" s="618" t="str">
        <f>IF(E20*0.1&lt;E18,"Exceed 10% Rule","")</f>
        <v/>
      </c>
    </row>
    <row r="20" spans="2:10" x14ac:dyDescent="0.25">
      <c r="B20" s="619" t="s">
        <v>23</v>
      </c>
      <c r="C20" s="620">
        <f>SUM(C8:C18)</f>
        <v>0</v>
      </c>
      <c r="D20" s="620">
        <f>SUM(D8:D18)</f>
        <v>0</v>
      </c>
      <c r="E20" s="621">
        <f>SUM(E9:E18)</f>
        <v>0</v>
      </c>
    </row>
    <row r="21" spans="2:10" x14ac:dyDescent="0.25">
      <c r="B21" s="619" t="s">
        <v>24</v>
      </c>
      <c r="C21" s="620">
        <f>C6+C20</f>
        <v>0</v>
      </c>
      <c r="D21" s="620">
        <f>D6+D20</f>
        <v>0</v>
      </c>
      <c r="E21" s="621">
        <f>E6+E20</f>
        <v>0</v>
      </c>
    </row>
    <row r="22" spans="2:10" x14ac:dyDescent="0.25">
      <c r="B22" s="603" t="s">
        <v>25</v>
      </c>
      <c r="C22" s="603"/>
      <c r="D22" s="605"/>
      <c r="E22" s="606"/>
    </row>
    <row r="23" spans="2:10" x14ac:dyDescent="0.25">
      <c r="B23" s="613"/>
      <c r="C23" s="608"/>
      <c r="D23" s="610"/>
      <c r="E23" s="611"/>
    </row>
    <row r="24" spans="2:10" x14ac:dyDescent="0.25">
      <c r="B24" s="613"/>
      <c r="C24" s="608"/>
      <c r="D24" s="610"/>
      <c r="E24" s="611"/>
      <c r="G24" s="820" t="str">
        <f>CONCATENATE("Desired Carryover Into ",E1+1,"")</f>
        <v>Desired Carryover Into 2014</v>
      </c>
      <c r="H24" s="821"/>
      <c r="I24" s="821"/>
      <c r="J24" s="822"/>
    </row>
    <row r="25" spans="2:10" x14ac:dyDescent="0.25">
      <c r="B25" s="613"/>
      <c r="C25" s="610"/>
      <c r="D25" s="610"/>
      <c r="E25" s="611"/>
      <c r="G25" s="622"/>
      <c r="H25" s="623"/>
      <c r="I25" s="624"/>
      <c r="J25" s="625"/>
    </row>
    <row r="26" spans="2:10" x14ac:dyDescent="0.25">
      <c r="B26" s="613"/>
      <c r="C26" s="608"/>
      <c r="D26" s="610"/>
      <c r="E26" s="611"/>
      <c r="G26" s="626" t="s">
        <v>715</v>
      </c>
      <c r="H26" s="624"/>
      <c r="I26" s="624"/>
      <c r="J26" s="627">
        <v>0</v>
      </c>
    </row>
    <row r="27" spans="2:10" x14ac:dyDescent="0.25">
      <c r="B27" s="613"/>
      <c r="C27" s="608"/>
      <c r="D27" s="610"/>
      <c r="E27" s="611"/>
      <c r="G27" s="622" t="s">
        <v>716</v>
      </c>
      <c r="H27" s="623"/>
      <c r="I27" s="623"/>
      <c r="J27" s="628" t="str">
        <f>IF(J26=0,"",ROUND((J26+E40-G39)/inputOth!E7*1000,3)-G44)</f>
        <v/>
      </c>
    </row>
    <row r="28" spans="2:10" x14ac:dyDescent="0.25">
      <c r="B28" s="613"/>
      <c r="C28" s="608"/>
      <c r="D28" s="610"/>
      <c r="E28" s="611"/>
      <c r="G28" s="629" t="str">
        <f>CONCATENATE("",E1," Tot Exp/Non-Appr Must Be:")</f>
        <v>2013 Tot Exp/Non-Appr Must Be:</v>
      </c>
      <c r="H28" s="630"/>
      <c r="I28" s="631"/>
      <c r="J28" s="632">
        <f>IF(J26&gt;0,IF(E37&lt;E21,IF(J26=G39,E37,((J26-G39)*(1-D39))+E21),E37+(J26-G39)),0)</f>
        <v>0</v>
      </c>
    </row>
    <row r="29" spans="2:10" x14ac:dyDescent="0.25">
      <c r="B29" s="613"/>
      <c r="C29" s="608"/>
      <c r="D29" s="610"/>
      <c r="E29" s="611"/>
      <c r="G29" s="633" t="s">
        <v>825</v>
      </c>
      <c r="H29" s="634"/>
      <c r="I29" s="634"/>
      <c r="J29" s="635">
        <f>IF(J26&gt;0,J28-E37,0)</f>
        <v>0</v>
      </c>
    </row>
    <row r="30" spans="2:10" x14ac:dyDescent="0.25">
      <c r="B30" s="636" t="s">
        <v>215</v>
      </c>
      <c r="C30" s="608"/>
      <c r="D30" s="610"/>
      <c r="E30" s="606" t="str">
        <f>nhood!E7</f>
        <v/>
      </c>
    </row>
    <row r="31" spans="2:10" x14ac:dyDescent="0.25">
      <c r="B31" s="636" t="s">
        <v>213</v>
      </c>
      <c r="C31" s="616"/>
      <c r="D31" s="610"/>
      <c r="E31" s="611"/>
      <c r="G31" s="820" t="str">
        <f>CONCATENATE("Projected Carryover Into ",E1+1,"")</f>
        <v>Projected Carryover Into 2014</v>
      </c>
      <c r="H31" s="825"/>
      <c r="I31" s="825"/>
      <c r="J31" s="824"/>
    </row>
    <row r="32" spans="2:10" x14ac:dyDescent="0.25">
      <c r="B32" s="636" t="s">
        <v>622</v>
      </c>
      <c r="C32" s="617" t="str">
        <f>IF(C33*0.1&lt;C31,"Exceed 10% Rule","")</f>
        <v/>
      </c>
      <c r="D32" s="617" t="str">
        <f>IF(D33*0.1&lt;D31,"Exceed 10% Rule","")</f>
        <v/>
      </c>
      <c r="E32" s="618" t="str">
        <f>IF(E33*0.1&lt;E31,"Exceed 10% Rule","")</f>
        <v/>
      </c>
      <c r="G32" s="622"/>
      <c r="H32" s="624"/>
      <c r="I32" s="624"/>
      <c r="J32" s="637"/>
    </row>
    <row r="33" spans="2:11" x14ac:dyDescent="0.25">
      <c r="B33" s="619" t="s">
        <v>26</v>
      </c>
      <c r="C33" s="638">
        <f>SUM(C23:C31)</f>
        <v>0</v>
      </c>
      <c r="D33" s="638">
        <f>SUM(D23:D31)</f>
        <v>0</v>
      </c>
      <c r="E33" s="639">
        <f>SUM(E23:E31)</f>
        <v>0</v>
      </c>
      <c r="G33" s="640">
        <f>D34</f>
        <v>0</v>
      </c>
      <c r="H33" s="641" t="str">
        <f>CONCATENATE("",E1-1," Ending Cash Balance (est.)")</f>
        <v>2012 Ending Cash Balance (est.)</v>
      </c>
      <c r="I33" s="642"/>
      <c r="J33" s="637"/>
    </row>
    <row r="34" spans="2:11" x14ac:dyDescent="0.25">
      <c r="B34" s="603" t="s">
        <v>119</v>
      </c>
      <c r="C34" s="643">
        <f>C21-C33</f>
        <v>0</v>
      </c>
      <c r="D34" s="643">
        <f>D21-D33</f>
        <v>0</v>
      </c>
      <c r="E34" s="609" t="s">
        <v>290</v>
      </c>
      <c r="F34" s="644"/>
      <c r="G34" s="640">
        <f>E20</f>
        <v>0</v>
      </c>
      <c r="H34" s="624" t="str">
        <f>CONCATENATE("",E1," Non-AV Receipts (est.)")</f>
        <v>2013 Non-AV Receipts (est.)</v>
      </c>
      <c r="I34" s="642"/>
      <c r="J34" s="637"/>
    </row>
    <row r="35" spans="2:11" x14ac:dyDescent="0.25">
      <c r="B35" s="645" t="str">
        <f>CONCATENATE("",E1-2,"/",E1-1," Budget Authority Amount:")</f>
        <v>2011/2012 Budget Authority Amount:</v>
      </c>
      <c r="C35" s="646">
        <f>inputOth!B47</f>
        <v>0</v>
      </c>
      <c r="D35" s="647">
        <f>inputPrYr!D17</f>
        <v>0</v>
      </c>
      <c r="E35" s="609" t="s">
        <v>290</v>
      </c>
      <c r="F35" s="648"/>
      <c r="G35" s="649">
        <f>IF(E39&gt;0,E38,E40)</f>
        <v>0</v>
      </c>
      <c r="H35" s="624" t="str">
        <f>CONCATENATE("",E1," Ad Valorem Tax (est.)")</f>
        <v>2013 Ad Valorem Tax (est.)</v>
      </c>
      <c r="I35" s="624"/>
      <c r="J35" s="747"/>
      <c r="K35" s="748" t="str">
        <f>IF(G35=E40,"","Note: Does not include Delinquent Taxes")</f>
        <v/>
      </c>
    </row>
    <row r="36" spans="2:11" x14ac:dyDescent="0.25">
      <c r="B36" s="645"/>
      <c r="C36" s="808" t="s">
        <v>623</v>
      </c>
      <c r="D36" s="809"/>
      <c r="E36" s="611"/>
      <c r="F36" s="651" t="str">
        <f>IF(E33/0.95-E33&lt;E36,"Exceeds 5%","")</f>
        <v/>
      </c>
      <c r="G36" s="640">
        <f>SUM(G33:G35)</f>
        <v>0</v>
      </c>
      <c r="H36" s="624" t="str">
        <f>CONCATENATE("Total ",E1," Resources Available")</f>
        <v>Total 2013 Resources Available</v>
      </c>
      <c r="I36" s="642"/>
      <c r="J36" s="637"/>
    </row>
    <row r="37" spans="2:11" x14ac:dyDescent="0.25">
      <c r="B37" s="652" t="str">
        <f>CONCATENATE(C93,"     ",D93)</f>
        <v xml:space="preserve">     </v>
      </c>
      <c r="C37" s="810" t="s">
        <v>624</v>
      </c>
      <c r="D37" s="811"/>
      <c r="E37" s="606">
        <f>E33+E36</f>
        <v>0</v>
      </c>
      <c r="F37" s="644"/>
      <c r="G37" s="653"/>
      <c r="H37" s="624"/>
      <c r="I37" s="624"/>
      <c r="J37" s="637"/>
    </row>
    <row r="38" spans="2:11" x14ac:dyDescent="0.25">
      <c r="B38" s="652" t="str">
        <f>CONCATENATE(C94,"     ",D94)</f>
        <v xml:space="preserve">     </v>
      </c>
      <c r="C38" s="654"/>
      <c r="D38" s="592" t="s">
        <v>28</v>
      </c>
      <c r="E38" s="655">
        <f>IF(E37-E21&gt;0,E37-E21,0)</f>
        <v>0</v>
      </c>
      <c r="F38" s="644"/>
      <c r="G38" s="649">
        <f>C33</f>
        <v>0</v>
      </c>
      <c r="H38" s="624" t="str">
        <f>CONCATENATE("Less ",E1-2," Expenditures")</f>
        <v>Less 2011 Expenditures</v>
      </c>
      <c r="I38" s="624"/>
      <c r="J38" s="637"/>
    </row>
    <row r="39" spans="2:11" x14ac:dyDescent="0.25">
      <c r="B39" s="592"/>
      <c r="C39" s="403" t="s">
        <v>625</v>
      </c>
      <c r="D39" s="656">
        <f>inputOth!E40</f>
        <v>0</v>
      </c>
      <c r="E39" s="606">
        <f>ROUND(IF(D39&gt;0,(E38*D39),0),0)</f>
        <v>0</v>
      </c>
      <c r="F39" s="644"/>
      <c r="G39" s="657">
        <f>G36-G38</f>
        <v>0</v>
      </c>
      <c r="H39" s="658" t="str">
        <f>CONCATENATE("Projected ",E1+1," carryover (est.)")</f>
        <v>Projected 2014 carryover (est.)</v>
      </c>
      <c r="I39" s="659"/>
      <c r="J39" s="660"/>
    </row>
    <row r="40" spans="2:11" ht="16.5" thickBot="1" x14ac:dyDescent="0.3">
      <c r="B40" s="589"/>
      <c r="C40" s="815" t="str">
        <f>CONCATENATE("Amount of  ",E1-1," Ad Valorem Tax")</f>
        <v>Amount of  2012 Ad Valorem Tax</v>
      </c>
      <c r="D40" s="816"/>
      <c r="E40" s="662">
        <f>SUM(E38:E39)</f>
        <v>0</v>
      </c>
      <c r="F40" s="644"/>
    </row>
    <row r="41" spans="2:11" ht="16.5" thickTop="1" x14ac:dyDescent="0.25">
      <c r="B41" s="589"/>
      <c r="C41" s="815"/>
      <c r="D41" s="816"/>
      <c r="E41" s="663"/>
      <c r="F41" s="644"/>
      <c r="G41" s="817" t="s">
        <v>826</v>
      </c>
      <c r="H41" s="818"/>
      <c r="I41" s="818"/>
      <c r="J41" s="819"/>
    </row>
    <row r="42" spans="2:11" x14ac:dyDescent="0.25">
      <c r="B42" s="589"/>
      <c r="C42" s="661"/>
      <c r="D42" s="589"/>
      <c r="E42" s="589"/>
      <c r="F42" s="644"/>
      <c r="G42" s="664"/>
      <c r="H42" s="641"/>
      <c r="I42" s="665"/>
      <c r="J42" s="666"/>
    </row>
    <row r="43" spans="2:11" x14ac:dyDescent="0.25">
      <c r="B43" s="595"/>
      <c r="C43" s="595"/>
      <c r="D43" s="593"/>
      <c r="E43" s="593"/>
      <c r="F43" s="644"/>
      <c r="G43" s="667" t="str">
        <f>summ!I19</f>
        <v xml:space="preserve"> </v>
      </c>
      <c r="H43" s="641" t="str">
        <f>CONCATENATE("",E1," Fund Mill Rate")</f>
        <v>2013 Fund Mill Rate</v>
      </c>
      <c r="I43" s="665"/>
      <c r="J43" s="666"/>
    </row>
    <row r="44" spans="2:11" x14ac:dyDescent="0.25">
      <c r="B44" s="595" t="s">
        <v>10</v>
      </c>
      <c r="C44" s="596" t="s">
        <v>822</v>
      </c>
      <c r="D44" s="597" t="s">
        <v>823</v>
      </c>
      <c r="E44" s="598" t="s">
        <v>824</v>
      </c>
      <c r="F44" s="644"/>
      <c r="G44" s="668" t="str">
        <f>summ!F19</f>
        <v xml:space="preserve">  </v>
      </c>
      <c r="H44" s="641" t="str">
        <f>CONCATENATE("",E1-1," Fund Mill Rate")</f>
        <v>2012 Fund Mill Rate</v>
      </c>
      <c r="I44" s="665"/>
      <c r="J44" s="666"/>
    </row>
    <row r="45" spans="2:11" x14ac:dyDescent="0.25">
      <c r="B45" s="669" t="str">
        <f>inputPrYr!B18</f>
        <v>Library</v>
      </c>
      <c r="C45" s="600" t="str">
        <f>CONCATENATE("Actual for ",$E$1-2,"")</f>
        <v>Actual for 2011</v>
      </c>
      <c r="D45" s="601" t="str">
        <f>CONCATENATE("Estimate for ",$E$1-1,"")</f>
        <v>Estimate for 2012</v>
      </c>
      <c r="E45" s="602" t="str">
        <f>CONCATENATE("Year for ",$E$1,"")</f>
        <v>Year for 2013</v>
      </c>
      <c r="F45" s="644"/>
      <c r="G45" s="670">
        <f>summ!I32</f>
        <v>18.600000000000001</v>
      </c>
      <c r="H45" s="641" t="str">
        <f>CONCATENATE("Total ",E1," Mill Rate")</f>
        <v>Total 2013 Mill Rate</v>
      </c>
      <c r="I45" s="665"/>
      <c r="J45" s="666"/>
    </row>
    <row r="46" spans="2:11" x14ac:dyDescent="0.25">
      <c r="B46" s="603" t="s">
        <v>144</v>
      </c>
      <c r="C46" s="608">
        <v>0</v>
      </c>
      <c r="D46" s="605">
        <f>C74</f>
        <v>0</v>
      </c>
      <c r="E46" s="606">
        <f>D74</f>
        <v>0</v>
      </c>
      <c r="F46" s="644"/>
      <c r="G46" s="668">
        <f>summ!F32</f>
        <v>20.238</v>
      </c>
      <c r="H46" s="671" t="str">
        <f>CONCATENATE("Total ",E1-1," Mill Rate")</f>
        <v>Total 2012 Mill Rate</v>
      </c>
      <c r="I46" s="672"/>
      <c r="J46" s="673"/>
    </row>
    <row r="47" spans="2:11" x14ac:dyDescent="0.25">
      <c r="B47" s="674" t="s">
        <v>120</v>
      </c>
      <c r="C47" s="603"/>
      <c r="D47" s="605"/>
      <c r="E47" s="606"/>
      <c r="F47" s="644"/>
    </row>
    <row r="48" spans="2:11" x14ac:dyDescent="0.25">
      <c r="B48" s="603" t="s">
        <v>16</v>
      </c>
      <c r="C48" s="616"/>
      <c r="D48" s="605">
        <f>IF(inputPrYr!H15&gt;0,inputPrYr!G18,inputPrYr!E18)</f>
        <v>0</v>
      </c>
      <c r="E48" s="609" t="s">
        <v>290</v>
      </c>
      <c r="F48" s="644"/>
    </row>
    <row r="49" spans="2:10" x14ac:dyDescent="0.25">
      <c r="B49" s="603" t="s">
        <v>17</v>
      </c>
      <c r="C49" s="616"/>
      <c r="D49" s="610"/>
      <c r="E49" s="611"/>
      <c r="F49" s="644"/>
    </row>
    <row r="50" spans="2:10" x14ac:dyDescent="0.25">
      <c r="B50" s="603" t="s">
        <v>18</v>
      </c>
      <c r="C50" s="616"/>
      <c r="D50" s="610"/>
      <c r="E50" s="606">
        <f>mvalloc!G13</f>
        <v>0</v>
      </c>
      <c r="F50" s="644"/>
    </row>
    <row r="51" spans="2:10" x14ac:dyDescent="0.25">
      <c r="B51" s="603" t="s">
        <v>19</v>
      </c>
      <c r="C51" s="616"/>
      <c r="D51" s="610"/>
      <c r="E51" s="606">
        <f>mvalloc!I13</f>
        <v>0</v>
      </c>
      <c r="F51" s="644"/>
    </row>
    <row r="52" spans="2:10" x14ac:dyDescent="0.25">
      <c r="B52" s="612" t="s">
        <v>99</v>
      </c>
      <c r="C52" s="616"/>
      <c r="D52" s="610"/>
      <c r="E52" s="606">
        <f>mvalloc!J13</f>
        <v>0</v>
      </c>
    </row>
    <row r="53" spans="2:10" x14ac:dyDescent="0.25">
      <c r="B53" s="613"/>
      <c r="C53" s="616"/>
      <c r="D53" s="610"/>
      <c r="E53" s="614"/>
    </row>
    <row r="54" spans="2:10" x14ac:dyDescent="0.25">
      <c r="B54" s="613"/>
      <c r="C54" s="616"/>
      <c r="D54" s="610"/>
      <c r="E54" s="614"/>
    </row>
    <row r="55" spans="2:10" x14ac:dyDescent="0.25">
      <c r="B55" s="613"/>
      <c r="C55" s="616"/>
      <c r="D55" s="610"/>
      <c r="E55" s="611"/>
    </row>
    <row r="56" spans="2:10" x14ac:dyDescent="0.25">
      <c r="B56" s="613"/>
      <c r="C56" s="616"/>
      <c r="D56" s="610"/>
      <c r="E56" s="611"/>
    </row>
    <row r="57" spans="2:10" x14ac:dyDescent="0.25">
      <c r="B57" s="615" t="s">
        <v>22</v>
      </c>
      <c r="C57" s="616"/>
      <c r="D57" s="610"/>
      <c r="E57" s="611"/>
    </row>
    <row r="58" spans="2:10" x14ac:dyDescent="0.25">
      <c r="B58" s="603" t="s">
        <v>213</v>
      </c>
      <c r="C58" s="616"/>
      <c r="D58" s="616"/>
      <c r="E58" s="675"/>
    </row>
    <row r="59" spans="2:10" x14ac:dyDescent="0.25">
      <c r="B59" s="603" t="s">
        <v>828</v>
      </c>
      <c r="C59" s="617" t="str">
        <f>IF(C60*0.1&lt;C58,"Exceed 10% Rule","")</f>
        <v/>
      </c>
      <c r="D59" s="617" t="str">
        <f>IF(D60*0.1&lt;D58,"Exceeds 10% Rule","")</f>
        <v/>
      </c>
      <c r="E59" s="618" t="str">
        <f>IF(E60*0.1&lt;E58,"Exceed 10% Rule","")</f>
        <v/>
      </c>
    </row>
    <row r="60" spans="2:10" x14ac:dyDescent="0.25">
      <c r="B60" s="619" t="s">
        <v>23</v>
      </c>
      <c r="C60" s="638">
        <f>SUM(C48:C58)</f>
        <v>0</v>
      </c>
      <c r="D60" s="638">
        <f>SUM(D48:D58)</f>
        <v>0</v>
      </c>
      <c r="E60" s="639">
        <f>SUM(E49:E58)</f>
        <v>0</v>
      </c>
    </row>
    <row r="61" spans="2:10" x14ac:dyDescent="0.25">
      <c r="B61" s="619" t="s">
        <v>24</v>
      </c>
      <c r="C61" s="638">
        <f>C46+C60</f>
        <v>0</v>
      </c>
      <c r="D61" s="638">
        <f>D46+D60</f>
        <v>0</v>
      </c>
      <c r="E61" s="639">
        <f>E46+E60</f>
        <v>0</v>
      </c>
    </row>
    <row r="62" spans="2:10" x14ac:dyDescent="0.25">
      <c r="B62" s="603" t="s">
        <v>25</v>
      </c>
      <c r="C62" s="603"/>
      <c r="D62" s="605"/>
      <c r="E62" s="606"/>
    </row>
    <row r="63" spans="2:10" x14ac:dyDescent="0.25">
      <c r="B63" s="613"/>
      <c r="C63" s="608"/>
      <c r="D63" s="610"/>
      <c r="E63" s="611"/>
    </row>
    <row r="64" spans="2:10" x14ac:dyDescent="0.25">
      <c r="B64" s="613"/>
      <c r="C64" s="608"/>
      <c r="D64" s="610"/>
      <c r="E64" s="611"/>
      <c r="G64" s="820" t="str">
        <f>CONCATENATE("Desired Carryover Into ",E1+1,"")</f>
        <v>Desired Carryover Into 2014</v>
      </c>
      <c r="H64" s="821"/>
      <c r="I64" s="821"/>
      <c r="J64" s="822"/>
    </row>
    <row r="65" spans="2:11" x14ac:dyDescent="0.25">
      <c r="B65" s="613"/>
      <c r="C65" s="608"/>
      <c r="D65" s="610"/>
      <c r="E65" s="611"/>
      <c r="G65" s="622"/>
      <c r="H65" s="623"/>
      <c r="I65" s="624"/>
      <c r="J65" s="625"/>
    </row>
    <row r="66" spans="2:11" x14ac:dyDescent="0.25">
      <c r="B66" s="613"/>
      <c r="C66" s="608"/>
      <c r="D66" s="610"/>
      <c r="E66" s="611"/>
      <c r="G66" s="626" t="s">
        <v>715</v>
      </c>
      <c r="H66" s="624"/>
      <c r="I66" s="624"/>
      <c r="J66" s="627">
        <v>0</v>
      </c>
    </row>
    <row r="67" spans="2:11" x14ac:dyDescent="0.25">
      <c r="B67" s="613"/>
      <c r="C67" s="608"/>
      <c r="D67" s="610"/>
      <c r="E67" s="611"/>
      <c r="G67" s="622" t="s">
        <v>716</v>
      </c>
      <c r="H67" s="623"/>
      <c r="I67" s="623"/>
      <c r="J67" s="628" t="str">
        <f>IF(J66=0,"",ROUND((J66+E80-G79)/inputOth!E7*1000,3)-G84)</f>
        <v/>
      </c>
    </row>
    <row r="68" spans="2:11" x14ac:dyDescent="0.25">
      <c r="B68" s="613"/>
      <c r="C68" s="608"/>
      <c r="D68" s="610"/>
      <c r="E68" s="611"/>
      <c r="G68" s="629" t="str">
        <f>CONCATENATE("",E1," Tot Exp/Non-Appr Must Be:")</f>
        <v>2013 Tot Exp/Non-Appr Must Be:</v>
      </c>
      <c r="H68" s="630"/>
      <c r="I68" s="631"/>
      <c r="J68" s="632">
        <f>IF(J66&gt;0,IF(E77&lt;E61,IF(J66=G79,E77,((J66-G79)*(1-D79))+E61),E77+(J66-G79)),0)</f>
        <v>0</v>
      </c>
    </row>
    <row r="69" spans="2:11" x14ac:dyDescent="0.25">
      <c r="B69" s="613"/>
      <c r="C69" s="608"/>
      <c r="D69" s="610"/>
      <c r="E69" s="611"/>
      <c r="G69" s="633" t="s">
        <v>825</v>
      </c>
      <c r="H69" s="634"/>
      <c r="I69" s="634"/>
      <c r="J69" s="635">
        <f>IF(J66&gt;0,J68-E77,0)</f>
        <v>0</v>
      </c>
    </row>
    <row r="70" spans="2:11" x14ac:dyDescent="0.25">
      <c r="B70" s="612" t="s">
        <v>215</v>
      </c>
      <c r="C70" s="608"/>
      <c r="D70" s="610"/>
      <c r="E70" s="606" t="str">
        <f>nhood!E8</f>
        <v/>
      </c>
      <c r="F70" s="644"/>
    </row>
    <row r="71" spans="2:11" x14ac:dyDescent="0.25">
      <c r="B71" s="612" t="s">
        <v>213</v>
      </c>
      <c r="C71" s="616"/>
      <c r="D71" s="610"/>
      <c r="E71" s="611"/>
      <c r="F71" s="644"/>
      <c r="G71" s="820" t="str">
        <f>CONCATENATE("Projected Carryover Into ",E1+1,"")</f>
        <v>Projected Carryover Into 2014</v>
      </c>
      <c r="H71" s="823"/>
      <c r="I71" s="823"/>
      <c r="J71" s="824"/>
    </row>
    <row r="72" spans="2:11" x14ac:dyDescent="0.25">
      <c r="B72" s="612" t="s">
        <v>622</v>
      </c>
      <c r="C72" s="617" t="str">
        <f>IF(C73*0.1&lt;C71,"Exceed 10% Rule","")</f>
        <v/>
      </c>
      <c r="D72" s="617" t="str">
        <f>IF(D73*0.1&lt;D71,"Exceed 10% Rule","")</f>
        <v/>
      </c>
      <c r="E72" s="618" t="str">
        <f>IF(E73*0.1&lt;E71,"Exceed 10% Rule","")</f>
        <v/>
      </c>
      <c r="F72" s="644"/>
      <c r="G72" s="676"/>
      <c r="H72" s="623"/>
      <c r="I72" s="623"/>
      <c r="J72" s="677"/>
    </row>
    <row r="73" spans="2:11" x14ac:dyDescent="0.25">
      <c r="B73" s="619" t="s">
        <v>26</v>
      </c>
      <c r="C73" s="638">
        <f>SUM(C63:C71)</f>
        <v>0</v>
      </c>
      <c r="D73" s="638">
        <f>SUM(D63:D71)</f>
        <v>0</v>
      </c>
      <c r="E73" s="639">
        <f>SUM(E63:E71)</f>
        <v>0</v>
      </c>
      <c r="F73" s="644"/>
      <c r="G73" s="640">
        <f>D74</f>
        <v>0</v>
      </c>
      <c r="H73" s="641" t="str">
        <f>CONCATENATE("",E1-1," Ending Cash Balance (est.)")</f>
        <v>2012 Ending Cash Balance (est.)</v>
      </c>
      <c r="I73" s="642"/>
      <c r="J73" s="677"/>
    </row>
    <row r="74" spans="2:11" x14ac:dyDescent="0.25">
      <c r="B74" s="603" t="s">
        <v>119</v>
      </c>
      <c r="C74" s="643">
        <f>C61-C73</f>
        <v>0</v>
      </c>
      <c r="D74" s="643">
        <f>D61-D73</f>
        <v>0</v>
      </c>
      <c r="E74" s="609" t="s">
        <v>290</v>
      </c>
      <c r="F74" s="644"/>
      <c r="G74" s="640">
        <f>E60</f>
        <v>0</v>
      </c>
      <c r="H74" s="624" t="str">
        <f>CONCATENATE("",E1," Non-AV Receipts (est.)")</f>
        <v>2013 Non-AV Receipts (est.)</v>
      </c>
      <c r="I74" s="642"/>
      <c r="J74" s="677"/>
    </row>
    <row r="75" spans="2:11" x14ac:dyDescent="0.25">
      <c r="B75" s="645" t="str">
        <f>CONCATENATE("",E1-2,"/",E1-1," Budget Authority Amount:")</f>
        <v>2011/2012 Budget Authority Amount:</v>
      </c>
      <c r="C75" s="646">
        <f>inputOth!B48</f>
        <v>0</v>
      </c>
      <c r="D75" s="646">
        <f>inputPrYr!D18</f>
        <v>0</v>
      </c>
      <c r="E75" s="609" t="s">
        <v>290</v>
      </c>
      <c r="F75" s="648"/>
      <c r="G75" s="649">
        <f>IF(E79&gt;0,E78,E80)</f>
        <v>0</v>
      </c>
      <c r="H75" s="624" t="str">
        <f>CONCATENATE("",E1," Ad Valorem Tax (est.)")</f>
        <v>2013 Ad Valorem Tax (est.)</v>
      </c>
      <c r="I75" s="642"/>
      <c r="J75" s="677"/>
      <c r="K75" s="650" t="str">
        <f>IF(G75=E80,"","Note: Does not include Delinquent Taxes")</f>
        <v/>
      </c>
    </row>
    <row r="76" spans="2:11" x14ac:dyDescent="0.25">
      <c r="B76" s="645"/>
      <c r="C76" s="808" t="s">
        <v>623</v>
      </c>
      <c r="D76" s="809"/>
      <c r="E76" s="611"/>
      <c r="F76" s="678" t="str">
        <f>IF(E73/0.95-E73&lt;E76,"Exceeds 5%","")</f>
        <v/>
      </c>
      <c r="G76" s="679">
        <f>SUM(G73:G75)</f>
        <v>0</v>
      </c>
      <c r="H76" s="624" t="str">
        <f>CONCATENATE("Total ",E1," Resources Available")</f>
        <v>Total 2013 Resources Available</v>
      </c>
      <c r="I76" s="680"/>
      <c r="J76" s="677"/>
    </row>
    <row r="77" spans="2:11" x14ac:dyDescent="0.25">
      <c r="B77" s="652" t="str">
        <f>CONCATENATE(C95,"     ",D95)</f>
        <v xml:space="preserve">     </v>
      </c>
      <c r="C77" s="810" t="s">
        <v>624</v>
      </c>
      <c r="D77" s="811"/>
      <c r="E77" s="606">
        <f>E73+E76</f>
        <v>0</v>
      </c>
      <c r="F77" s="644"/>
      <c r="G77" s="681"/>
      <c r="H77" s="682"/>
      <c r="I77" s="623"/>
      <c r="J77" s="677"/>
    </row>
    <row r="78" spans="2:11" x14ac:dyDescent="0.25">
      <c r="B78" s="652" t="str">
        <f>CONCATENATE(C96,"     ",D96)</f>
        <v xml:space="preserve">     </v>
      </c>
      <c r="C78" s="654"/>
      <c r="D78" s="592" t="s">
        <v>28</v>
      </c>
      <c r="E78" s="655">
        <f>IF(E77-E61&gt;0,E77-E61,0)</f>
        <v>0</v>
      </c>
      <c r="F78" s="644"/>
      <c r="G78" s="649">
        <f>ROUND(C73*0.05+C73,0)</f>
        <v>0</v>
      </c>
      <c r="H78" s="624" t="str">
        <f>CONCATENATE("Less ",E1-2," Expenditures + 5%")</f>
        <v>Less 2011 Expenditures + 5%</v>
      </c>
      <c r="I78" s="680"/>
      <c r="J78" s="677"/>
    </row>
    <row r="79" spans="2:11" x14ac:dyDescent="0.25">
      <c r="B79" s="592"/>
      <c r="C79" s="403" t="s">
        <v>625</v>
      </c>
      <c r="D79" s="656">
        <f>inputOth!E40</f>
        <v>0</v>
      </c>
      <c r="E79" s="606">
        <f>ROUND(IF(E78&gt;0,(E78*D79),0),0)</f>
        <v>0</v>
      </c>
      <c r="F79" s="644"/>
      <c r="G79" s="657">
        <f>G76-G78</f>
        <v>0</v>
      </c>
      <c r="H79" s="658" t="str">
        <f>CONCATENATE("Projected ",E1+1," carryover (est.)")</f>
        <v>Projected 2014 carryover (est.)</v>
      </c>
      <c r="I79" s="683"/>
      <c r="J79" s="684"/>
    </row>
    <row r="80" spans="2:11" ht="16.5" thickBot="1" x14ac:dyDescent="0.3">
      <c r="B80" s="589"/>
      <c r="C80" s="815" t="str">
        <f>CONCATENATE("Amount of  ",E1-1," Ad Valorem Tax")</f>
        <v>Amount of  2012 Ad Valorem Tax</v>
      </c>
      <c r="D80" s="816"/>
      <c r="E80" s="662">
        <f>E78+E79</f>
        <v>0</v>
      </c>
      <c r="F80" s="685" t="e">
        <f>IF('Library Grant'!F33="","",IF('Library Grant'!F33="Qualify","Qualifies for State Library Grant","See 'Library Grant' tab"))</f>
        <v>#VALUE!</v>
      </c>
    </row>
    <row r="81" spans="2:10" ht="16.5" thickTop="1" x14ac:dyDescent="0.25">
      <c r="B81" s="592"/>
      <c r="C81" s="815"/>
      <c r="D81" s="816"/>
      <c r="E81" s="663"/>
      <c r="F81" s="644"/>
      <c r="G81" s="817" t="s">
        <v>826</v>
      </c>
      <c r="H81" s="818"/>
      <c r="I81" s="818"/>
      <c r="J81" s="819"/>
    </row>
    <row r="82" spans="2:10" x14ac:dyDescent="0.25">
      <c r="B82" s="592"/>
      <c r="C82" s="592"/>
      <c r="D82" s="592"/>
      <c r="E82" s="592"/>
      <c r="G82" s="664"/>
      <c r="H82" s="641"/>
      <c r="I82" s="665"/>
      <c r="J82" s="666"/>
    </row>
    <row r="83" spans="2:10" x14ac:dyDescent="0.25">
      <c r="B83" s="592" t="s">
        <v>9</v>
      </c>
      <c r="C83" s="686"/>
      <c r="D83" s="592"/>
      <c r="E83" s="592"/>
      <c r="F83" s="644"/>
      <c r="G83" s="667" t="str">
        <f>summ!I20</f>
        <v xml:space="preserve"> </v>
      </c>
      <c r="H83" s="641" t="str">
        <f>CONCATENATE("",E1," Fund Mill Rate")</f>
        <v>2013 Fund Mill Rate</v>
      </c>
      <c r="I83" s="665"/>
      <c r="J83" s="666"/>
    </row>
    <row r="84" spans="2:10" x14ac:dyDescent="0.25">
      <c r="G84" s="668" t="str">
        <f>summ!F20</f>
        <v xml:space="preserve">  </v>
      </c>
      <c r="H84" s="641" t="str">
        <f>CONCATENATE("",E1-1," Fund Mill Rate")</f>
        <v>2012 Fund Mill Rate</v>
      </c>
      <c r="I84" s="665"/>
      <c r="J84" s="666"/>
    </row>
    <row r="85" spans="2:10" x14ac:dyDescent="0.25">
      <c r="G85" s="670">
        <f>summ!I32</f>
        <v>18.600000000000001</v>
      </c>
      <c r="H85" s="641" t="str">
        <f>CONCATENATE("Total ",E1," Mill Rate")</f>
        <v>Total 2013 Mill Rate</v>
      </c>
      <c r="I85" s="665"/>
      <c r="J85" s="666"/>
    </row>
    <row r="86" spans="2:10" x14ac:dyDescent="0.25">
      <c r="G86" s="668">
        <f>summ!F32</f>
        <v>20.238</v>
      </c>
      <c r="H86" s="671" t="str">
        <f>CONCATENATE("Total ",E1-1," Mill Rate")</f>
        <v>Total 2012 Mill Rate</v>
      </c>
      <c r="I86" s="672"/>
      <c r="J86" s="673"/>
    </row>
    <row r="87" spans="2:10" x14ac:dyDescent="0.25">
      <c r="G87" s="687"/>
      <c r="H87" s="687"/>
      <c r="I87" s="687"/>
      <c r="J87" s="687"/>
    </row>
    <row r="88" spans="2:10" x14ac:dyDescent="0.25">
      <c r="C88" s="688" t="s">
        <v>827</v>
      </c>
      <c r="D88" s="688" t="s">
        <v>827</v>
      </c>
    </row>
    <row r="89" spans="2:10" x14ac:dyDescent="0.25">
      <c r="C89" s="688" t="s">
        <v>827</v>
      </c>
      <c r="D89" s="688" t="s">
        <v>827</v>
      </c>
    </row>
    <row r="91" spans="2:10" x14ac:dyDescent="0.25">
      <c r="C91" s="688" t="s">
        <v>827</v>
      </c>
      <c r="D91" s="688" t="s">
        <v>827</v>
      </c>
    </row>
    <row r="92" spans="2:10" x14ac:dyDescent="0.25">
      <c r="C92" s="688" t="s">
        <v>827</v>
      </c>
      <c r="D92" s="688" t="s">
        <v>827</v>
      </c>
    </row>
    <row r="93" spans="2:10" hidden="1" x14ac:dyDescent="0.25">
      <c r="C93" s="689" t="str">
        <f>IF(C33&gt;C35,"See Tab A","")</f>
        <v/>
      </c>
      <c r="D93" s="689" t="str">
        <f>IF(D33&gt;D35,"See Tab C","")</f>
        <v/>
      </c>
    </row>
    <row r="94" spans="2:10" hidden="1" x14ac:dyDescent="0.25">
      <c r="C94" s="689" t="str">
        <f>IF(C34&lt;0,"See Tab B","")</f>
        <v/>
      </c>
      <c r="D94" s="689" t="str">
        <f>IF(D34&lt;0,"See Tab D","")</f>
        <v/>
      </c>
    </row>
    <row r="95" spans="2:10" hidden="1" x14ac:dyDescent="0.25">
      <c r="C95" s="690" t="str">
        <f>IF(C73&gt;C75,"See Tab A","")</f>
        <v/>
      </c>
      <c r="D95" s="690" t="str">
        <f>IF(D73&gt;D75,"See Tab C","")</f>
        <v/>
      </c>
    </row>
    <row r="96" spans="2:10" hidden="1" x14ac:dyDescent="0.25">
      <c r="C96" s="690" t="str">
        <f>IF(C74&lt;0,"See Tab B","")</f>
        <v/>
      </c>
      <c r="D96" s="690" t="str">
        <f>IF(D74&lt;0,"See Tab D","")</f>
        <v/>
      </c>
    </row>
  </sheetData>
  <sheetProtection sheet="1"/>
  <mergeCells count="14">
    <mergeCell ref="G24:J24"/>
    <mergeCell ref="G31:J31"/>
    <mergeCell ref="C36:D36"/>
    <mergeCell ref="C37:D37"/>
    <mergeCell ref="C40:D40"/>
    <mergeCell ref="C77:D77"/>
    <mergeCell ref="C80:D80"/>
    <mergeCell ref="C81:D81"/>
    <mergeCell ref="G81:J81"/>
    <mergeCell ref="C41:D41"/>
    <mergeCell ref="G41:J41"/>
    <mergeCell ref="G64:J64"/>
    <mergeCell ref="G71:J71"/>
    <mergeCell ref="C76:D76"/>
  </mergeCells>
  <conditionalFormatting sqref="C73">
    <cfRule type="cellIs" dxfId="109" priority="16" stopIfTrue="1" operator="greaterThan">
      <formula>$C$75</formula>
    </cfRule>
  </conditionalFormatting>
  <conditionalFormatting sqref="C74:D74 C34:D34">
    <cfRule type="cellIs" dxfId="108" priority="15" stopIfTrue="1" operator="lessThan">
      <formula>0</formula>
    </cfRule>
  </conditionalFormatting>
  <conditionalFormatting sqref="D73">
    <cfRule type="cellIs" dxfId="107" priority="14" stopIfTrue="1" operator="greaterThan">
      <formula>$D$75</formula>
    </cfRule>
  </conditionalFormatting>
  <conditionalFormatting sqref="C33">
    <cfRule type="cellIs" dxfId="106" priority="13" stopIfTrue="1" operator="greaterThan">
      <formula>$C$35</formula>
    </cfRule>
  </conditionalFormatting>
  <conditionalFormatting sqref="D33">
    <cfRule type="cellIs" dxfId="105" priority="12" stopIfTrue="1" operator="greaterThan">
      <formula>$D$35</formula>
    </cfRule>
  </conditionalFormatting>
  <conditionalFormatting sqref="C31">
    <cfRule type="cellIs" dxfId="104" priority="11" stopIfTrue="1" operator="greaterThan">
      <formula>$C$33*0.1</formula>
    </cfRule>
  </conditionalFormatting>
  <conditionalFormatting sqref="D31">
    <cfRule type="cellIs" dxfId="103" priority="10" stopIfTrue="1" operator="greaterThan">
      <formula>$D$33*0.1</formula>
    </cfRule>
  </conditionalFormatting>
  <conditionalFormatting sqref="E31">
    <cfRule type="cellIs" dxfId="102" priority="9" stopIfTrue="1" operator="greaterThan">
      <formula>$E$33*0.1</formula>
    </cfRule>
  </conditionalFormatting>
  <conditionalFormatting sqref="C18 C58:E58">
    <cfRule type="cellIs" dxfId="101" priority="8" stopIfTrue="1" operator="greaterThan">
      <formula>$C$20*0.1</formula>
    </cfRule>
  </conditionalFormatting>
  <conditionalFormatting sqref="D18">
    <cfRule type="cellIs" dxfId="100" priority="7" stopIfTrue="1" operator="greaterThan">
      <formula>$D$20*0.1</formula>
    </cfRule>
  </conditionalFormatting>
  <conditionalFormatting sqref="E18">
    <cfRule type="cellIs" dxfId="99" priority="6" stopIfTrue="1" operator="greaterThan">
      <formula>$E$20*0.1+$E$40</formula>
    </cfRule>
  </conditionalFormatting>
  <conditionalFormatting sqref="C71">
    <cfRule type="cellIs" dxfId="98" priority="5" stopIfTrue="1" operator="greaterThan">
      <formula>$C$73*0.1</formula>
    </cfRule>
  </conditionalFormatting>
  <conditionalFormatting sqref="D71">
    <cfRule type="cellIs" dxfId="97" priority="4" stopIfTrue="1" operator="greaterThan">
      <formula>$D$73*0.1</formula>
    </cfRule>
  </conditionalFormatting>
  <conditionalFormatting sqref="E71">
    <cfRule type="cellIs" dxfId="96" priority="3" stopIfTrue="1" operator="greaterThan">
      <formula>$E$73*0.1</formula>
    </cfRule>
  </conditionalFormatting>
  <conditionalFormatting sqref="E36">
    <cfRule type="cellIs" dxfId="95" priority="2" stopIfTrue="1" operator="greaterThan">
      <formula>$E$33/0.95-$E$33</formula>
    </cfRule>
  </conditionalFormatting>
  <conditionalFormatting sqref="E76">
    <cfRule type="cellIs" dxfId="94" priority="1" stopIfTrue="1" operator="greaterThan">
      <formula>$E$73/0.98-$E$73</formula>
    </cfRule>
  </conditionalFormatting>
  <pageMargins left="0.75" right="0.75" top="1" bottom="1" header="0.5" footer="0.5"/>
  <pageSetup scale="56" orientation="portrait" blackAndWhite="1" r:id="rId1"/>
  <headerFooter alignWithMargins="0">
    <oddHeader>&amp;RState of Kansas
City</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75"/>
  <sheetViews>
    <sheetView topLeftCell="A22" zoomScaleNormal="100" workbookViewId="0">
      <selection activeCell="E29" sqref="E29"/>
    </sheetView>
  </sheetViews>
  <sheetFormatPr defaultRowHeight="15.75" x14ac:dyDescent="0.2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x14ac:dyDescent="0.25">
      <c r="B1" s="13" t="str">
        <f>inputPrYr!D2</f>
        <v>Liberty Township</v>
      </c>
      <c r="C1" s="14"/>
      <c r="D1" s="14"/>
      <c r="E1" s="15">
        <f>inputPrYr!D5</f>
        <v>2013</v>
      </c>
    </row>
    <row r="2" spans="2:5" x14ac:dyDescent="0.25">
      <c r="B2" s="17"/>
      <c r="C2" s="14"/>
      <c r="D2" s="61"/>
      <c r="E2" s="62"/>
    </row>
    <row r="3" spans="2:5" x14ac:dyDescent="0.25">
      <c r="B3" s="541" t="s">
        <v>721</v>
      </c>
      <c r="C3" s="66"/>
      <c r="D3" s="66"/>
      <c r="E3" s="66"/>
    </row>
    <row r="4" spans="2:5" x14ac:dyDescent="0.25">
      <c r="B4" s="22" t="s">
        <v>10</v>
      </c>
      <c r="C4" s="388" t="s">
        <v>11</v>
      </c>
      <c r="D4" s="391" t="s">
        <v>12</v>
      </c>
      <c r="E4" s="23" t="s">
        <v>13</v>
      </c>
    </row>
    <row r="5" spans="2:5" x14ac:dyDescent="0.25">
      <c r="B5" s="400" t="str">
        <f>inputPrYr!B19</f>
        <v>Road</v>
      </c>
      <c r="C5" s="389" t="str">
        <f>gen!C5</f>
        <v>Actual for 2011</v>
      </c>
      <c r="D5" s="389" t="str">
        <f>gen!D5</f>
        <v>Estimate for 2012</v>
      </c>
      <c r="E5" s="26" t="str">
        <f>gen!E5</f>
        <v>Year for 2013</v>
      </c>
    </row>
    <row r="6" spans="2:5" x14ac:dyDescent="0.25">
      <c r="B6" s="27" t="s">
        <v>118</v>
      </c>
      <c r="C6" s="29">
        <v>119</v>
      </c>
      <c r="D6" s="390">
        <f>C44</f>
        <v>1348</v>
      </c>
      <c r="E6" s="32">
        <f>D44</f>
        <v>1246</v>
      </c>
    </row>
    <row r="7" spans="2:5" x14ac:dyDescent="0.25">
      <c r="B7" s="27" t="s">
        <v>120</v>
      </c>
      <c r="C7" s="390"/>
      <c r="D7" s="390"/>
      <c r="E7" s="33"/>
    </row>
    <row r="8" spans="2:5" x14ac:dyDescent="0.25">
      <c r="B8" s="27" t="s">
        <v>16</v>
      </c>
      <c r="C8" s="29">
        <v>8028</v>
      </c>
      <c r="D8" s="390">
        <f>IF(inputPrYr!H15&gt;0,inputPrYr!G19,inputPrYr!E19)</f>
        <v>11271</v>
      </c>
      <c r="E8" s="33" t="s">
        <v>290</v>
      </c>
    </row>
    <row r="9" spans="2:5" x14ac:dyDescent="0.25">
      <c r="B9" s="27" t="s">
        <v>17</v>
      </c>
      <c r="C9" s="29">
        <v>32</v>
      </c>
      <c r="D9" s="29">
        <v>0</v>
      </c>
      <c r="E9" s="34"/>
    </row>
    <row r="10" spans="2:5" x14ac:dyDescent="0.25">
      <c r="B10" s="27" t="s">
        <v>18</v>
      </c>
      <c r="C10" s="29">
        <v>432</v>
      </c>
      <c r="D10" s="29">
        <v>333</v>
      </c>
      <c r="E10" s="32">
        <f>mvalloc!G14</f>
        <v>425</v>
      </c>
    </row>
    <row r="11" spans="2:5" x14ac:dyDescent="0.25">
      <c r="B11" s="27" t="s">
        <v>19</v>
      </c>
      <c r="C11" s="29">
        <v>4</v>
      </c>
      <c r="D11" s="29">
        <v>4</v>
      </c>
      <c r="E11" s="32">
        <f>mvalloc!I14</f>
        <v>4</v>
      </c>
    </row>
    <row r="12" spans="2:5" x14ac:dyDescent="0.25">
      <c r="B12" s="27" t="s">
        <v>99</v>
      </c>
      <c r="C12" s="29">
        <v>90</v>
      </c>
      <c r="D12" s="29">
        <v>86</v>
      </c>
      <c r="E12" s="32">
        <f>mvalloc!J14</f>
        <v>88</v>
      </c>
    </row>
    <row r="13" spans="2:5" x14ac:dyDescent="0.25">
      <c r="B13" s="27" t="s">
        <v>100</v>
      </c>
      <c r="C13" s="29">
        <v>931</v>
      </c>
      <c r="D13" s="29">
        <v>950</v>
      </c>
      <c r="E13" s="32">
        <f>inputOth!E36</f>
        <v>800</v>
      </c>
    </row>
    <row r="14" spans="2:5" x14ac:dyDescent="0.25">
      <c r="B14" s="38" t="s">
        <v>938</v>
      </c>
      <c r="C14" s="29">
        <v>4400</v>
      </c>
      <c r="D14" s="29">
        <v>4000</v>
      </c>
      <c r="E14" s="34">
        <v>4000</v>
      </c>
    </row>
    <row r="15" spans="2:5" x14ac:dyDescent="0.25">
      <c r="B15" s="38" t="s">
        <v>939</v>
      </c>
      <c r="C15" s="29">
        <v>2700</v>
      </c>
      <c r="D15" s="29">
        <v>2000</v>
      </c>
      <c r="E15" s="34">
        <v>2000</v>
      </c>
    </row>
    <row r="16" spans="2:5" x14ac:dyDescent="0.25">
      <c r="B16" s="38"/>
      <c r="C16" s="29"/>
      <c r="D16" s="29"/>
      <c r="E16" s="34"/>
    </row>
    <row r="17" spans="2:5" x14ac:dyDescent="0.25">
      <c r="B17" s="38"/>
      <c r="C17" s="29"/>
      <c r="D17" s="29"/>
      <c r="E17" s="34"/>
    </row>
    <row r="18" spans="2:5" x14ac:dyDescent="0.25">
      <c r="B18" s="38"/>
      <c r="C18" s="29"/>
      <c r="D18" s="29"/>
      <c r="E18" s="34"/>
    </row>
    <row r="19" spans="2:5" x14ac:dyDescent="0.25">
      <c r="B19" s="38"/>
      <c r="C19" s="29"/>
      <c r="D19" s="29"/>
      <c r="E19" s="34"/>
    </row>
    <row r="20" spans="2:5" x14ac:dyDescent="0.25">
      <c r="B20" s="38" t="s">
        <v>22</v>
      </c>
      <c r="C20" s="29"/>
      <c r="D20" s="29"/>
      <c r="E20" s="34"/>
    </row>
    <row r="21" spans="2:5" x14ac:dyDescent="0.25">
      <c r="B21" s="39" t="s">
        <v>213</v>
      </c>
      <c r="C21" s="29"/>
      <c r="D21" s="29"/>
      <c r="E21" s="34"/>
    </row>
    <row r="22" spans="2:5" x14ac:dyDescent="0.25">
      <c r="B22" s="39" t="s">
        <v>214</v>
      </c>
      <c r="C22" s="387" t="str">
        <f>IF(C23*0.1&lt;C21,"Exceed 10% Rule","")</f>
        <v/>
      </c>
      <c r="D22" s="387" t="str">
        <f>IF(D23*0.1&lt;D21,"Exceed 10% Rule","")</f>
        <v/>
      </c>
      <c r="E22" s="45" t="str">
        <f>IF(E23*0.1+E50&lt;E21,"Exceed 10% Rule","")</f>
        <v/>
      </c>
    </row>
    <row r="23" spans="2:5" x14ac:dyDescent="0.25">
      <c r="B23" s="41" t="s">
        <v>23</v>
      </c>
      <c r="C23" s="392">
        <f>SUM(C8:C21)</f>
        <v>16617</v>
      </c>
      <c r="D23" s="392">
        <f>SUM(D8:D21)</f>
        <v>18644</v>
      </c>
      <c r="E23" s="42">
        <f>SUM(E8:E21)</f>
        <v>7317</v>
      </c>
    </row>
    <row r="24" spans="2:5" x14ac:dyDescent="0.25">
      <c r="B24" s="43" t="s">
        <v>24</v>
      </c>
      <c r="C24" s="392">
        <f>C23+C6</f>
        <v>16736</v>
      </c>
      <c r="D24" s="392">
        <f>D23+D6</f>
        <v>19992</v>
      </c>
      <c r="E24" s="42">
        <f>E23+E6</f>
        <v>8563</v>
      </c>
    </row>
    <row r="25" spans="2:5" x14ac:dyDescent="0.25">
      <c r="B25" s="27" t="s">
        <v>25</v>
      </c>
      <c r="C25" s="390"/>
      <c r="D25" s="390"/>
      <c r="E25" s="32"/>
    </row>
    <row r="26" spans="2:5" x14ac:dyDescent="0.25">
      <c r="B26" s="38" t="s">
        <v>125</v>
      </c>
      <c r="C26" s="29">
        <v>944</v>
      </c>
      <c r="D26" s="29"/>
      <c r="E26" s="34">
        <v>950</v>
      </c>
    </row>
    <row r="27" spans="2:5" x14ac:dyDescent="0.25">
      <c r="B27" s="37" t="s">
        <v>102</v>
      </c>
      <c r="C27" s="29">
        <v>1133</v>
      </c>
      <c r="D27" s="29">
        <v>1096</v>
      </c>
      <c r="E27" s="34">
        <v>1200</v>
      </c>
    </row>
    <row r="28" spans="2:5" x14ac:dyDescent="0.25">
      <c r="B28" s="38" t="s">
        <v>127</v>
      </c>
      <c r="C28" s="29"/>
      <c r="D28" s="29">
        <v>8000</v>
      </c>
      <c r="E28" s="34">
        <v>7000</v>
      </c>
    </row>
    <row r="29" spans="2:5" x14ac:dyDescent="0.25">
      <c r="B29" s="38" t="s">
        <v>105</v>
      </c>
      <c r="C29" s="29">
        <v>1694</v>
      </c>
      <c r="D29" s="29"/>
      <c r="E29" s="34">
        <v>5500</v>
      </c>
    </row>
    <row r="30" spans="2:5" x14ac:dyDescent="0.25">
      <c r="B30" s="38" t="s">
        <v>103</v>
      </c>
      <c r="C30" s="29">
        <v>11467</v>
      </c>
      <c r="D30" s="29">
        <v>9500</v>
      </c>
      <c r="E30" s="34">
        <v>5000</v>
      </c>
    </row>
    <row r="31" spans="2:5" x14ac:dyDescent="0.25">
      <c r="B31" s="38" t="s">
        <v>940</v>
      </c>
      <c r="C31" s="29">
        <v>150</v>
      </c>
      <c r="D31" s="29">
        <v>150</v>
      </c>
      <c r="E31" s="34">
        <v>101</v>
      </c>
    </row>
    <row r="32" spans="2:5" x14ac:dyDescent="0.25">
      <c r="B32" s="38"/>
      <c r="C32" s="29"/>
      <c r="D32" s="29"/>
      <c r="E32" s="34"/>
    </row>
    <row r="33" spans="2:11" x14ac:dyDescent="0.25">
      <c r="B33" s="38"/>
      <c r="C33" s="29"/>
      <c r="D33" s="29"/>
      <c r="E33" s="34"/>
    </row>
    <row r="34" spans="2:11" x14ac:dyDescent="0.25">
      <c r="B34" s="37"/>
      <c r="C34" s="29"/>
      <c r="D34" s="29"/>
      <c r="E34" s="34"/>
      <c r="G34" s="812" t="str">
        <f>CONCATENATE("Desired Carryover Into ",E1+1,"")</f>
        <v>Desired Carryover Into 2014</v>
      </c>
      <c r="H34" s="813"/>
      <c r="I34" s="813"/>
      <c r="J34" s="814"/>
    </row>
    <row r="35" spans="2:11" x14ac:dyDescent="0.25">
      <c r="B35" s="37"/>
      <c r="C35" s="29"/>
      <c r="D35" s="29"/>
      <c r="E35" s="34"/>
      <c r="G35" s="501"/>
      <c r="H35" s="488"/>
      <c r="I35" s="493"/>
      <c r="J35" s="502"/>
    </row>
    <row r="36" spans="2:11" x14ac:dyDescent="0.25">
      <c r="B36" s="38"/>
      <c r="C36" s="29"/>
      <c r="D36" s="29"/>
      <c r="E36" s="34"/>
      <c r="G36" s="503" t="s">
        <v>715</v>
      </c>
      <c r="H36" s="493"/>
      <c r="I36" s="493"/>
      <c r="J36" s="504">
        <v>0</v>
      </c>
    </row>
    <row r="37" spans="2:11" x14ac:dyDescent="0.25">
      <c r="B37" s="38"/>
      <c r="C37" s="29"/>
      <c r="D37" s="29"/>
      <c r="E37" s="34"/>
      <c r="G37" s="501" t="s">
        <v>716</v>
      </c>
      <c r="H37" s="488"/>
      <c r="I37" s="488"/>
      <c r="J37" s="705" t="str">
        <f>IF(J36=0,"",ROUND((J36+E50-G49)/inputOth!E7*1000,3)-G54)</f>
        <v/>
      </c>
    </row>
    <row r="38" spans="2:11" x14ac:dyDescent="0.25">
      <c r="B38" s="27" t="s">
        <v>104</v>
      </c>
      <c r="C38" s="29"/>
      <c r="D38" s="29"/>
      <c r="E38" s="34"/>
      <c r="G38" s="706" t="str">
        <f>CONCATENATE("",E1," Tot Exp/Non-Appr Must Be:")</f>
        <v>2013 Tot Exp/Non-Appr Must Be:</v>
      </c>
      <c r="H38" s="587"/>
      <c r="I38" s="699"/>
      <c r="J38" s="707">
        <f>IF(J36&gt;0,IF(E47&lt;E16,IF(J36=G49,E47,((J36-G49)*(1-D49))+E16),E47+(J36-G49)),0)</f>
        <v>0</v>
      </c>
    </row>
    <row r="39" spans="2:11" x14ac:dyDescent="0.25">
      <c r="B39" s="27" t="s">
        <v>626</v>
      </c>
      <c r="C39" s="393" t="str">
        <f>IF(C24*0.25&lt;C38,"Not Authorized","")</f>
        <v/>
      </c>
      <c r="D39" s="393" t="str">
        <f>IF(D24*0.25&lt;D38,"Not Authorized","")</f>
        <v/>
      </c>
      <c r="E39" s="67" t="str">
        <f>IF(E24*0.25+E50&lt;E38,"Not Authorized","")</f>
        <v/>
      </c>
      <c r="G39" s="708" t="s">
        <v>825</v>
      </c>
      <c r="H39" s="709"/>
      <c r="I39" s="709"/>
      <c r="J39" s="710">
        <f>IF(J36&gt;0,J38-E47,0)</f>
        <v>0</v>
      </c>
    </row>
    <row r="40" spans="2:11" x14ac:dyDescent="0.25">
      <c r="B40" s="35" t="s">
        <v>215</v>
      </c>
      <c r="C40" s="29"/>
      <c r="D40" s="29"/>
      <c r="E40" s="46" t="str">
        <f>nhood!E9</f>
        <v/>
      </c>
    </row>
    <row r="41" spans="2:11" x14ac:dyDescent="0.25">
      <c r="B41" s="35" t="s">
        <v>213</v>
      </c>
      <c r="C41" s="29"/>
      <c r="D41" s="29"/>
      <c r="E41" s="34"/>
      <c r="G41" s="812" t="str">
        <f>CONCATENATE("Projected Carryover Into ",E1+1,"")</f>
        <v>Projected Carryover Into 2014</v>
      </c>
      <c r="H41" s="813"/>
      <c r="I41" s="813"/>
      <c r="J41" s="814"/>
    </row>
    <row r="42" spans="2:11" x14ac:dyDescent="0.25">
      <c r="B42" s="35" t="s">
        <v>622</v>
      </c>
      <c r="C42" s="387" t="str">
        <f>IF(C43*0.1&lt;C41,"Exceed 10% Rule","")</f>
        <v/>
      </c>
      <c r="D42" s="387" t="str">
        <f>IF(D43*0.1&lt;D41,"Exceed 10% Rule","")</f>
        <v/>
      </c>
      <c r="E42" s="45" t="str">
        <f>IF(E43*0.1&lt;E41,"Exceed 10% Rule","")</f>
        <v/>
      </c>
      <c r="G42" s="487"/>
      <c r="H42" s="488"/>
      <c r="I42" s="488"/>
      <c r="J42" s="489"/>
    </row>
    <row r="43" spans="2:11" x14ac:dyDescent="0.25">
      <c r="B43" s="43" t="s">
        <v>26</v>
      </c>
      <c r="C43" s="392">
        <f>SUM(C26:C38,C40:C41)</f>
        <v>15388</v>
      </c>
      <c r="D43" s="392">
        <f>SUM(D26:D38,D40:D41)</f>
        <v>18746</v>
      </c>
      <c r="E43" s="42">
        <f>SUM(E26:E38,E40:E41)</f>
        <v>19751</v>
      </c>
      <c r="G43" s="490">
        <f>D44</f>
        <v>1246</v>
      </c>
      <c r="H43" s="491" t="str">
        <f>CONCATENATE("",E1-1," Ending Cash Balance (est.)")</f>
        <v>2012 Ending Cash Balance (est.)</v>
      </c>
      <c r="I43" s="492"/>
      <c r="J43" s="489"/>
    </row>
    <row r="44" spans="2:11" x14ac:dyDescent="0.25">
      <c r="B44" s="27" t="s">
        <v>119</v>
      </c>
      <c r="C44" s="385">
        <f>C24-C43</f>
        <v>1348</v>
      </c>
      <c r="D44" s="385">
        <f>D24-D43</f>
        <v>1246</v>
      </c>
      <c r="E44" s="33" t="s">
        <v>290</v>
      </c>
      <c r="G44" s="490">
        <f>E23</f>
        <v>7317</v>
      </c>
      <c r="H44" s="493" t="str">
        <f>CONCATENATE("",E1," Non-AV Receipts (est.)")</f>
        <v>2013 Non-AV Receipts (est.)</v>
      </c>
      <c r="I44" s="492"/>
      <c r="J44" s="489"/>
    </row>
    <row r="45" spans="2:11" x14ac:dyDescent="0.2">
      <c r="B45" s="48" t="str">
        <f>CONCATENATE("",E1-2,"/",E1-1," Budget Authority Amount:")</f>
        <v>2011/2012 Budget Authority Amount:</v>
      </c>
      <c r="C45" s="132">
        <f>inputOth!B49</f>
        <v>15400</v>
      </c>
      <c r="D45" s="161">
        <f>inputPrYr!D19</f>
        <v>18746</v>
      </c>
      <c r="E45" s="33" t="s">
        <v>290</v>
      </c>
      <c r="F45" s="50"/>
      <c r="G45" s="494">
        <f>IF(D49&gt;0,E48,E50)</f>
        <v>11188</v>
      </c>
      <c r="H45" s="493" t="str">
        <f>CONCATENATE("",E1," Ad Valorem Tax (est.)")</f>
        <v>2013 Ad Valorem Tax (est.)</v>
      </c>
      <c r="I45" s="492"/>
      <c r="J45" s="489"/>
      <c r="K45" s="711" t="str">
        <f>IF(G45=E50,"","Note: Does not include Delinquent Taxes")</f>
        <v/>
      </c>
    </row>
    <row r="46" spans="2:11" x14ac:dyDescent="0.25">
      <c r="B46" s="48"/>
      <c r="C46" s="808" t="s">
        <v>623</v>
      </c>
      <c r="D46" s="809"/>
      <c r="E46" s="34"/>
      <c r="F46" s="486" t="str">
        <f>IF(E43/0.95-E43&lt;E46,"Exceeds 5%","")</f>
        <v/>
      </c>
      <c r="G46" s="490">
        <f>SUM(G43:G45)</f>
        <v>19751</v>
      </c>
      <c r="H46" s="493" t="str">
        <f>CONCATENATE("Total ",E1," Resources Available")</f>
        <v>Total 2013 Resources Available</v>
      </c>
      <c r="I46" s="492"/>
      <c r="J46" s="489"/>
    </row>
    <row r="47" spans="2:11" x14ac:dyDescent="0.25">
      <c r="B47" s="399" t="str">
        <f>CONCATENATE(C74,"     ",D74)</f>
        <v xml:space="preserve">     </v>
      </c>
      <c r="C47" s="810" t="s">
        <v>624</v>
      </c>
      <c r="D47" s="811"/>
      <c r="E47" s="32">
        <f>E43+E46</f>
        <v>19751</v>
      </c>
      <c r="G47" s="495"/>
      <c r="H47" s="493"/>
      <c r="I47" s="493"/>
      <c r="J47" s="489"/>
    </row>
    <row r="48" spans="2:11" x14ac:dyDescent="0.25">
      <c r="B48" s="399" t="str">
        <f>CONCATENATE(C75,"     ",D75)</f>
        <v xml:space="preserve">     </v>
      </c>
      <c r="C48" s="60"/>
      <c r="D48" s="52" t="s">
        <v>28</v>
      </c>
      <c r="E48" s="46">
        <f>IF(E47-E24&gt;0,E47-E24,0)</f>
        <v>11188</v>
      </c>
      <c r="G48" s="494">
        <f>ROUND(C43*0.05+C43,0)</f>
        <v>16157</v>
      </c>
      <c r="H48" s="493" t="str">
        <f>CONCATENATE("Less ",E1-2," Expenditures + 5%")</f>
        <v>Less 2011 Expenditures + 5%</v>
      </c>
      <c r="I48" s="492"/>
      <c r="J48" s="489"/>
    </row>
    <row r="49" spans="2:10" x14ac:dyDescent="0.25">
      <c r="B49" s="52"/>
      <c r="C49" s="403" t="s">
        <v>625</v>
      </c>
      <c r="D49" s="698">
        <f>inputOth!$E$40</f>
        <v>0</v>
      </c>
      <c r="E49" s="32">
        <f>ROUND(IF(D49&gt;0,(E48*D49),0),0)</f>
        <v>0</v>
      </c>
      <c r="G49" s="496">
        <f>G46-G48</f>
        <v>3594</v>
      </c>
      <c r="H49" s="497" t="str">
        <f>CONCATENATE("Projected ",E1+1," Carryover (est.)")</f>
        <v>Projected 2014 Carryover (est.)</v>
      </c>
      <c r="I49" s="498"/>
      <c r="J49" s="499"/>
    </row>
    <row r="50" spans="2:10" x14ac:dyDescent="0.25">
      <c r="B50" s="14"/>
      <c r="C50" s="806" t="str">
        <f>CONCATENATE("Amount of  ",$E$1-1," Ad Valorem Tax")</f>
        <v>Amount of  2012 Ad Valorem Tax</v>
      </c>
      <c r="D50" s="807"/>
      <c r="E50" s="46">
        <f>E48+E49</f>
        <v>11188</v>
      </c>
    </row>
    <row r="51" spans="2:10" x14ac:dyDescent="0.2">
      <c r="B51" s="14"/>
      <c r="C51" s="14"/>
      <c r="D51" s="14"/>
      <c r="E51" s="14"/>
      <c r="G51" s="803" t="s">
        <v>826</v>
      </c>
      <c r="H51" s="804"/>
      <c r="I51" s="804"/>
      <c r="J51" s="805"/>
    </row>
    <row r="52" spans="2:10" x14ac:dyDescent="0.25">
      <c r="B52" s="14"/>
      <c r="C52" s="14"/>
      <c r="D52" s="14"/>
      <c r="E52" s="14"/>
      <c r="G52" s="712"/>
      <c r="H52" s="491"/>
      <c r="I52" s="700"/>
      <c r="J52" s="713"/>
    </row>
    <row r="53" spans="2:10" x14ac:dyDescent="0.25">
      <c r="B53" s="68" t="s">
        <v>30</v>
      </c>
      <c r="C53" s="70"/>
      <c r="D53" s="14"/>
      <c r="E53" s="14"/>
      <c r="G53" s="714">
        <f>summ!I21</f>
        <v>16.405000000000001</v>
      </c>
      <c r="H53" s="491" t="str">
        <f>CONCATENATE("",E1," Fund Mill Rate")</f>
        <v>2013 Fund Mill Rate</v>
      </c>
      <c r="I53" s="700"/>
      <c r="J53" s="713"/>
    </row>
    <row r="54" spans="2:10" x14ac:dyDescent="0.25">
      <c r="B54" s="71" t="s">
        <v>31</v>
      </c>
      <c r="C54" s="404" t="str">
        <f>CONCATENATE("",E1-2," Actual Year")</f>
        <v>2011 Actual Year</v>
      </c>
      <c r="D54" s="14"/>
      <c r="E54" s="14"/>
      <c r="G54" s="715">
        <f>summ!F21</f>
        <v>17.981000000000002</v>
      </c>
      <c r="H54" s="491" t="str">
        <f>CONCATENATE("",E1-1," Fund Mill Rate")</f>
        <v>2012 Fund Mill Rate</v>
      </c>
      <c r="I54" s="700"/>
      <c r="J54" s="713"/>
    </row>
    <row r="55" spans="2:10" x14ac:dyDescent="0.25">
      <c r="B55" s="72" t="s">
        <v>14</v>
      </c>
      <c r="C55" s="538">
        <v>1189</v>
      </c>
      <c r="D55" s="14"/>
      <c r="E55" s="14"/>
      <c r="G55" s="716">
        <f>summ!I32</f>
        <v>18.600000000000001</v>
      </c>
      <c r="H55" s="491" t="str">
        <f>CONCATENATE("Total ",E1," Mill Rate")</f>
        <v>Total 2013 Mill Rate</v>
      </c>
      <c r="I55" s="700"/>
      <c r="J55" s="713"/>
    </row>
    <row r="56" spans="2:10" x14ac:dyDescent="0.25">
      <c r="B56" s="72" t="s">
        <v>33</v>
      </c>
      <c r="C56" s="132"/>
      <c r="D56" s="14"/>
      <c r="E56" s="14"/>
      <c r="G56" s="715">
        <f>summ!F32</f>
        <v>20.238</v>
      </c>
      <c r="H56" s="717" t="str">
        <f>CONCATENATE("Total ",E1-1," Mill Rate")</f>
        <v>Total 2012 Mill Rate</v>
      </c>
      <c r="I56" s="718"/>
      <c r="J56" s="719"/>
    </row>
    <row r="57" spans="2:10" x14ac:dyDescent="0.25">
      <c r="B57" s="72" t="s">
        <v>34</v>
      </c>
      <c r="C57" s="402">
        <f>C38</f>
        <v>0</v>
      </c>
      <c r="D57" s="74"/>
      <c r="E57" s="14"/>
    </row>
    <row r="58" spans="2:10" x14ac:dyDescent="0.25">
      <c r="B58" s="72" t="s">
        <v>247</v>
      </c>
      <c r="C58" s="402">
        <f>gen!C43</f>
        <v>0</v>
      </c>
      <c r="D58" s="826" t="str">
        <f>IF(AND(C58&gt;0,C59&gt;0),"Not Auth. Two General Transfers - Only One","")</f>
        <v/>
      </c>
      <c r="E58" s="827"/>
    </row>
    <row r="59" spans="2:10" x14ac:dyDescent="0.25">
      <c r="B59" s="75" t="s">
        <v>248</v>
      </c>
      <c r="C59" s="402">
        <f>gen!C45</f>
        <v>0</v>
      </c>
      <c r="D59" s="828"/>
      <c r="E59" s="827"/>
    </row>
    <row r="60" spans="2:10" x14ac:dyDescent="0.25">
      <c r="B60" s="76"/>
      <c r="C60" s="538"/>
      <c r="D60" s="14"/>
      <c r="E60" s="14"/>
    </row>
    <row r="61" spans="2:10" x14ac:dyDescent="0.25">
      <c r="B61" s="76" t="s">
        <v>22</v>
      </c>
      <c r="C61" s="538"/>
      <c r="D61" s="14"/>
      <c r="E61" s="14"/>
    </row>
    <row r="62" spans="2:10" x14ac:dyDescent="0.25">
      <c r="B62" s="76" t="s">
        <v>21</v>
      </c>
      <c r="C62" s="538"/>
      <c r="D62" s="14"/>
      <c r="E62" s="14"/>
    </row>
    <row r="63" spans="2:10" x14ac:dyDescent="0.25">
      <c r="B63" s="77" t="s">
        <v>24</v>
      </c>
      <c r="C63" s="132">
        <f>SUM(C55:C62)</f>
        <v>1189</v>
      </c>
      <c r="D63" s="14"/>
      <c r="E63" s="14"/>
    </row>
    <row r="64" spans="2:10" x14ac:dyDescent="0.25">
      <c r="B64" s="77" t="s">
        <v>26</v>
      </c>
      <c r="C64" s="538">
        <v>804</v>
      </c>
      <c r="D64" s="14"/>
      <c r="E64" s="14"/>
    </row>
    <row r="65" spans="2:5" x14ac:dyDescent="0.25">
      <c r="B65" s="77" t="s">
        <v>27</v>
      </c>
      <c r="C65" s="401">
        <f>SUM(C63-C64)</f>
        <v>385</v>
      </c>
      <c r="D65" s="14"/>
      <c r="E65" s="14"/>
    </row>
    <row r="66" spans="2:5" x14ac:dyDescent="0.25">
      <c r="B66" s="14"/>
      <c r="C66" s="14"/>
      <c r="D66" s="14"/>
      <c r="E66" s="14"/>
    </row>
    <row r="67" spans="2:5" x14ac:dyDescent="0.25">
      <c r="B67" s="52" t="s">
        <v>9</v>
      </c>
      <c r="C67" s="539"/>
      <c r="D67" s="14"/>
      <c r="E67" s="14"/>
    </row>
    <row r="69" spans="2:5" x14ac:dyDescent="0.25">
      <c r="B69" s="12"/>
    </row>
    <row r="74" spans="2:5" hidden="1" x14ac:dyDescent="0.25">
      <c r="C74" s="16" t="str">
        <f>IF(C43&gt;C45,"See Tab A","")</f>
        <v/>
      </c>
      <c r="D74" s="16" t="str">
        <f>IF(D43&gt;D45,"See Tab C","")</f>
        <v/>
      </c>
    </row>
    <row r="75" spans="2:5" hidden="1" x14ac:dyDescent="0.25">
      <c r="C75" s="16" t="str">
        <f>IF(C44&lt;0,"See Tab B","")</f>
        <v/>
      </c>
      <c r="D75" s="16" t="str">
        <f>IF(D44&lt;0,"See Tab D","")</f>
        <v/>
      </c>
    </row>
  </sheetData>
  <sheetProtection sheet="1"/>
  <mergeCells count="7">
    <mergeCell ref="C50:D50"/>
    <mergeCell ref="C46:D46"/>
    <mergeCell ref="C47:D47"/>
    <mergeCell ref="D58:E59"/>
    <mergeCell ref="G34:J34"/>
    <mergeCell ref="G41:J41"/>
    <mergeCell ref="G51:J51"/>
  </mergeCells>
  <phoneticPr fontId="0" type="noConversion"/>
  <conditionalFormatting sqref="E46">
    <cfRule type="cellIs" dxfId="93" priority="3" stopIfTrue="1" operator="greaterThan">
      <formula>$E$43/0.95-$E$43</formula>
    </cfRule>
  </conditionalFormatting>
  <conditionalFormatting sqref="C41">
    <cfRule type="cellIs" dxfId="92" priority="4" stopIfTrue="1" operator="greaterThan">
      <formula>$C$43*0.1</formula>
    </cfRule>
  </conditionalFormatting>
  <conditionalFormatting sqref="D41">
    <cfRule type="cellIs" dxfId="91" priority="5" stopIfTrue="1" operator="greaterThan">
      <formula>$D$43*0.1</formula>
    </cfRule>
  </conditionalFormatting>
  <conditionalFormatting sqref="E41">
    <cfRule type="cellIs" dxfId="90" priority="6" stopIfTrue="1" operator="greaterThan">
      <formula>$E$43*0.1</formula>
    </cfRule>
  </conditionalFormatting>
  <conditionalFormatting sqref="C21">
    <cfRule type="cellIs" dxfId="89" priority="7" stopIfTrue="1" operator="greaterThan">
      <formula>$C$23*0.1</formula>
    </cfRule>
  </conditionalFormatting>
  <conditionalFormatting sqref="D21">
    <cfRule type="cellIs" dxfId="88" priority="8" stopIfTrue="1" operator="greaterThan">
      <formula>$D$23*0.1</formula>
    </cfRule>
  </conditionalFormatting>
  <conditionalFormatting sqref="C38">
    <cfRule type="cellIs" dxfId="87" priority="9" stopIfTrue="1" operator="greaterThan">
      <formula>$C$24*0.25</formula>
    </cfRule>
  </conditionalFormatting>
  <conditionalFormatting sqref="E21">
    <cfRule type="cellIs" dxfId="86" priority="10" stopIfTrue="1" operator="greaterThan">
      <formula>$E$23*0.1+$E$50</formula>
    </cfRule>
  </conditionalFormatting>
  <conditionalFormatting sqref="C44">
    <cfRule type="cellIs" dxfId="85" priority="11" stopIfTrue="1" operator="lessThan">
      <formula>0</formula>
    </cfRule>
  </conditionalFormatting>
  <conditionalFormatting sqref="C43">
    <cfRule type="cellIs" dxfId="84" priority="1" stopIfTrue="1" operator="greaterThan">
      <formula>$C$45</formula>
    </cfRule>
    <cfRule type="cellIs" dxfId="83" priority="12" stopIfTrue="1" operator="greaterThan">
      <formula>#REF!</formula>
    </cfRule>
  </conditionalFormatting>
  <conditionalFormatting sqref="D43">
    <cfRule type="cellIs" dxfId="82" priority="13" stopIfTrue="1" operator="greaterThan">
      <formula>$D$45</formula>
    </cfRule>
  </conditionalFormatting>
  <conditionalFormatting sqref="D38">
    <cfRule type="cellIs" dxfId="81" priority="14" stopIfTrue="1" operator="greaterThan">
      <formula>$D$24*0.25</formula>
    </cfRule>
  </conditionalFormatting>
  <conditionalFormatting sqref="E38">
    <cfRule type="cellIs" dxfId="80" priority="15" stopIfTrue="1" operator="greaterThan">
      <formula>$E$24*0.25+$E$50</formula>
    </cfRule>
  </conditionalFormatting>
  <conditionalFormatting sqref="D44">
    <cfRule type="cellIs" dxfId="79" priority="2" stopIfTrue="1" operator="lessThan">
      <formula>0</formula>
    </cfRule>
  </conditionalFormatting>
  <pageMargins left="0.9" right="0.9" top="0.96" bottom="0.5" header="0.41" footer="0.3"/>
  <pageSetup scale="72" orientation="portrait" blackAndWhite="1" horizontalDpi="1200" verticalDpi="1200" r:id="rId1"/>
  <headerFooter alignWithMargins="0">
    <oddHeader xml:space="preserve">&amp;RState of Kansas
Township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5"/>
  <sheetViews>
    <sheetView topLeftCell="A19" zoomScaleNormal="100" workbookViewId="0">
      <selection activeCell="E25" sqref="E25"/>
    </sheetView>
  </sheetViews>
  <sheetFormatPr defaultRowHeight="15.75" x14ac:dyDescent="0.2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x14ac:dyDescent="0.25">
      <c r="B1" s="13" t="str">
        <f>inputPrYr!D2</f>
        <v>Liberty Township</v>
      </c>
      <c r="C1" s="22" t="s">
        <v>35</v>
      </c>
      <c r="D1" s="14"/>
      <c r="E1" s="15">
        <f>inputPrYr!D5</f>
        <v>2013</v>
      </c>
    </row>
    <row r="2" spans="2:5" x14ac:dyDescent="0.25">
      <c r="B2" s="17"/>
      <c r="C2" s="14"/>
      <c r="D2" s="14"/>
      <c r="E2" s="78"/>
    </row>
    <row r="3" spans="2:5" x14ac:dyDescent="0.25">
      <c r="B3" s="541" t="s">
        <v>721</v>
      </c>
      <c r="C3" s="66"/>
      <c r="D3" s="66"/>
      <c r="E3" s="14"/>
    </row>
    <row r="4" spans="2:5" x14ac:dyDescent="0.25">
      <c r="B4" s="22" t="s">
        <v>10</v>
      </c>
      <c r="C4" s="388" t="s">
        <v>11</v>
      </c>
      <c r="D4" s="391" t="s">
        <v>12</v>
      </c>
      <c r="E4" s="23" t="s">
        <v>13</v>
      </c>
    </row>
    <row r="5" spans="2:5" x14ac:dyDescent="0.25">
      <c r="B5" s="400" t="str">
        <f>inputPrYr!B20</f>
        <v>Weed</v>
      </c>
      <c r="C5" s="389" t="str">
        <f>gen!C5</f>
        <v>Actual for 2011</v>
      </c>
      <c r="D5" s="389" t="str">
        <f>gen!D5</f>
        <v>Estimate for 2012</v>
      </c>
      <c r="E5" s="26" t="str">
        <f>gen!E5</f>
        <v>Year for 2013</v>
      </c>
    </row>
    <row r="6" spans="2:5" x14ac:dyDescent="0.25">
      <c r="B6" s="27" t="s">
        <v>118</v>
      </c>
      <c r="C6" s="29">
        <v>5</v>
      </c>
      <c r="D6" s="390">
        <f>C34</f>
        <v>13</v>
      </c>
      <c r="E6" s="32">
        <f>D34</f>
        <v>13</v>
      </c>
    </row>
    <row r="7" spans="2:5" x14ac:dyDescent="0.25">
      <c r="B7" s="27" t="s">
        <v>120</v>
      </c>
      <c r="C7" s="390"/>
      <c r="D7" s="390"/>
      <c r="E7" s="33"/>
    </row>
    <row r="8" spans="2:5" x14ac:dyDescent="0.25">
      <c r="B8" s="27" t="s">
        <v>16</v>
      </c>
      <c r="C8" s="29">
        <v>450</v>
      </c>
      <c r="D8" s="390">
        <f>IF(inputPrYr!H15&gt;0,inputPrYr!G20,inputPrYr!E20)</f>
        <v>426</v>
      </c>
      <c r="E8" s="33" t="s">
        <v>290</v>
      </c>
    </row>
    <row r="9" spans="2:5" x14ac:dyDescent="0.25">
      <c r="B9" s="27" t="s">
        <v>17</v>
      </c>
      <c r="C9" s="29">
        <v>0</v>
      </c>
      <c r="D9" s="29">
        <v>0</v>
      </c>
      <c r="E9" s="34"/>
    </row>
    <row r="10" spans="2:5" x14ac:dyDescent="0.25">
      <c r="B10" s="27" t="s">
        <v>18</v>
      </c>
      <c r="C10" s="29">
        <v>27</v>
      </c>
      <c r="D10" s="29">
        <v>19</v>
      </c>
      <c r="E10" s="32">
        <f>mvalloc!G15</f>
        <v>16</v>
      </c>
    </row>
    <row r="11" spans="2:5" x14ac:dyDescent="0.25">
      <c r="B11" s="27" t="s">
        <v>19</v>
      </c>
      <c r="C11" s="29">
        <v>0</v>
      </c>
      <c r="D11" s="29">
        <v>0</v>
      </c>
      <c r="E11" s="32">
        <f>mvalloc!I15</f>
        <v>0</v>
      </c>
    </row>
    <row r="12" spans="2:5" x14ac:dyDescent="0.25">
      <c r="B12" s="35" t="s">
        <v>69</v>
      </c>
      <c r="C12" s="29">
        <v>1</v>
      </c>
      <c r="D12" s="29">
        <v>5</v>
      </c>
      <c r="E12" s="32">
        <f>mvalloc!J15</f>
        <v>3</v>
      </c>
    </row>
    <row r="13" spans="2:5" x14ac:dyDescent="0.25">
      <c r="B13" s="38"/>
      <c r="C13" s="29"/>
      <c r="D13" s="29"/>
      <c r="E13" s="34"/>
    </row>
    <row r="14" spans="2:5" x14ac:dyDescent="0.25">
      <c r="B14" s="38"/>
      <c r="C14" s="29"/>
      <c r="D14" s="29"/>
      <c r="E14" s="34"/>
    </row>
    <row r="15" spans="2:5" x14ac:dyDescent="0.25">
      <c r="B15" s="38"/>
      <c r="C15" s="29"/>
      <c r="D15" s="29"/>
      <c r="E15" s="34"/>
    </row>
    <row r="16" spans="2:5" x14ac:dyDescent="0.25">
      <c r="B16" s="38"/>
      <c r="C16" s="29"/>
      <c r="D16" s="29"/>
      <c r="E16" s="34"/>
    </row>
    <row r="17" spans="2:11" x14ac:dyDescent="0.25">
      <c r="B17" s="38" t="s">
        <v>22</v>
      </c>
      <c r="C17" s="29"/>
      <c r="D17" s="29"/>
      <c r="E17" s="34"/>
    </row>
    <row r="18" spans="2:11" x14ac:dyDescent="0.25">
      <c r="B18" s="39" t="s">
        <v>213</v>
      </c>
      <c r="C18" s="29"/>
      <c r="D18" s="29"/>
      <c r="E18" s="34"/>
    </row>
    <row r="19" spans="2:11" x14ac:dyDescent="0.25">
      <c r="B19" s="39" t="s">
        <v>214</v>
      </c>
      <c r="C19" s="387" t="str">
        <f>IF(C20*0.1&lt;C18,"Exceed 10% Rule","")</f>
        <v/>
      </c>
      <c r="D19" s="387" t="str">
        <f>IF(D20*0.1&lt;D18,"Exceed 10% Rule","")</f>
        <v/>
      </c>
      <c r="E19" s="45" t="str">
        <f>IF(E20*0.1+E40&lt;E18,"Exceed 10% Rule","")</f>
        <v/>
      </c>
    </row>
    <row r="20" spans="2:11" x14ac:dyDescent="0.25">
      <c r="B20" s="41" t="s">
        <v>23</v>
      </c>
      <c r="C20" s="392">
        <f>SUM(C8:C18)</f>
        <v>478</v>
      </c>
      <c r="D20" s="392">
        <f>SUM(D8:D18)</f>
        <v>450</v>
      </c>
      <c r="E20" s="42">
        <f>SUM(E8:E18)</f>
        <v>19</v>
      </c>
    </row>
    <row r="21" spans="2:11" x14ac:dyDescent="0.25">
      <c r="B21" s="43" t="s">
        <v>24</v>
      </c>
      <c r="C21" s="392">
        <f>C20+C6</f>
        <v>483</v>
      </c>
      <c r="D21" s="392">
        <f>D20+D6</f>
        <v>463</v>
      </c>
      <c r="E21" s="42">
        <f>E20+E6</f>
        <v>32</v>
      </c>
    </row>
    <row r="22" spans="2:11" x14ac:dyDescent="0.25">
      <c r="B22" s="27" t="s">
        <v>25</v>
      </c>
      <c r="C22" s="390"/>
      <c r="D22" s="390"/>
      <c r="E22" s="32"/>
    </row>
    <row r="23" spans="2:11" x14ac:dyDescent="0.25">
      <c r="B23" s="38" t="s">
        <v>103</v>
      </c>
      <c r="C23" s="29">
        <v>60</v>
      </c>
      <c r="D23" s="29"/>
      <c r="E23" s="34"/>
    </row>
    <row r="24" spans="2:11" x14ac:dyDescent="0.25">
      <c r="B24" s="38" t="s">
        <v>941</v>
      </c>
      <c r="C24" s="29">
        <v>410</v>
      </c>
      <c r="D24" s="29">
        <v>450</v>
      </c>
      <c r="E24" s="34">
        <v>450</v>
      </c>
      <c r="G24" s="820" t="str">
        <f>CONCATENATE("Desired Carryover Into ",E1+1,"")</f>
        <v>Desired Carryover Into 2014</v>
      </c>
      <c r="H24" s="821"/>
      <c r="I24" s="821"/>
      <c r="J24" s="822"/>
      <c r="K24" s="591"/>
    </row>
    <row r="25" spans="2:11" x14ac:dyDescent="0.25">
      <c r="B25" s="38"/>
      <c r="C25" s="29"/>
      <c r="D25" s="29"/>
      <c r="E25" s="34"/>
      <c r="G25" s="622"/>
      <c r="H25" s="623"/>
      <c r="I25" s="624"/>
      <c r="J25" s="625"/>
      <c r="K25" s="591"/>
    </row>
    <row r="26" spans="2:11" x14ac:dyDescent="0.25">
      <c r="B26" s="38"/>
      <c r="C26" s="29"/>
      <c r="D26" s="29"/>
      <c r="E26" s="34"/>
      <c r="G26" s="626" t="s">
        <v>715</v>
      </c>
      <c r="H26" s="624"/>
      <c r="I26" s="624"/>
      <c r="J26" s="627">
        <v>0</v>
      </c>
      <c r="K26" s="591"/>
    </row>
    <row r="27" spans="2:11" x14ac:dyDescent="0.25">
      <c r="B27" s="38"/>
      <c r="C27" s="29"/>
      <c r="D27" s="29"/>
      <c r="E27" s="34"/>
      <c r="G27" s="622" t="s">
        <v>716</v>
      </c>
      <c r="H27" s="623"/>
      <c r="I27" s="623"/>
      <c r="J27" s="628" t="str">
        <f>IF(J26=0,"",ROUND((J26+E40-G39)/inputOth!E7*1000,3)-G44)</f>
        <v/>
      </c>
      <c r="K27" s="591"/>
    </row>
    <row r="28" spans="2:11" x14ac:dyDescent="0.25">
      <c r="B28" s="38"/>
      <c r="C28" s="29"/>
      <c r="D28" s="29"/>
      <c r="E28" s="34"/>
      <c r="G28" s="629" t="str">
        <f>CONCATENATE("",E1," Tot Exp/Non-Appr Must Be:")</f>
        <v>2013 Tot Exp/Non-Appr Must Be:</v>
      </c>
      <c r="H28" s="630"/>
      <c r="I28" s="631"/>
      <c r="J28" s="632">
        <f>IF(J26&gt;0,IF(E37&lt;E21,IF(J26=G39,E37,((J26-G39)*(1-D39))+E21),E37+(J26-G39)),0)</f>
        <v>0</v>
      </c>
      <c r="K28" s="591"/>
    </row>
    <row r="29" spans="2:11" x14ac:dyDescent="0.25">
      <c r="B29" s="38"/>
      <c r="C29" s="29"/>
      <c r="D29" s="29"/>
      <c r="E29" s="34"/>
      <c r="G29" s="633" t="s">
        <v>825</v>
      </c>
      <c r="H29" s="634"/>
      <c r="I29" s="634"/>
      <c r="J29" s="635">
        <f>IF(J26&gt;0,J28-E37,0)</f>
        <v>0</v>
      </c>
      <c r="K29" s="591"/>
    </row>
    <row r="30" spans="2:11" x14ac:dyDescent="0.25">
      <c r="B30" s="35" t="s">
        <v>215</v>
      </c>
      <c r="C30" s="29"/>
      <c r="D30" s="29"/>
      <c r="E30" s="46" t="str">
        <f>nhood!E10</f>
        <v/>
      </c>
      <c r="G30" s="591"/>
      <c r="H30" s="591"/>
      <c r="I30" s="591"/>
      <c r="J30" s="591"/>
      <c r="K30" s="591"/>
    </row>
    <row r="31" spans="2:11" x14ac:dyDescent="0.25">
      <c r="B31" s="35" t="s">
        <v>213</v>
      </c>
      <c r="C31" s="29"/>
      <c r="D31" s="29"/>
      <c r="E31" s="34"/>
      <c r="G31" s="820" t="str">
        <f>CONCATENATE("Projected Carryover Into ",E1+1,"")</f>
        <v>Projected Carryover Into 2014</v>
      </c>
      <c r="H31" s="825"/>
      <c r="I31" s="825"/>
      <c r="J31" s="824"/>
      <c r="K31" s="591"/>
    </row>
    <row r="32" spans="2:11" x14ac:dyDescent="0.25">
      <c r="B32" s="35" t="s">
        <v>622</v>
      </c>
      <c r="C32" s="387" t="str">
        <f>IF(C33*0.1&lt;C31,"Exceed 10% Rule","")</f>
        <v/>
      </c>
      <c r="D32" s="387" t="str">
        <f>IF(D33*0.1&lt;D31,"Exceed 10% Rule","")</f>
        <v/>
      </c>
      <c r="E32" s="45" t="str">
        <f>IF(E33*0.1&lt;E31,"Exceed 10% Rule","")</f>
        <v/>
      </c>
      <c r="G32" s="622"/>
      <c r="H32" s="624"/>
      <c r="I32" s="624"/>
      <c r="J32" s="637"/>
      <c r="K32" s="591"/>
    </row>
    <row r="33" spans="2:11" x14ac:dyDescent="0.25">
      <c r="B33" s="43" t="s">
        <v>26</v>
      </c>
      <c r="C33" s="392">
        <f>SUM(C23:C31)</f>
        <v>470</v>
      </c>
      <c r="D33" s="392">
        <f>SUM(D23:D31)</f>
        <v>450</v>
      </c>
      <c r="E33" s="42">
        <f>SUM(E23:E31)</f>
        <v>450</v>
      </c>
      <c r="G33" s="640">
        <f>D34</f>
        <v>13</v>
      </c>
      <c r="H33" s="641" t="str">
        <f>CONCATENATE("",E1-1," Ending Cash Balance (est.)")</f>
        <v>2012 Ending Cash Balance (est.)</v>
      </c>
      <c r="I33" s="642"/>
      <c r="J33" s="637"/>
      <c r="K33" s="591"/>
    </row>
    <row r="34" spans="2:11" x14ac:dyDescent="0.25">
      <c r="B34" s="27" t="s">
        <v>119</v>
      </c>
      <c r="C34" s="385">
        <f>C21-C33</f>
        <v>13</v>
      </c>
      <c r="D34" s="385">
        <f>D21-D33</f>
        <v>13</v>
      </c>
      <c r="E34" s="33" t="s">
        <v>290</v>
      </c>
      <c r="G34" s="640">
        <f>E20</f>
        <v>19</v>
      </c>
      <c r="H34" s="624" t="str">
        <f>CONCATENATE("",E1," Non-AV Receipts (est.)")</f>
        <v>2013 Non-AV Receipts (est.)</v>
      </c>
      <c r="I34" s="642"/>
      <c r="J34" s="637"/>
      <c r="K34" s="591"/>
    </row>
    <row r="35" spans="2:11" x14ac:dyDescent="0.2">
      <c r="B35" s="48" t="str">
        <f>CONCATENATE("",E1-2,"/",E1-1," Budget Authority Amount:")</f>
        <v>2011/2012 Budget Authority Amount:</v>
      </c>
      <c r="C35" s="132">
        <f>inputOth!B50</f>
        <v>499</v>
      </c>
      <c r="D35" s="161">
        <f>inputPrYr!D20</f>
        <v>450</v>
      </c>
      <c r="E35" s="33" t="s">
        <v>290</v>
      </c>
      <c r="F35" s="50"/>
      <c r="G35" s="649">
        <f>IF(E39&gt;0,E38,E40)</f>
        <v>418</v>
      </c>
      <c r="H35" s="624" t="str">
        <f>CONCATENATE("",E1," Ad Valorem Tax (est.)")</f>
        <v>2013 Ad Valorem Tax (est.)</v>
      </c>
      <c r="I35" s="642"/>
      <c r="J35" s="637"/>
      <c r="K35" s="650" t="str">
        <f>IF(G35=E40,"","Note: Does not include Delinquent Taxes")</f>
        <v/>
      </c>
    </row>
    <row r="36" spans="2:11" x14ac:dyDescent="0.25">
      <c r="B36" s="48"/>
      <c r="C36" s="808" t="s">
        <v>623</v>
      </c>
      <c r="D36" s="809"/>
      <c r="E36" s="34"/>
      <c r="F36" s="486" t="str">
        <f>IF(E33/0.95-E33&lt;E36,"Exceeds 5%","")</f>
        <v/>
      </c>
      <c r="G36" s="640">
        <f>SUM(G33:G35)</f>
        <v>450</v>
      </c>
      <c r="H36" s="624" t="str">
        <f>CONCATENATE("Total ",E1," Resources Available")</f>
        <v>Total 2013 Resources Available</v>
      </c>
      <c r="I36" s="642"/>
      <c r="J36" s="637"/>
      <c r="K36" s="591"/>
    </row>
    <row r="37" spans="2:11" x14ac:dyDescent="0.25">
      <c r="B37" s="399" t="str">
        <f>CONCATENATE(C92,"     ",D92)</f>
        <v xml:space="preserve">     </v>
      </c>
      <c r="C37" s="810" t="s">
        <v>624</v>
      </c>
      <c r="D37" s="811"/>
      <c r="E37" s="32">
        <f>E33+E36</f>
        <v>450</v>
      </c>
      <c r="G37" s="653"/>
      <c r="H37" s="624"/>
      <c r="I37" s="624"/>
      <c r="J37" s="637"/>
      <c r="K37" s="591"/>
    </row>
    <row r="38" spans="2:11" x14ac:dyDescent="0.25">
      <c r="B38" s="399" t="str">
        <f>CONCATENATE(C93,"     ",D93)</f>
        <v xml:space="preserve">     </v>
      </c>
      <c r="C38" s="60"/>
      <c r="D38" s="52" t="s">
        <v>28</v>
      </c>
      <c r="E38" s="46">
        <f>IF(E37-E21&gt;0,E37-E21,0)</f>
        <v>418</v>
      </c>
      <c r="G38" s="649">
        <f>C33*0.05+C33</f>
        <v>493.5</v>
      </c>
      <c r="H38" s="624" t="str">
        <f>CONCATENATE("Less ",E1-2," Expenditures + 5%")</f>
        <v>Less 2011 Expenditures + 5%</v>
      </c>
      <c r="I38" s="624"/>
      <c r="J38" s="637"/>
      <c r="K38" s="591"/>
    </row>
    <row r="39" spans="2:11" x14ac:dyDescent="0.25">
      <c r="B39" s="52"/>
      <c r="C39" s="403" t="s">
        <v>625</v>
      </c>
      <c r="D39" s="698">
        <f>inputOth!$E$40</f>
        <v>0</v>
      </c>
      <c r="E39" s="32">
        <f>ROUND(IF(D39&gt;0,(E38*D39),0),0)</f>
        <v>0</v>
      </c>
      <c r="G39" s="657">
        <f>G36-G38</f>
        <v>-43.5</v>
      </c>
      <c r="H39" s="658" t="str">
        <f>CONCATENATE("Projected ",E1+1," carryover (est.)")</f>
        <v>Projected 2014 carryover (est.)</v>
      </c>
      <c r="I39" s="659"/>
      <c r="J39" s="660"/>
      <c r="K39" s="591"/>
    </row>
    <row r="40" spans="2:11" x14ac:dyDescent="0.25">
      <c r="B40" s="14"/>
      <c r="C40" s="806" t="str">
        <f>CONCATENATE("Amount of  ",$E$1-1," Ad Valorem Tax")</f>
        <v>Amount of  2012 Ad Valorem Tax</v>
      </c>
      <c r="D40" s="807"/>
      <c r="E40" s="46">
        <f>E38+E39</f>
        <v>418</v>
      </c>
      <c r="G40" s="591"/>
      <c r="H40" s="591"/>
      <c r="I40" s="591"/>
      <c r="J40" s="591"/>
      <c r="K40" s="591"/>
    </row>
    <row r="41" spans="2:11" x14ac:dyDescent="0.25">
      <c r="B41" s="14"/>
      <c r="C41" s="548"/>
      <c r="D41" s="14"/>
      <c r="E41" s="14"/>
      <c r="G41" s="817" t="s">
        <v>826</v>
      </c>
      <c r="H41" s="818"/>
      <c r="I41" s="818"/>
      <c r="J41" s="819"/>
      <c r="K41" s="591"/>
    </row>
    <row r="42" spans="2:11" x14ac:dyDescent="0.25">
      <c r="B42" s="14"/>
      <c r="C42" s="548"/>
      <c r="D42" s="14"/>
      <c r="E42" s="14"/>
      <c r="G42" s="664"/>
      <c r="H42" s="641"/>
      <c r="I42" s="665"/>
      <c r="J42" s="666"/>
      <c r="K42" s="591"/>
    </row>
    <row r="43" spans="2:11" x14ac:dyDescent="0.25">
      <c r="B43" s="22" t="s">
        <v>10</v>
      </c>
      <c r="C43" s="66"/>
      <c r="D43" s="66"/>
      <c r="E43" s="66"/>
      <c r="G43" s="667">
        <f>summ!I22</f>
        <v>0.61299999999999999</v>
      </c>
      <c r="H43" s="641" t="str">
        <f>CONCATENATE("",E1," Fund Mill Rate")</f>
        <v>2013 Fund Mill Rate</v>
      </c>
      <c r="I43" s="665"/>
      <c r="J43" s="666"/>
      <c r="K43" s="591"/>
    </row>
    <row r="44" spans="2:11" x14ac:dyDescent="0.25">
      <c r="B44" s="14"/>
      <c r="C44" s="388" t="s">
        <v>11</v>
      </c>
      <c r="D44" s="391" t="s">
        <v>12</v>
      </c>
      <c r="E44" s="23" t="s">
        <v>13</v>
      </c>
      <c r="G44" s="668">
        <f>summ!F22</f>
        <v>0.68</v>
      </c>
      <c r="H44" s="641" t="str">
        <f>CONCATENATE("",E1-1," Fund Mill Rate")</f>
        <v>2012 Fund Mill Rate</v>
      </c>
      <c r="I44" s="665"/>
      <c r="J44" s="666"/>
      <c r="K44" s="591"/>
    </row>
    <row r="45" spans="2:11" x14ac:dyDescent="0.25">
      <c r="B45" s="481">
        <f>inputPrYr!B21</f>
        <v>0</v>
      </c>
      <c r="C45" s="389" t="str">
        <f>C5</f>
        <v>Actual for 2011</v>
      </c>
      <c r="D45" s="389" t="str">
        <f>D5</f>
        <v>Estimate for 2012</v>
      </c>
      <c r="E45" s="26" t="str">
        <f>E5</f>
        <v>Year for 2013</v>
      </c>
      <c r="G45" s="670">
        <f>summ!I32</f>
        <v>18.600000000000001</v>
      </c>
      <c r="H45" s="641" t="str">
        <f>CONCATENATE("Total ",E1," Mill Rate")</f>
        <v>Total 2013 Mill Rate</v>
      </c>
      <c r="I45" s="665"/>
      <c r="J45" s="666"/>
      <c r="K45" s="591"/>
    </row>
    <row r="46" spans="2:11" x14ac:dyDescent="0.25">
      <c r="B46" s="27" t="s">
        <v>118</v>
      </c>
      <c r="C46" s="29"/>
      <c r="D46" s="390">
        <f>C74</f>
        <v>0</v>
      </c>
      <c r="E46" s="32">
        <f>D74</f>
        <v>0</v>
      </c>
      <c r="G46" s="668">
        <f>summ!F32</f>
        <v>20.238</v>
      </c>
      <c r="H46" s="671" t="str">
        <f>CONCATENATE("Total ",E1-1," Mill Rate")</f>
        <v>Total 2012 Mill Rate</v>
      </c>
      <c r="I46" s="672"/>
      <c r="J46" s="673"/>
      <c r="K46" s="591"/>
    </row>
    <row r="47" spans="2:11" x14ac:dyDescent="0.25">
      <c r="B47" s="27" t="s">
        <v>120</v>
      </c>
      <c r="C47" s="390"/>
      <c r="D47" s="390"/>
      <c r="E47" s="33"/>
      <c r="G47" s="591"/>
      <c r="H47" s="591"/>
      <c r="I47" s="591"/>
      <c r="J47" s="591"/>
      <c r="K47" s="591"/>
    </row>
    <row r="48" spans="2:11" x14ac:dyDescent="0.25">
      <c r="B48" s="27" t="s">
        <v>16</v>
      </c>
      <c r="C48" s="29"/>
      <c r="D48" s="390">
        <f>IF(inputPrYr!H15&gt;0,inputPrYr!G21,inputPrYr!E21)</f>
        <v>0</v>
      </c>
      <c r="E48" s="33" t="s">
        <v>290</v>
      </c>
      <c r="G48" s="591"/>
      <c r="H48" s="591"/>
      <c r="I48" s="591"/>
      <c r="J48" s="591"/>
      <c r="K48" s="591"/>
    </row>
    <row r="49" spans="2:11" x14ac:dyDescent="0.25">
      <c r="B49" s="27" t="s">
        <v>17</v>
      </c>
      <c r="C49" s="29"/>
      <c r="D49" s="29"/>
      <c r="E49" s="34"/>
      <c r="G49" s="591"/>
      <c r="H49" s="591"/>
      <c r="I49" s="591"/>
      <c r="J49" s="591"/>
      <c r="K49" s="591"/>
    </row>
    <row r="50" spans="2:11" x14ac:dyDescent="0.25">
      <c r="B50" s="27" t="s">
        <v>18</v>
      </c>
      <c r="C50" s="29"/>
      <c r="D50" s="29"/>
      <c r="E50" s="32">
        <f>mvalloc!G16</f>
        <v>0</v>
      </c>
      <c r="G50" s="591"/>
      <c r="H50" s="591"/>
      <c r="I50" s="591"/>
      <c r="J50" s="591"/>
      <c r="K50" s="591"/>
    </row>
    <row r="51" spans="2:11" x14ac:dyDescent="0.25">
      <c r="B51" s="27" t="s">
        <v>19</v>
      </c>
      <c r="C51" s="29"/>
      <c r="D51" s="29"/>
      <c r="E51" s="32">
        <f>mvalloc!I16</f>
        <v>0</v>
      </c>
      <c r="G51" s="591"/>
      <c r="H51" s="591"/>
      <c r="I51" s="591"/>
      <c r="J51" s="591"/>
      <c r="K51" s="591"/>
    </row>
    <row r="52" spans="2:11" x14ac:dyDescent="0.25">
      <c r="B52" s="27" t="s">
        <v>99</v>
      </c>
      <c r="C52" s="29"/>
      <c r="D52" s="29"/>
      <c r="E52" s="32">
        <f>mvalloc!J16</f>
        <v>0</v>
      </c>
      <c r="G52" s="591"/>
      <c r="H52" s="591"/>
      <c r="I52" s="591"/>
      <c r="J52" s="591"/>
      <c r="K52" s="591"/>
    </row>
    <row r="53" spans="2:11" x14ac:dyDescent="0.25">
      <c r="B53" s="37"/>
      <c r="C53" s="29"/>
      <c r="D53" s="29"/>
      <c r="E53" s="34"/>
      <c r="G53" s="591"/>
      <c r="H53" s="591"/>
      <c r="I53" s="591"/>
      <c r="J53" s="591"/>
      <c r="K53" s="591"/>
    </row>
    <row r="54" spans="2:11" x14ac:dyDescent="0.25">
      <c r="B54" s="37"/>
      <c r="C54" s="29"/>
      <c r="D54" s="29"/>
      <c r="E54" s="34"/>
      <c r="G54" s="591"/>
      <c r="H54" s="591"/>
      <c r="I54" s="591"/>
      <c r="J54" s="591"/>
      <c r="K54" s="591"/>
    </row>
    <row r="55" spans="2:11" x14ac:dyDescent="0.25">
      <c r="B55" s="37"/>
      <c r="C55" s="29"/>
      <c r="D55" s="29"/>
      <c r="E55" s="34"/>
      <c r="G55" s="591"/>
      <c r="H55" s="591"/>
      <c r="I55" s="591"/>
      <c r="J55" s="591"/>
      <c r="K55" s="591"/>
    </row>
    <row r="56" spans="2:11" x14ac:dyDescent="0.25">
      <c r="B56" s="38"/>
      <c r="C56" s="29"/>
      <c r="D56" s="29"/>
      <c r="E56" s="34"/>
      <c r="G56" s="591"/>
      <c r="H56" s="591"/>
      <c r="I56" s="591"/>
      <c r="J56" s="591"/>
      <c r="K56" s="591"/>
    </row>
    <row r="57" spans="2:11" x14ac:dyDescent="0.25">
      <c r="B57" s="38" t="s">
        <v>22</v>
      </c>
      <c r="C57" s="29"/>
      <c r="D57" s="29"/>
      <c r="E57" s="34"/>
      <c r="G57" s="591"/>
      <c r="H57" s="591"/>
      <c r="I57" s="591"/>
      <c r="J57" s="591"/>
      <c r="K57" s="591"/>
    </row>
    <row r="58" spans="2:11" x14ac:dyDescent="0.25">
      <c r="B58" s="39" t="s">
        <v>213</v>
      </c>
      <c r="C58" s="29"/>
      <c r="D58" s="29"/>
      <c r="E58" s="34"/>
      <c r="G58" s="591"/>
      <c r="H58" s="591"/>
      <c r="I58" s="591"/>
      <c r="J58" s="591"/>
      <c r="K58" s="591"/>
    </row>
    <row r="59" spans="2:11" x14ac:dyDescent="0.25">
      <c r="B59" s="39" t="s">
        <v>214</v>
      </c>
      <c r="C59" s="387" t="str">
        <f>IF(C60*0.1&lt;C58,"Exceed 10% Rule","")</f>
        <v/>
      </c>
      <c r="D59" s="387" t="str">
        <f>IF(D60*0.1&lt;D58,"Exceed 10% Rule","")</f>
        <v/>
      </c>
      <c r="E59" s="45" t="str">
        <f>IF(E60*0.1+E80&lt;E58,"Exceed 10% Rule","")</f>
        <v/>
      </c>
      <c r="G59" s="591"/>
      <c r="H59" s="591"/>
      <c r="I59" s="591"/>
      <c r="J59" s="591"/>
      <c r="K59" s="591"/>
    </row>
    <row r="60" spans="2:11" x14ac:dyDescent="0.25">
      <c r="B60" s="41" t="s">
        <v>23</v>
      </c>
      <c r="C60" s="392">
        <f>SUM(C48:C58)</f>
        <v>0</v>
      </c>
      <c r="D60" s="392">
        <f>SUM(D48:D58)</f>
        <v>0</v>
      </c>
      <c r="E60" s="42">
        <f>SUM(E48:E58)</f>
        <v>0</v>
      </c>
      <c r="G60" s="591"/>
      <c r="H60" s="591"/>
      <c r="I60" s="591"/>
      <c r="J60" s="591"/>
      <c r="K60" s="591"/>
    </row>
    <row r="61" spans="2:11" x14ac:dyDescent="0.25">
      <c r="B61" s="43" t="s">
        <v>24</v>
      </c>
      <c r="C61" s="392">
        <f>C60+C46</f>
        <v>0</v>
      </c>
      <c r="D61" s="392">
        <f>D60+D46</f>
        <v>0</v>
      </c>
      <c r="E61" s="42">
        <f>E60+E46</f>
        <v>0</v>
      </c>
      <c r="G61" s="591"/>
      <c r="H61" s="591"/>
      <c r="I61" s="591"/>
      <c r="J61" s="591"/>
      <c r="K61" s="591"/>
    </row>
    <row r="62" spans="2:11" x14ac:dyDescent="0.25">
      <c r="B62" s="27" t="s">
        <v>25</v>
      </c>
      <c r="C62" s="390"/>
      <c r="D62" s="390"/>
      <c r="E62" s="32"/>
      <c r="G62" s="591"/>
      <c r="H62" s="591"/>
      <c r="I62" s="591"/>
      <c r="J62" s="591"/>
      <c r="K62" s="591"/>
    </row>
    <row r="63" spans="2:11" x14ac:dyDescent="0.25">
      <c r="B63" s="38"/>
      <c r="C63" s="29"/>
      <c r="D63" s="29"/>
      <c r="E63" s="34"/>
      <c r="G63" s="591"/>
      <c r="H63" s="591"/>
      <c r="I63" s="591"/>
      <c r="J63" s="591"/>
      <c r="K63" s="591"/>
    </row>
    <row r="64" spans="2:11" x14ac:dyDescent="0.25">
      <c r="B64" s="38"/>
      <c r="C64" s="29"/>
      <c r="D64" s="29"/>
      <c r="E64" s="34"/>
      <c r="G64" s="820" t="str">
        <f>CONCATENATE("Desired Carryover Into ",E1+1,"")</f>
        <v>Desired Carryover Into 2014</v>
      </c>
      <c r="H64" s="821"/>
      <c r="I64" s="821"/>
      <c r="J64" s="822"/>
      <c r="K64" s="591"/>
    </row>
    <row r="65" spans="2:11" x14ac:dyDescent="0.25">
      <c r="B65" s="38"/>
      <c r="C65" s="29"/>
      <c r="D65" s="29"/>
      <c r="E65" s="34"/>
      <c r="G65" s="622"/>
      <c r="H65" s="623"/>
      <c r="I65" s="624"/>
      <c r="J65" s="625"/>
      <c r="K65" s="591"/>
    </row>
    <row r="66" spans="2:11" x14ac:dyDescent="0.25">
      <c r="B66" s="38"/>
      <c r="C66" s="29"/>
      <c r="D66" s="29"/>
      <c r="E66" s="34"/>
      <c r="G66" s="626" t="s">
        <v>715</v>
      </c>
      <c r="H66" s="624"/>
      <c r="I66" s="624"/>
      <c r="J66" s="627">
        <v>0</v>
      </c>
      <c r="K66" s="591"/>
    </row>
    <row r="67" spans="2:11" x14ac:dyDescent="0.25">
      <c r="B67" s="38"/>
      <c r="C67" s="29"/>
      <c r="D67" s="29"/>
      <c r="E67" s="34"/>
      <c r="G67" s="622" t="s">
        <v>716</v>
      </c>
      <c r="H67" s="623"/>
      <c r="I67" s="623"/>
      <c r="J67" s="628" t="str">
        <f>IF(J66=0,"",ROUND((J66+E80-G79)/inputOth!E7*1000,3)-G84)</f>
        <v/>
      </c>
      <c r="K67" s="591"/>
    </row>
    <row r="68" spans="2:11" x14ac:dyDescent="0.25">
      <c r="B68" s="38"/>
      <c r="C68" s="29"/>
      <c r="D68" s="29"/>
      <c r="E68" s="34"/>
      <c r="G68" s="629" t="str">
        <f>CONCATENATE("",E1," Tot Exp/Non-Appr Must Be:")</f>
        <v>2013 Tot Exp/Non-Appr Must Be:</v>
      </c>
      <c r="H68" s="630"/>
      <c r="I68" s="631"/>
      <c r="J68" s="632">
        <f>IF(J66&gt;0,IF(E77&lt;E61,IF(J66=G79,E77,((J66-G79)*(1-D79))+E61),E77+(J66-G79)),0)</f>
        <v>0</v>
      </c>
      <c r="K68" s="591"/>
    </row>
    <row r="69" spans="2:11" x14ac:dyDescent="0.25">
      <c r="B69" s="38"/>
      <c r="C69" s="29"/>
      <c r="D69" s="29"/>
      <c r="E69" s="34"/>
      <c r="G69" s="633" t="s">
        <v>825</v>
      </c>
      <c r="H69" s="634"/>
      <c r="I69" s="634"/>
      <c r="J69" s="635">
        <f>IF(J66&gt;0,J68-E77,0)</f>
        <v>0</v>
      </c>
      <c r="K69" s="591"/>
    </row>
    <row r="70" spans="2:11" x14ac:dyDescent="0.25">
      <c r="B70" s="35" t="s">
        <v>215</v>
      </c>
      <c r="C70" s="29"/>
      <c r="D70" s="29"/>
      <c r="E70" s="46" t="str">
        <f>nhood!E11</f>
        <v/>
      </c>
      <c r="G70" s="591"/>
      <c r="H70" s="591"/>
      <c r="I70" s="591"/>
      <c r="J70" s="591"/>
      <c r="K70" s="591"/>
    </row>
    <row r="71" spans="2:11" x14ac:dyDescent="0.25">
      <c r="B71" s="35" t="s">
        <v>213</v>
      </c>
      <c r="C71" s="29"/>
      <c r="D71" s="29"/>
      <c r="E71" s="34"/>
      <c r="G71" s="820" t="str">
        <f>CONCATENATE("Projected Carryover Into ",E1+1,"")</f>
        <v>Projected Carryover Into 2014</v>
      </c>
      <c r="H71" s="823"/>
      <c r="I71" s="823"/>
      <c r="J71" s="824"/>
      <c r="K71" s="591"/>
    </row>
    <row r="72" spans="2:11" x14ac:dyDescent="0.25">
      <c r="B72" s="35" t="s">
        <v>622</v>
      </c>
      <c r="C72" s="387" t="str">
        <f>IF(C73*0.1&lt;C71,"Exceed 10% Rule","")</f>
        <v/>
      </c>
      <c r="D72" s="387" t="str">
        <f>IF(D73*0.1&lt;D71,"Exceed 10% Rule","")</f>
        <v/>
      </c>
      <c r="E72" s="45" t="str">
        <f>IF(E73*0.1&lt;E71,"Exceed 10% Rule","")</f>
        <v/>
      </c>
      <c r="G72" s="676"/>
      <c r="H72" s="623"/>
      <c r="I72" s="623"/>
      <c r="J72" s="677"/>
      <c r="K72" s="591"/>
    </row>
    <row r="73" spans="2:11" x14ac:dyDescent="0.25">
      <c r="B73" s="43" t="s">
        <v>26</v>
      </c>
      <c r="C73" s="392">
        <f>SUM(C63:C71)</f>
        <v>0</v>
      </c>
      <c r="D73" s="392">
        <f>SUM(D63:D71)</f>
        <v>0</v>
      </c>
      <c r="E73" s="42">
        <f>SUM(E63:E71)</f>
        <v>0</v>
      </c>
      <c r="G73" s="640">
        <f>D74</f>
        <v>0</v>
      </c>
      <c r="H73" s="641" t="str">
        <f>CONCATENATE("",E1-1," Ending Cash Balance (est.)")</f>
        <v>2012 Ending Cash Balance (est.)</v>
      </c>
      <c r="I73" s="642"/>
      <c r="J73" s="677"/>
      <c r="K73" s="591"/>
    </row>
    <row r="74" spans="2:11" x14ac:dyDescent="0.25">
      <c r="B74" s="27" t="s">
        <v>119</v>
      </c>
      <c r="C74" s="385">
        <f>C61-C73</f>
        <v>0</v>
      </c>
      <c r="D74" s="385">
        <f>D61-D73</f>
        <v>0</v>
      </c>
      <c r="E74" s="33" t="s">
        <v>290</v>
      </c>
      <c r="G74" s="640">
        <f>E60</f>
        <v>0</v>
      </c>
      <c r="H74" s="624" t="str">
        <f>CONCATENATE("",E1," Non-AV Receipts (est.)")</f>
        <v>2013 Non-AV Receipts (est.)</v>
      </c>
      <c r="I74" s="642"/>
      <c r="J74" s="677"/>
      <c r="K74" s="591"/>
    </row>
    <row r="75" spans="2:11" x14ac:dyDescent="0.25">
      <c r="B75" s="48" t="str">
        <f>CONCATENATE("",E1-2,"/",E1-1," Budget Authority Amount:")</f>
        <v>2011/2012 Budget Authority Amount:</v>
      </c>
      <c r="C75" s="132">
        <f>inputOth!B51</f>
        <v>0</v>
      </c>
      <c r="D75" s="161">
        <f>inputPrYr!D21</f>
        <v>0</v>
      </c>
      <c r="E75" s="33" t="s">
        <v>290</v>
      </c>
      <c r="F75" s="50"/>
      <c r="G75" s="649">
        <f>IF(E79&gt;0,E78,E80)</f>
        <v>0</v>
      </c>
      <c r="H75" s="624" t="str">
        <f>CONCATENATE("",E1," Ad Valorem Tax (est.)")</f>
        <v>2013 Ad Valorem Tax (est.)</v>
      </c>
      <c r="I75" s="642"/>
      <c r="J75" s="677"/>
      <c r="K75" s="650" t="str">
        <f>IF(G75=E80,"","Note: Does not include Delinquent Taxes")</f>
        <v/>
      </c>
    </row>
    <row r="76" spans="2:11" x14ac:dyDescent="0.25">
      <c r="B76" s="48"/>
      <c r="C76" s="808" t="s">
        <v>623</v>
      </c>
      <c r="D76" s="809"/>
      <c r="E76" s="34"/>
      <c r="F76" s="486" t="str">
        <f>IF(E73/0.95-E73&lt;E76,"Exceeds 5%","")</f>
        <v/>
      </c>
      <c r="G76" s="679">
        <f>SUM(G73:G75)</f>
        <v>0</v>
      </c>
      <c r="H76" s="624" t="str">
        <f>CONCATENATE("Total ",E1," Resources Available")</f>
        <v>Total 2013 Resources Available</v>
      </c>
      <c r="I76" s="680"/>
      <c r="J76" s="677"/>
      <c r="K76" s="591"/>
    </row>
    <row r="77" spans="2:11" x14ac:dyDescent="0.25">
      <c r="B77" s="399" t="str">
        <f>CONCATENATE(C94,"     ",D94)</f>
        <v xml:space="preserve">     </v>
      </c>
      <c r="C77" s="810" t="s">
        <v>624</v>
      </c>
      <c r="D77" s="811"/>
      <c r="E77" s="32">
        <f>E73+E76</f>
        <v>0</v>
      </c>
      <c r="G77" s="681"/>
      <c r="H77" s="682"/>
      <c r="I77" s="623"/>
      <c r="J77" s="677"/>
      <c r="K77" s="591"/>
    </row>
    <row r="78" spans="2:11" x14ac:dyDescent="0.25">
      <c r="B78" s="399" t="str">
        <f>CONCATENATE(C95,"     ",D95)</f>
        <v xml:space="preserve">     </v>
      </c>
      <c r="C78" s="60"/>
      <c r="D78" s="52" t="s">
        <v>28</v>
      </c>
      <c r="E78" s="46">
        <f>IF(E77-E61&gt;0,E77-E61,0)</f>
        <v>0</v>
      </c>
      <c r="G78" s="649">
        <f>ROUND(C73*0.05+C73,0)</f>
        <v>0</v>
      </c>
      <c r="H78" s="624" t="str">
        <f>CONCATENATE("Less ",E1-2," Expenditures + 5%")</f>
        <v>Less 2011 Expenditures + 5%</v>
      </c>
      <c r="I78" s="680"/>
      <c r="J78" s="677"/>
      <c r="K78" s="591"/>
    </row>
    <row r="79" spans="2:11" x14ac:dyDescent="0.25">
      <c r="B79" s="52"/>
      <c r="C79" s="403" t="s">
        <v>625</v>
      </c>
      <c r="D79" s="698">
        <f>inputOth!$E$40</f>
        <v>0</v>
      </c>
      <c r="E79" s="32">
        <f>ROUND(IF(D79&gt;0,(E78*D79),0),0)</f>
        <v>0</v>
      </c>
      <c r="G79" s="657">
        <f>G76-G78</f>
        <v>0</v>
      </c>
      <c r="H79" s="658" t="str">
        <f>CONCATENATE("Projected ",E1+1," carryover (est.)")</f>
        <v>Projected 2014 carryover (est.)</v>
      </c>
      <c r="I79" s="683"/>
      <c r="J79" s="684"/>
      <c r="K79" s="591"/>
    </row>
    <row r="80" spans="2:11" x14ac:dyDescent="0.25">
      <c r="B80" s="14"/>
      <c r="C80" s="806" t="str">
        <f>CONCATENATE("Amount of  ",$E$1-1," Ad Valorem Tax")</f>
        <v>Amount of  2012 Ad Valorem Tax</v>
      </c>
      <c r="D80" s="807"/>
      <c r="E80" s="46">
        <f>E78+E79</f>
        <v>0</v>
      </c>
      <c r="G80" s="591"/>
      <c r="H80" s="591"/>
      <c r="I80" s="591"/>
      <c r="J80" s="591"/>
      <c r="K80" s="591"/>
    </row>
    <row r="81" spans="2:11" x14ac:dyDescent="0.25">
      <c r="B81" s="52" t="s">
        <v>9</v>
      </c>
      <c r="C81" s="539"/>
      <c r="D81" s="14"/>
      <c r="E81" s="14"/>
      <c r="G81" s="817" t="s">
        <v>826</v>
      </c>
      <c r="H81" s="818"/>
      <c r="I81" s="818"/>
      <c r="J81" s="819"/>
      <c r="K81" s="591"/>
    </row>
    <row r="82" spans="2:11" x14ac:dyDescent="0.25">
      <c r="B82" s="80"/>
      <c r="G82" s="664"/>
      <c r="H82" s="641"/>
      <c r="I82" s="665"/>
      <c r="J82" s="666"/>
      <c r="K82" s="591"/>
    </row>
    <row r="83" spans="2:11" x14ac:dyDescent="0.25">
      <c r="G83" s="667" t="str">
        <f>summ!I23</f>
        <v xml:space="preserve"> </v>
      </c>
      <c r="H83" s="641" t="str">
        <f>CONCATENATE("",E1," Fund Mill Rate")</f>
        <v>2013 Fund Mill Rate</v>
      </c>
      <c r="I83" s="665"/>
      <c r="J83" s="666"/>
      <c r="K83" s="591"/>
    </row>
    <row r="84" spans="2:11" x14ac:dyDescent="0.25">
      <c r="G84" s="668" t="str">
        <f>summ!F23</f>
        <v xml:space="preserve">  </v>
      </c>
      <c r="H84" s="641" t="str">
        <f>CONCATENATE("",E1-1," Fund Mill Rate")</f>
        <v>2012 Fund Mill Rate</v>
      </c>
      <c r="I84" s="665"/>
      <c r="J84" s="666"/>
      <c r="K84" s="591"/>
    </row>
    <row r="85" spans="2:11" x14ac:dyDescent="0.25">
      <c r="G85" s="670">
        <f>summ!I32</f>
        <v>18.600000000000001</v>
      </c>
      <c r="H85" s="641" t="str">
        <f>CONCATENATE("Total ",E1," Mill Rate")</f>
        <v>Total 2013 Mill Rate</v>
      </c>
      <c r="I85" s="665"/>
      <c r="J85" s="666"/>
      <c r="K85" s="591"/>
    </row>
    <row r="86" spans="2:11" x14ac:dyDescent="0.25">
      <c r="G86" s="668">
        <f>summ!F32</f>
        <v>20.238</v>
      </c>
      <c r="H86" s="671" t="str">
        <f>CONCATENATE("Total ",E1-1," Mill Rate")</f>
        <v>Total 2012 Mill Rate</v>
      </c>
      <c r="I86" s="672"/>
      <c r="J86" s="673"/>
      <c r="K86" s="591"/>
    </row>
    <row r="92" spans="2:11" hidden="1" x14ac:dyDescent="0.25">
      <c r="C92" s="16" t="str">
        <f>IF(C33&gt;C35,"See Tab A","")</f>
        <v/>
      </c>
      <c r="D92" s="16" t="str">
        <f>IF(D33&gt;D35,"See Tab C","")</f>
        <v/>
      </c>
    </row>
    <row r="93" spans="2:11" hidden="1" x14ac:dyDescent="0.25">
      <c r="C93" s="16" t="str">
        <f>IF(C34&lt;0,"See Tab B","")</f>
        <v/>
      </c>
      <c r="D93" s="16" t="str">
        <f>IF(D34&lt;0,"See Tab D","")</f>
        <v/>
      </c>
    </row>
    <row r="94" spans="2:11" hidden="1" x14ac:dyDescent="0.25">
      <c r="C94" s="16" t="str">
        <f>IF(C73&gt;C75,"See Tab A","")</f>
        <v/>
      </c>
      <c r="D94" s="16" t="str">
        <f>IF(D73&gt;D75,"See Tab C","")</f>
        <v/>
      </c>
    </row>
    <row r="95" spans="2:11" hidden="1" x14ac:dyDescent="0.25">
      <c r="C95" s="16" t="str">
        <f>IF(C74&lt;0,"See Tab B","")</f>
        <v/>
      </c>
      <c r="D95" s="16" t="str">
        <f>IF(D74&lt;0,"See Tab D","")</f>
        <v/>
      </c>
    </row>
  </sheetData>
  <sheetProtection sheet="1"/>
  <mergeCells count="12">
    <mergeCell ref="G24:J24"/>
    <mergeCell ref="G31:J31"/>
    <mergeCell ref="G41:J41"/>
    <mergeCell ref="G64:J64"/>
    <mergeCell ref="G71:J71"/>
    <mergeCell ref="G81:J81"/>
    <mergeCell ref="C80:D80"/>
    <mergeCell ref="C40:D40"/>
    <mergeCell ref="C36:D36"/>
    <mergeCell ref="C37:D37"/>
    <mergeCell ref="C76:D76"/>
    <mergeCell ref="C77:D77"/>
  </mergeCells>
  <phoneticPr fontId="0" type="noConversion"/>
  <conditionalFormatting sqref="E76">
    <cfRule type="cellIs" dxfId="78" priority="3" stopIfTrue="1" operator="greaterThan">
      <formula>$E$73/0.95-$E$73</formula>
    </cfRule>
  </conditionalFormatting>
  <conditionalFormatting sqref="C71">
    <cfRule type="cellIs" dxfId="77" priority="4" stopIfTrue="1" operator="greaterThan">
      <formula>$C$73*0.1</formula>
    </cfRule>
  </conditionalFormatting>
  <conditionalFormatting sqref="D71">
    <cfRule type="cellIs" dxfId="76" priority="5" stopIfTrue="1" operator="greaterThan">
      <formula>$D$73*0.1</formula>
    </cfRule>
  </conditionalFormatting>
  <conditionalFormatting sqref="E71">
    <cfRule type="cellIs" dxfId="75" priority="6" stopIfTrue="1" operator="greaterThan">
      <formula>$E$73*0.1</formula>
    </cfRule>
  </conditionalFormatting>
  <conditionalFormatting sqref="C58">
    <cfRule type="cellIs" dxfId="74" priority="7" stopIfTrue="1" operator="greaterThan">
      <formula>$C$60*0.1</formula>
    </cfRule>
  </conditionalFormatting>
  <conditionalFormatting sqref="D58">
    <cfRule type="cellIs" dxfId="73" priority="8" stopIfTrue="1" operator="greaterThan">
      <formula>$D$60*0.1</formula>
    </cfRule>
  </conditionalFormatting>
  <conditionalFormatting sqref="E36">
    <cfRule type="cellIs" dxfId="72" priority="9" stopIfTrue="1" operator="greaterThan">
      <formula>$E$33/0.95-$E$33</formula>
    </cfRule>
  </conditionalFormatting>
  <conditionalFormatting sqref="C31">
    <cfRule type="cellIs" dxfId="71" priority="10" stopIfTrue="1" operator="greaterThan">
      <formula>$C$33*0.1</formula>
    </cfRule>
  </conditionalFormatting>
  <conditionalFormatting sqref="D31">
    <cfRule type="cellIs" dxfId="70" priority="11" stopIfTrue="1" operator="greaterThan">
      <formula>$D$33*0.1</formula>
    </cfRule>
  </conditionalFormatting>
  <conditionalFormatting sqref="E31">
    <cfRule type="cellIs" dxfId="69" priority="12" stopIfTrue="1" operator="greaterThan">
      <formula>$E$33*0.1</formula>
    </cfRule>
  </conditionalFormatting>
  <conditionalFormatting sqref="C18">
    <cfRule type="cellIs" dxfId="68" priority="13" stopIfTrue="1" operator="greaterThan">
      <formula>$C$20*0.1</formula>
    </cfRule>
  </conditionalFormatting>
  <conditionalFormatting sqref="D18">
    <cfRule type="cellIs" dxfId="67" priority="14" stopIfTrue="1" operator="greaterThan">
      <formula>$D$20*0.1</formula>
    </cfRule>
  </conditionalFormatting>
  <conditionalFormatting sqref="E58">
    <cfRule type="cellIs" dxfId="66" priority="15" stopIfTrue="1" operator="greaterThan">
      <formula>$E$60*0.1+$E$80</formula>
    </cfRule>
  </conditionalFormatting>
  <conditionalFormatting sqref="E18">
    <cfRule type="cellIs" dxfId="65" priority="16" stopIfTrue="1" operator="greaterThan">
      <formula>$E$20*0.1+$E$40</formula>
    </cfRule>
  </conditionalFormatting>
  <conditionalFormatting sqref="C74 C34">
    <cfRule type="cellIs" dxfId="64" priority="17" stopIfTrue="1" operator="lessThan">
      <formula>0</formula>
    </cfRule>
  </conditionalFormatting>
  <conditionalFormatting sqref="C73">
    <cfRule type="cellIs" dxfId="63" priority="18" stopIfTrue="1" operator="greaterThan">
      <formula>$C$75</formula>
    </cfRule>
  </conditionalFormatting>
  <conditionalFormatting sqref="D73">
    <cfRule type="cellIs" dxfId="62" priority="19" stopIfTrue="1" operator="greaterThan">
      <formula>$D$75</formula>
    </cfRule>
  </conditionalFormatting>
  <conditionalFormatting sqref="C33">
    <cfRule type="cellIs" dxfId="61" priority="20" stopIfTrue="1" operator="greaterThan">
      <formula>$C$35</formula>
    </cfRule>
  </conditionalFormatting>
  <conditionalFormatting sqref="D33">
    <cfRule type="cellIs" dxfId="60" priority="21" stopIfTrue="1" operator="greaterThan">
      <formula>$D$35</formula>
    </cfRule>
  </conditionalFormatting>
  <conditionalFormatting sqref="D34 D74">
    <cfRule type="cellIs" dxfId="59" priority="2" stopIfTrue="1" operator="lessThan">
      <formula>0</formula>
    </cfRule>
  </conditionalFormatting>
  <pageMargins left="0.9" right="0.9" top="0.96" bottom="0.5" header="0.41" footer="0.3"/>
  <pageSetup scale="57" orientation="portrait" blackAndWhite="1" horizontalDpi="1200" verticalDpi="1200" r:id="rId1"/>
  <headerFooter alignWithMargins="0">
    <oddHeader xml:space="preserve">&amp;RState of Kansas
Township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5"/>
  <sheetViews>
    <sheetView zoomScaleNormal="100" workbookViewId="0">
      <selection activeCell="C15" sqref="C15:D15"/>
    </sheetView>
  </sheetViews>
  <sheetFormatPr defaultRowHeight="15.75" x14ac:dyDescent="0.2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x14ac:dyDescent="0.25">
      <c r="B1" s="13" t="str">
        <f>inputPrYr!D2</f>
        <v>Liberty Township</v>
      </c>
      <c r="C1" s="14"/>
      <c r="D1" s="14"/>
      <c r="E1" s="15">
        <f>inputPrYr!D5</f>
        <v>2013</v>
      </c>
    </row>
    <row r="2" spans="2:5" x14ac:dyDescent="0.25">
      <c r="B2" s="17"/>
      <c r="C2" s="14"/>
      <c r="D2" s="61"/>
      <c r="E2" s="82"/>
    </row>
    <row r="3" spans="2:5" x14ac:dyDescent="0.25">
      <c r="B3" s="541" t="s">
        <v>721</v>
      </c>
      <c r="C3" s="66"/>
      <c r="D3" s="66"/>
      <c r="E3" s="66"/>
    </row>
    <row r="4" spans="2:5" x14ac:dyDescent="0.25">
      <c r="B4" s="22" t="s">
        <v>10</v>
      </c>
      <c r="C4" s="388" t="s">
        <v>11</v>
      </c>
      <c r="D4" s="391" t="s">
        <v>12</v>
      </c>
      <c r="E4" s="23" t="s">
        <v>13</v>
      </c>
    </row>
    <row r="5" spans="2:5" x14ac:dyDescent="0.25">
      <c r="B5" s="400">
        <f>inputPrYr!B22</f>
        <v>0</v>
      </c>
      <c r="C5" s="389" t="str">
        <f>gen!C5</f>
        <v>Actual for 2011</v>
      </c>
      <c r="D5" s="389" t="str">
        <f>gen!D5</f>
        <v>Estimate for 2012</v>
      </c>
      <c r="E5" s="26" t="str">
        <f>gen!E5</f>
        <v>Year for 2013</v>
      </c>
    </row>
    <row r="6" spans="2:5" x14ac:dyDescent="0.25">
      <c r="B6" s="27" t="s">
        <v>118</v>
      </c>
      <c r="C6" s="29"/>
      <c r="D6" s="390">
        <f>C34</f>
        <v>0</v>
      </c>
      <c r="E6" s="32">
        <f>D34</f>
        <v>0</v>
      </c>
    </row>
    <row r="7" spans="2:5" x14ac:dyDescent="0.25">
      <c r="B7" s="27" t="s">
        <v>120</v>
      </c>
      <c r="C7" s="390"/>
      <c r="D7" s="390"/>
      <c r="E7" s="33"/>
    </row>
    <row r="8" spans="2:5" x14ac:dyDescent="0.25">
      <c r="B8" s="27" t="s">
        <v>16</v>
      </c>
      <c r="C8" s="29"/>
      <c r="D8" s="390">
        <f>IF(inputPrYr!H15&gt;0,inputPrYr!G22,inputPrYr!E22)</f>
        <v>0</v>
      </c>
      <c r="E8" s="33" t="s">
        <v>290</v>
      </c>
    </row>
    <row r="9" spans="2:5" x14ac:dyDescent="0.25">
      <c r="B9" s="27" t="s">
        <v>17</v>
      </c>
      <c r="C9" s="29"/>
      <c r="D9" s="29"/>
      <c r="E9" s="34"/>
    </row>
    <row r="10" spans="2:5" x14ac:dyDescent="0.25">
      <c r="B10" s="27" t="s">
        <v>18</v>
      </c>
      <c r="C10" s="29"/>
      <c r="D10" s="29"/>
      <c r="E10" s="32">
        <f>mvalloc!G17</f>
        <v>0</v>
      </c>
    </row>
    <row r="11" spans="2:5" x14ac:dyDescent="0.25">
      <c r="B11" s="27" t="s">
        <v>19</v>
      </c>
      <c r="C11" s="29"/>
      <c r="D11" s="29"/>
      <c r="E11" s="32">
        <f>mvalloc!I17</f>
        <v>0</v>
      </c>
    </row>
    <row r="12" spans="2:5" x14ac:dyDescent="0.25">
      <c r="B12" s="27" t="s">
        <v>99</v>
      </c>
      <c r="C12" s="29"/>
      <c r="D12" s="29"/>
      <c r="E12" s="32">
        <f>mvalloc!J17</f>
        <v>0</v>
      </c>
    </row>
    <row r="13" spans="2:5" x14ac:dyDescent="0.25">
      <c r="B13" s="37"/>
      <c r="C13" s="29"/>
      <c r="D13" s="29"/>
      <c r="E13" s="34"/>
    </row>
    <row r="14" spans="2:5" x14ac:dyDescent="0.25">
      <c r="B14" s="37"/>
      <c r="C14" s="29"/>
      <c r="D14" s="29"/>
      <c r="E14" s="34"/>
    </row>
    <row r="15" spans="2:5" x14ac:dyDescent="0.25">
      <c r="B15" s="37"/>
      <c r="C15" s="29"/>
      <c r="D15" s="29"/>
      <c r="E15" s="34"/>
    </row>
    <row r="16" spans="2:5" x14ac:dyDescent="0.25">
      <c r="B16" s="38"/>
      <c r="C16" s="29"/>
      <c r="D16" s="29"/>
      <c r="E16" s="34"/>
    </row>
    <row r="17" spans="2:11" x14ac:dyDescent="0.25">
      <c r="B17" s="38" t="s">
        <v>22</v>
      </c>
      <c r="C17" s="29"/>
      <c r="D17" s="29"/>
      <c r="E17" s="34"/>
    </row>
    <row r="18" spans="2:11" x14ac:dyDescent="0.25">
      <c r="B18" s="39" t="s">
        <v>213</v>
      </c>
      <c r="C18" s="29"/>
      <c r="D18" s="29"/>
      <c r="E18" s="34"/>
    </row>
    <row r="19" spans="2:11" x14ac:dyDescent="0.25">
      <c r="B19" s="39" t="s">
        <v>214</v>
      </c>
      <c r="C19" s="387" t="str">
        <f>IF(C20*0.1&lt;C18,"Exceed 10% Rule","")</f>
        <v/>
      </c>
      <c r="D19" s="387" t="str">
        <f>IF(D20*0.1&lt;D18,"Exceed 10% Rule","")</f>
        <v/>
      </c>
      <c r="E19" s="45" t="str">
        <f>IF(E20*0.1+E40&lt;E18,"Exceed 10% Rule","")</f>
        <v/>
      </c>
    </row>
    <row r="20" spans="2:11" x14ac:dyDescent="0.25">
      <c r="B20" s="41" t="s">
        <v>23</v>
      </c>
      <c r="C20" s="392">
        <f>SUM(C8:C18)</f>
        <v>0</v>
      </c>
      <c r="D20" s="392">
        <f>SUM(D8:D18)</f>
        <v>0</v>
      </c>
      <c r="E20" s="42">
        <f>SUM(E8:E18)</f>
        <v>0</v>
      </c>
    </row>
    <row r="21" spans="2:11" x14ac:dyDescent="0.25">
      <c r="B21" s="43" t="s">
        <v>24</v>
      </c>
      <c r="C21" s="392">
        <f>C20+C6</f>
        <v>0</v>
      </c>
      <c r="D21" s="392">
        <f>D20+D6</f>
        <v>0</v>
      </c>
      <c r="E21" s="42">
        <f>E20+E6</f>
        <v>0</v>
      </c>
    </row>
    <row r="22" spans="2:11" x14ac:dyDescent="0.25">
      <c r="B22" s="27" t="s">
        <v>25</v>
      </c>
      <c r="C22" s="390"/>
      <c r="D22" s="390"/>
      <c r="E22" s="32"/>
    </row>
    <row r="23" spans="2:11" x14ac:dyDescent="0.25">
      <c r="B23" s="38"/>
      <c r="C23" s="29"/>
      <c r="D23" s="29"/>
      <c r="E23" s="34"/>
    </row>
    <row r="24" spans="2:11" x14ac:dyDescent="0.25">
      <c r="B24" s="38"/>
      <c r="C24" s="29"/>
      <c r="D24" s="29"/>
      <c r="E24" s="34"/>
      <c r="G24" s="820" t="str">
        <f>CONCATENATE("Desired Carryover Into ",E1+1,"")</f>
        <v>Desired Carryover Into 2014</v>
      </c>
      <c r="H24" s="821"/>
      <c r="I24" s="821"/>
      <c r="J24" s="822"/>
      <c r="K24" s="591"/>
    </row>
    <row r="25" spans="2:11" x14ac:dyDescent="0.25">
      <c r="B25" s="38"/>
      <c r="C25" s="29"/>
      <c r="D25" s="29"/>
      <c r="E25" s="34"/>
      <c r="G25" s="622"/>
      <c r="H25" s="623"/>
      <c r="I25" s="624"/>
      <c r="J25" s="625"/>
      <c r="K25" s="591"/>
    </row>
    <row r="26" spans="2:11" x14ac:dyDescent="0.25">
      <c r="B26" s="38"/>
      <c r="C26" s="29"/>
      <c r="D26" s="29"/>
      <c r="E26" s="34"/>
      <c r="G26" s="626" t="s">
        <v>715</v>
      </c>
      <c r="H26" s="624"/>
      <c r="I26" s="624"/>
      <c r="J26" s="627">
        <v>0</v>
      </c>
      <c r="K26" s="591"/>
    </row>
    <row r="27" spans="2:11" x14ac:dyDescent="0.25">
      <c r="B27" s="38"/>
      <c r="C27" s="29"/>
      <c r="D27" s="29"/>
      <c r="E27" s="34"/>
      <c r="G27" s="622" t="s">
        <v>716</v>
      </c>
      <c r="H27" s="623"/>
      <c r="I27" s="623"/>
      <c r="J27" s="628" t="str">
        <f>IF(J26=0,"",ROUND((J26+E40-G39)/inputOth!E7*1000,3)-G44)</f>
        <v/>
      </c>
      <c r="K27" s="591"/>
    </row>
    <row r="28" spans="2:11" x14ac:dyDescent="0.25">
      <c r="B28" s="38"/>
      <c r="C28" s="29"/>
      <c r="D28" s="29"/>
      <c r="E28" s="34"/>
      <c r="G28" s="629" t="str">
        <f>CONCATENATE("",E1," Tot Exp/Non-Appr Must Be:")</f>
        <v>2013 Tot Exp/Non-Appr Must Be:</v>
      </c>
      <c r="H28" s="630"/>
      <c r="I28" s="631"/>
      <c r="J28" s="632">
        <f>IF(J26&gt;0,IF(E37&lt;E21,IF(J26=G39,E37,((J26-G39)*(1-D39))+E21),E37+(J26-G39)),0)</f>
        <v>0</v>
      </c>
      <c r="K28" s="591"/>
    </row>
    <row r="29" spans="2:11" x14ac:dyDescent="0.25">
      <c r="B29" s="38"/>
      <c r="C29" s="29"/>
      <c r="D29" s="29"/>
      <c r="E29" s="34"/>
      <c r="G29" s="633" t="s">
        <v>825</v>
      </c>
      <c r="H29" s="634"/>
      <c r="I29" s="634"/>
      <c r="J29" s="635">
        <f>IF(J26&gt;0,J28-E37,0)</f>
        <v>0</v>
      </c>
      <c r="K29" s="591"/>
    </row>
    <row r="30" spans="2:11" x14ac:dyDescent="0.25">
      <c r="B30" s="35" t="s">
        <v>215</v>
      </c>
      <c r="C30" s="29"/>
      <c r="D30" s="29"/>
      <c r="E30" s="46" t="str">
        <f>nhood!E12</f>
        <v/>
      </c>
      <c r="G30" s="591"/>
      <c r="H30" s="591"/>
      <c r="I30" s="591"/>
      <c r="J30" s="591"/>
      <c r="K30" s="591"/>
    </row>
    <row r="31" spans="2:11" x14ac:dyDescent="0.25">
      <c r="B31" s="35" t="s">
        <v>213</v>
      </c>
      <c r="C31" s="29"/>
      <c r="D31" s="29"/>
      <c r="E31" s="34"/>
      <c r="G31" s="820" t="str">
        <f>CONCATENATE("Projected Carryover Into ",E1+1,"")</f>
        <v>Projected Carryover Into 2014</v>
      </c>
      <c r="H31" s="825"/>
      <c r="I31" s="825"/>
      <c r="J31" s="824"/>
      <c r="K31" s="591"/>
    </row>
    <row r="32" spans="2:11" x14ac:dyDescent="0.25">
      <c r="B32" s="35" t="s">
        <v>622</v>
      </c>
      <c r="C32" s="387" t="str">
        <f>IF(C33*0.1&lt;C31,"Exceed 10% Rule","")</f>
        <v/>
      </c>
      <c r="D32" s="387" t="str">
        <f>IF(D33*0.1&lt;D31,"Exceed 10% Rule","")</f>
        <v/>
      </c>
      <c r="E32" s="45" t="str">
        <f>IF(E33*0.1&lt;E31,"Exceed 10% Rule","")</f>
        <v/>
      </c>
      <c r="G32" s="622"/>
      <c r="H32" s="624"/>
      <c r="I32" s="624"/>
      <c r="J32" s="637"/>
      <c r="K32" s="591"/>
    </row>
    <row r="33" spans="2:11" x14ac:dyDescent="0.25">
      <c r="B33" s="43" t="s">
        <v>26</v>
      </c>
      <c r="C33" s="392">
        <f>SUM(C23:C31)</f>
        <v>0</v>
      </c>
      <c r="D33" s="392">
        <f>SUM(D23:D31)</f>
        <v>0</v>
      </c>
      <c r="E33" s="42">
        <f>SUM(E23:E31)</f>
        <v>0</v>
      </c>
      <c r="G33" s="640">
        <f>D34</f>
        <v>0</v>
      </c>
      <c r="H33" s="641" t="str">
        <f>CONCATENATE("",E1-1," Ending Cash Balance (est.)")</f>
        <v>2012 Ending Cash Balance (est.)</v>
      </c>
      <c r="I33" s="642"/>
      <c r="J33" s="637"/>
      <c r="K33" s="591"/>
    </row>
    <row r="34" spans="2:11" x14ac:dyDescent="0.25">
      <c r="B34" s="27" t="s">
        <v>119</v>
      </c>
      <c r="C34" s="385">
        <f>C21-C33</f>
        <v>0</v>
      </c>
      <c r="D34" s="385">
        <f>D21-D33</f>
        <v>0</v>
      </c>
      <c r="E34" s="33" t="s">
        <v>290</v>
      </c>
      <c r="G34" s="640">
        <f>E20</f>
        <v>0</v>
      </c>
      <c r="H34" s="624" t="str">
        <f>CONCATENATE("",E1," Non-AV Receipts (est.)")</f>
        <v>2013 Non-AV Receipts (est.)</v>
      </c>
      <c r="I34" s="642"/>
      <c r="J34" s="637"/>
      <c r="K34" s="591"/>
    </row>
    <row r="35" spans="2:11" x14ac:dyDescent="0.2">
      <c r="B35" s="48" t="str">
        <f>CONCATENATE("",E1-2,"/",E1-1," Budget Authority Amount:")</f>
        <v>2011/2012 Budget Authority Amount:</v>
      </c>
      <c r="C35" s="132">
        <f>inputOth!B52</f>
        <v>0</v>
      </c>
      <c r="D35" s="161">
        <f>inputPrYr!D22</f>
        <v>0</v>
      </c>
      <c r="E35" s="33" t="s">
        <v>290</v>
      </c>
      <c r="F35" s="50"/>
      <c r="G35" s="649">
        <f>IF(E39&gt;0,E38,E40)</f>
        <v>0</v>
      </c>
      <c r="H35" s="624" t="str">
        <f>CONCATENATE("",E1," Ad Valorem Tax (est.)")</f>
        <v>2013 Ad Valorem Tax (est.)</v>
      </c>
      <c r="I35" s="642"/>
      <c r="J35" s="637"/>
      <c r="K35" s="650" t="str">
        <f>IF(G35=E40,"","Note: Does not include Delinquent Taxes")</f>
        <v/>
      </c>
    </row>
    <row r="36" spans="2:11" x14ac:dyDescent="0.25">
      <c r="B36" s="48"/>
      <c r="C36" s="808" t="s">
        <v>623</v>
      </c>
      <c r="D36" s="809"/>
      <c r="E36" s="34"/>
      <c r="F36" s="486" t="str">
        <f>IF(E33/0.95-E33&lt;E36,"Exceeds 5%","")</f>
        <v/>
      </c>
      <c r="G36" s="640">
        <f>SUM(G33:G35)</f>
        <v>0</v>
      </c>
      <c r="H36" s="624" t="str">
        <f>CONCATENATE("Total ",E1," Resources Available")</f>
        <v>Total 2013 Resources Available</v>
      </c>
      <c r="I36" s="642"/>
      <c r="J36" s="637"/>
      <c r="K36" s="591"/>
    </row>
    <row r="37" spans="2:11" x14ac:dyDescent="0.25">
      <c r="B37" s="399" t="str">
        <f>CONCATENATE(C92,"     ",D92)</f>
        <v xml:space="preserve">     </v>
      </c>
      <c r="C37" s="810" t="s">
        <v>624</v>
      </c>
      <c r="D37" s="811"/>
      <c r="E37" s="32">
        <f>E33+E36</f>
        <v>0</v>
      </c>
      <c r="G37" s="653"/>
      <c r="H37" s="624"/>
      <c r="I37" s="624"/>
      <c r="J37" s="637"/>
      <c r="K37" s="591"/>
    </row>
    <row r="38" spans="2:11" x14ac:dyDescent="0.25">
      <c r="B38" s="399" t="str">
        <f>CONCATENATE(C93,"     ",D93)</f>
        <v xml:space="preserve">     </v>
      </c>
      <c r="C38" s="60"/>
      <c r="D38" s="52" t="s">
        <v>28</v>
      </c>
      <c r="E38" s="46">
        <f>IF(E37-E21&gt;0,E37-E21,0)</f>
        <v>0</v>
      </c>
      <c r="G38" s="649">
        <f>C33*0.05+C33</f>
        <v>0</v>
      </c>
      <c r="H38" s="624" t="str">
        <f>CONCATENATE("Less ",E1-2," Expenditures + 5%")</f>
        <v>Less 2011 Expenditures + 5%</v>
      </c>
      <c r="I38" s="624"/>
      <c r="J38" s="637"/>
      <c r="K38" s="591"/>
    </row>
    <row r="39" spans="2:11" x14ac:dyDescent="0.25">
      <c r="B39" s="52"/>
      <c r="C39" s="403" t="s">
        <v>625</v>
      </c>
      <c r="D39" s="698">
        <f>inputOth!$E$40</f>
        <v>0</v>
      </c>
      <c r="E39" s="32">
        <f>ROUND(IF(D39&gt;0,(E38*D39),0),0)</f>
        <v>0</v>
      </c>
      <c r="G39" s="657">
        <f>G36-G38</f>
        <v>0</v>
      </c>
      <c r="H39" s="658" t="str">
        <f>CONCATENATE("Projected ",E1+1," carryover (est.)")</f>
        <v>Projected 2014 carryover (est.)</v>
      </c>
      <c r="I39" s="659"/>
      <c r="J39" s="660"/>
      <c r="K39" s="591"/>
    </row>
    <row r="40" spans="2:11" x14ac:dyDescent="0.25">
      <c r="B40" s="14"/>
      <c r="C40" s="806" t="str">
        <f>CONCATENATE("Amount of  ",$E$1-1," Ad Valorem Tax")</f>
        <v>Amount of  2012 Ad Valorem Tax</v>
      </c>
      <c r="D40" s="807"/>
      <c r="E40" s="46">
        <f>E38+E39</f>
        <v>0</v>
      </c>
      <c r="G40" s="591"/>
      <c r="H40" s="591"/>
      <c r="I40" s="591"/>
      <c r="J40" s="591"/>
      <c r="K40" s="591"/>
    </row>
    <row r="41" spans="2:11" x14ac:dyDescent="0.25">
      <c r="B41" s="14"/>
      <c r="C41" s="548"/>
      <c r="D41" s="14"/>
      <c r="E41" s="14"/>
      <c r="G41" s="817" t="s">
        <v>826</v>
      </c>
      <c r="H41" s="818"/>
      <c r="I41" s="818"/>
      <c r="J41" s="819"/>
      <c r="K41" s="591"/>
    </row>
    <row r="42" spans="2:11" x14ac:dyDescent="0.25">
      <c r="B42" s="14"/>
      <c r="C42" s="548"/>
      <c r="D42" s="14"/>
      <c r="E42" s="14"/>
      <c r="G42" s="664"/>
      <c r="H42" s="641"/>
      <c r="I42" s="665"/>
      <c r="J42" s="666"/>
      <c r="K42" s="591"/>
    </row>
    <row r="43" spans="2:11" x14ac:dyDescent="0.25">
      <c r="B43" s="22" t="s">
        <v>10</v>
      </c>
      <c r="C43" s="66"/>
      <c r="D43" s="66"/>
      <c r="E43" s="66"/>
      <c r="G43" s="667" t="str">
        <f>summ!I24</f>
        <v xml:space="preserve"> </v>
      </c>
      <c r="H43" s="641" t="str">
        <f>CONCATENATE("",E1," Fund Mill Rate")</f>
        <v>2013 Fund Mill Rate</v>
      </c>
      <c r="I43" s="665"/>
      <c r="J43" s="666"/>
      <c r="K43" s="591"/>
    </row>
    <row r="44" spans="2:11" x14ac:dyDescent="0.25">
      <c r="B44" s="14"/>
      <c r="C44" s="388" t="s">
        <v>11</v>
      </c>
      <c r="D44" s="391" t="s">
        <v>12</v>
      </c>
      <c r="E44" s="23" t="s">
        <v>13</v>
      </c>
      <c r="G44" s="668" t="str">
        <f>summ!F24</f>
        <v xml:space="preserve">  </v>
      </c>
      <c r="H44" s="641" t="str">
        <f>CONCATENATE("",E1-1," Fund Mill Rate")</f>
        <v>2012 Fund Mill Rate</v>
      </c>
      <c r="I44" s="665"/>
      <c r="J44" s="666"/>
      <c r="K44" s="591"/>
    </row>
    <row r="45" spans="2:11" x14ac:dyDescent="0.25">
      <c r="B45" s="481">
        <f>inputPrYr!B23</f>
        <v>0</v>
      </c>
      <c r="C45" s="389" t="str">
        <f>C5</f>
        <v>Actual for 2011</v>
      </c>
      <c r="D45" s="389" t="str">
        <f>D5</f>
        <v>Estimate for 2012</v>
      </c>
      <c r="E45" s="26" t="str">
        <f>E5</f>
        <v>Year for 2013</v>
      </c>
      <c r="G45" s="670">
        <f>summ!I32</f>
        <v>18.600000000000001</v>
      </c>
      <c r="H45" s="641" t="str">
        <f>CONCATENATE("Total ",E1," Mill Rate")</f>
        <v>Total 2013 Mill Rate</v>
      </c>
      <c r="I45" s="665"/>
      <c r="J45" s="666"/>
      <c r="K45" s="591"/>
    </row>
    <row r="46" spans="2:11" x14ac:dyDescent="0.25">
      <c r="B46" s="27" t="s">
        <v>118</v>
      </c>
      <c r="C46" s="29"/>
      <c r="D46" s="390">
        <f>C74</f>
        <v>0</v>
      </c>
      <c r="E46" s="32">
        <f>D74</f>
        <v>0</v>
      </c>
      <c r="G46" s="668">
        <f>summ!F32</f>
        <v>20.238</v>
      </c>
      <c r="H46" s="671" t="str">
        <f>CONCATENATE("Total ",E1-1," Mill Rate")</f>
        <v>Total 2012 Mill Rate</v>
      </c>
      <c r="I46" s="672"/>
      <c r="J46" s="673"/>
      <c r="K46" s="591"/>
    </row>
    <row r="47" spans="2:11" x14ac:dyDescent="0.25">
      <c r="B47" s="27" t="s">
        <v>120</v>
      </c>
      <c r="C47" s="390"/>
      <c r="D47" s="390"/>
      <c r="E47" s="33"/>
      <c r="G47" s="591"/>
      <c r="H47" s="591"/>
      <c r="I47" s="591"/>
      <c r="J47" s="591"/>
      <c r="K47" s="591"/>
    </row>
    <row r="48" spans="2:11" x14ac:dyDescent="0.25">
      <c r="B48" s="27" t="s">
        <v>16</v>
      </c>
      <c r="C48" s="29"/>
      <c r="D48" s="390">
        <f>IF(inputPrYr!H15&gt;0,inputPrYr!G23,inputPrYr!E23)</f>
        <v>0</v>
      </c>
      <c r="E48" s="33" t="s">
        <v>290</v>
      </c>
      <c r="G48" s="591"/>
      <c r="H48" s="591"/>
      <c r="I48" s="591"/>
      <c r="J48" s="591"/>
      <c r="K48" s="591"/>
    </row>
    <row r="49" spans="2:11" x14ac:dyDescent="0.25">
      <c r="B49" s="27" t="s">
        <v>17</v>
      </c>
      <c r="C49" s="29"/>
      <c r="D49" s="29"/>
      <c r="E49" s="34"/>
      <c r="G49" s="591"/>
      <c r="H49" s="591"/>
      <c r="I49" s="591"/>
      <c r="J49" s="591"/>
      <c r="K49" s="591"/>
    </row>
    <row r="50" spans="2:11" x14ac:dyDescent="0.25">
      <c r="B50" s="27" t="s">
        <v>18</v>
      </c>
      <c r="C50" s="29"/>
      <c r="D50" s="29"/>
      <c r="E50" s="32">
        <f>mvalloc!G18</f>
        <v>0</v>
      </c>
      <c r="G50" s="591"/>
      <c r="H50" s="591"/>
      <c r="I50" s="591"/>
      <c r="J50" s="591"/>
      <c r="K50" s="591"/>
    </row>
    <row r="51" spans="2:11" x14ac:dyDescent="0.25">
      <c r="B51" s="27" t="s">
        <v>19</v>
      </c>
      <c r="C51" s="29"/>
      <c r="D51" s="29"/>
      <c r="E51" s="32">
        <f>mvalloc!I18</f>
        <v>0</v>
      </c>
      <c r="G51" s="591"/>
      <c r="H51" s="591"/>
      <c r="I51" s="591"/>
      <c r="J51" s="591"/>
      <c r="K51" s="591"/>
    </row>
    <row r="52" spans="2:11" x14ac:dyDescent="0.25">
      <c r="B52" s="27" t="s">
        <v>99</v>
      </c>
      <c r="C52" s="29"/>
      <c r="D52" s="29"/>
      <c r="E52" s="32">
        <f>mvalloc!J18</f>
        <v>0</v>
      </c>
      <c r="G52" s="591"/>
      <c r="H52" s="591"/>
      <c r="I52" s="591"/>
      <c r="J52" s="591"/>
      <c r="K52" s="591"/>
    </row>
    <row r="53" spans="2:11" x14ac:dyDescent="0.25">
      <c r="B53" s="38"/>
      <c r="C53" s="29"/>
      <c r="D53" s="29"/>
      <c r="E53" s="34"/>
      <c r="G53" s="591"/>
      <c r="H53" s="591"/>
      <c r="I53" s="591"/>
      <c r="J53" s="591"/>
      <c r="K53" s="591"/>
    </row>
    <row r="54" spans="2:11" x14ac:dyDescent="0.25">
      <c r="B54" s="38"/>
      <c r="C54" s="29"/>
      <c r="D54" s="29"/>
      <c r="E54" s="34"/>
      <c r="G54" s="591"/>
      <c r="H54" s="591"/>
      <c r="I54" s="591"/>
      <c r="J54" s="591"/>
      <c r="K54" s="591"/>
    </row>
    <row r="55" spans="2:11" x14ac:dyDescent="0.25">
      <c r="B55" s="38"/>
      <c r="C55" s="29"/>
      <c r="D55" s="29"/>
      <c r="E55" s="34"/>
      <c r="G55" s="591"/>
      <c r="H55" s="591"/>
      <c r="I55" s="591"/>
      <c r="J55" s="591"/>
      <c r="K55" s="591"/>
    </row>
    <row r="56" spans="2:11" x14ac:dyDescent="0.25">
      <c r="B56" s="38"/>
      <c r="C56" s="29"/>
      <c r="D56" s="29"/>
      <c r="E56" s="34"/>
      <c r="G56" s="591"/>
      <c r="H56" s="591"/>
      <c r="I56" s="591"/>
      <c r="J56" s="591"/>
      <c r="K56" s="591"/>
    </row>
    <row r="57" spans="2:11" x14ac:dyDescent="0.25">
      <c r="B57" s="38" t="s">
        <v>22</v>
      </c>
      <c r="C57" s="29"/>
      <c r="D57" s="29"/>
      <c r="E57" s="34"/>
      <c r="G57" s="591"/>
      <c r="H57" s="591"/>
      <c r="I57" s="591"/>
      <c r="J57" s="591"/>
      <c r="K57" s="591"/>
    </row>
    <row r="58" spans="2:11" x14ac:dyDescent="0.25">
      <c r="B58" s="39" t="s">
        <v>213</v>
      </c>
      <c r="C58" s="29"/>
      <c r="D58" s="29"/>
      <c r="E58" s="34"/>
      <c r="G58" s="591"/>
      <c r="H58" s="591"/>
      <c r="I58" s="591"/>
      <c r="J58" s="591"/>
      <c r="K58" s="591"/>
    </row>
    <row r="59" spans="2:11" x14ac:dyDescent="0.25">
      <c r="B59" s="39" t="s">
        <v>214</v>
      </c>
      <c r="C59" s="387" t="str">
        <f>IF(C60*0.1&lt;C58,"Exceed 10% Rule","")</f>
        <v/>
      </c>
      <c r="D59" s="387" t="str">
        <f>IF(D60*0.1&lt;D58,"Exceed 10% Rule","")</f>
        <v/>
      </c>
      <c r="E59" s="45" t="str">
        <f>IF(E60*0.1+E80&lt;E58,"Exceed 10% Rule","")</f>
        <v/>
      </c>
      <c r="G59" s="591"/>
      <c r="H59" s="591"/>
      <c r="I59" s="591"/>
      <c r="J59" s="591"/>
      <c r="K59" s="591"/>
    </row>
    <row r="60" spans="2:11" x14ac:dyDescent="0.25">
      <c r="B60" s="41" t="s">
        <v>23</v>
      </c>
      <c r="C60" s="392">
        <f>SUM(C48:C58)</f>
        <v>0</v>
      </c>
      <c r="D60" s="392">
        <f>SUM(D48:D58)</f>
        <v>0</v>
      </c>
      <c r="E60" s="42">
        <f>SUM(E48:E58)</f>
        <v>0</v>
      </c>
      <c r="G60" s="591"/>
      <c r="H60" s="591"/>
      <c r="I60" s="591"/>
      <c r="J60" s="591"/>
      <c r="K60" s="591"/>
    </row>
    <row r="61" spans="2:11" x14ac:dyDescent="0.25">
      <c r="B61" s="43" t="s">
        <v>24</v>
      </c>
      <c r="C61" s="392">
        <f>C60+C46</f>
        <v>0</v>
      </c>
      <c r="D61" s="392">
        <f>D60+D46</f>
        <v>0</v>
      </c>
      <c r="E61" s="42">
        <f>E60+E46</f>
        <v>0</v>
      </c>
      <c r="G61" s="591"/>
      <c r="H61" s="591"/>
      <c r="I61" s="591"/>
      <c r="J61" s="591"/>
      <c r="K61" s="591"/>
    </row>
    <row r="62" spans="2:11" x14ac:dyDescent="0.25">
      <c r="B62" s="27" t="s">
        <v>25</v>
      </c>
      <c r="C62" s="390"/>
      <c r="D62" s="390"/>
      <c r="E62" s="32"/>
      <c r="G62" s="591"/>
      <c r="H62" s="591"/>
      <c r="I62" s="591"/>
      <c r="J62" s="591"/>
      <c r="K62" s="591"/>
    </row>
    <row r="63" spans="2:11" x14ac:dyDescent="0.25">
      <c r="B63" s="38"/>
      <c r="C63" s="29"/>
      <c r="D63" s="29"/>
      <c r="E63" s="34"/>
      <c r="G63" s="591"/>
      <c r="H63" s="591"/>
      <c r="I63" s="591"/>
      <c r="J63" s="591"/>
      <c r="K63" s="591"/>
    </row>
    <row r="64" spans="2:11" x14ac:dyDescent="0.25">
      <c r="B64" s="38"/>
      <c r="C64" s="29"/>
      <c r="D64" s="29"/>
      <c r="E64" s="34"/>
      <c r="G64" s="820" t="str">
        <f>CONCATENATE("Desired Carryover Into ",E1+1,"")</f>
        <v>Desired Carryover Into 2014</v>
      </c>
      <c r="H64" s="821"/>
      <c r="I64" s="821"/>
      <c r="J64" s="822"/>
      <c r="K64" s="591"/>
    </row>
    <row r="65" spans="2:11" x14ac:dyDescent="0.25">
      <c r="B65" s="38"/>
      <c r="C65" s="29"/>
      <c r="D65" s="29"/>
      <c r="E65" s="34"/>
      <c r="G65" s="622"/>
      <c r="H65" s="623"/>
      <c r="I65" s="624"/>
      <c r="J65" s="625"/>
      <c r="K65" s="591"/>
    </row>
    <row r="66" spans="2:11" x14ac:dyDescent="0.25">
      <c r="B66" s="38"/>
      <c r="C66" s="29"/>
      <c r="D66" s="29"/>
      <c r="E66" s="34"/>
      <c r="G66" s="626" t="s">
        <v>715</v>
      </c>
      <c r="H66" s="624"/>
      <c r="I66" s="624"/>
      <c r="J66" s="627">
        <v>0</v>
      </c>
      <c r="K66" s="591"/>
    </row>
    <row r="67" spans="2:11" x14ac:dyDescent="0.25">
      <c r="B67" s="38"/>
      <c r="C67" s="29"/>
      <c r="D67" s="29"/>
      <c r="E67" s="34"/>
      <c r="G67" s="622" t="s">
        <v>716</v>
      </c>
      <c r="H67" s="623"/>
      <c r="I67" s="623"/>
      <c r="J67" s="628" t="str">
        <f>IF(J66=0,"",ROUND((J66+E80-G79)/inputOth!E7*1000,3)-G84)</f>
        <v/>
      </c>
      <c r="K67" s="591"/>
    </row>
    <row r="68" spans="2:11" x14ac:dyDescent="0.25">
      <c r="B68" s="38"/>
      <c r="C68" s="29"/>
      <c r="D68" s="29"/>
      <c r="E68" s="34"/>
      <c r="G68" s="629" t="str">
        <f>CONCATENATE("",E1," Tot Exp/Non-Appr Must Be:")</f>
        <v>2013 Tot Exp/Non-Appr Must Be:</v>
      </c>
      <c r="H68" s="630"/>
      <c r="I68" s="631"/>
      <c r="J68" s="632">
        <f>IF(J66&gt;0,IF(E77&lt;E61,IF(J66=G79,E77,((J66-G79)*(1-D79))+E61),E77+(J66-G79)),0)</f>
        <v>0</v>
      </c>
      <c r="K68" s="591"/>
    </row>
    <row r="69" spans="2:11" x14ac:dyDescent="0.25">
      <c r="B69" s="38"/>
      <c r="C69" s="29"/>
      <c r="D69" s="29"/>
      <c r="E69" s="34"/>
      <c r="G69" s="633" t="s">
        <v>825</v>
      </c>
      <c r="H69" s="634"/>
      <c r="I69" s="634"/>
      <c r="J69" s="635">
        <f>IF(J66&gt;0,J68-E77,0)</f>
        <v>0</v>
      </c>
      <c r="K69" s="591"/>
    </row>
    <row r="70" spans="2:11" x14ac:dyDescent="0.25">
      <c r="B70" s="35" t="s">
        <v>215</v>
      </c>
      <c r="C70" s="29"/>
      <c r="D70" s="29"/>
      <c r="E70" s="46" t="str">
        <f>nhood!E13</f>
        <v/>
      </c>
      <c r="G70" s="591"/>
      <c r="H70" s="591"/>
      <c r="I70" s="591"/>
      <c r="J70" s="591"/>
      <c r="K70" s="591"/>
    </row>
    <row r="71" spans="2:11" x14ac:dyDescent="0.25">
      <c r="B71" s="35" t="s">
        <v>213</v>
      </c>
      <c r="C71" s="29"/>
      <c r="D71" s="29"/>
      <c r="E71" s="34"/>
      <c r="G71" s="820" t="str">
        <f>CONCATENATE("Projected Carryover Into ",E1+1,"")</f>
        <v>Projected Carryover Into 2014</v>
      </c>
      <c r="H71" s="823"/>
      <c r="I71" s="823"/>
      <c r="J71" s="824"/>
      <c r="K71" s="591"/>
    </row>
    <row r="72" spans="2:11" x14ac:dyDescent="0.25">
      <c r="B72" s="35" t="s">
        <v>622</v>
      </c>
      <c r="C72" s="387" t="str">
        <f>IF(C73*0.1&lt;C71,"Exceed 10% Rule","")</f>
        <v/>
      </c>
      <c r="D72" s="387" t="str">
        <f>IF(D73*0.1&lt;D71,"Exceed 10% Rule","")</f>
        <v/>
      </c>
      <c r="E72" s="45" t="str">
        <f>IF(E73*0.1&lt;E71,"Exceed 10% Rule","")</f>
        <v/>
      </c>
      <c r="G72" s="676"/>
      <c r="H72" s="623"/>
      <c r="I72" s="623"/>
      <c r="J72" s="677"/>
      <c r="K72" s="591"/>
    </row>
    <row r="73" spans="2:11" x14ac:dyDescent="0.25">
      <c r="B73" s="43" t="s">
        <v>26</v>
      </c>
      <c r="C73" s="392">
        <f>SUM(C63:C71)</f>
        <v>0</v>
      </c>
      <c r="D73" s="392">
        <f>SUM(D63:D71)</f>
        <v>0</v>
      </c>
      <c r="E73" s="42">
        <f>SUM(E63:E71)</f>
        <v>0</v>
      </c>
      <c r="G73" s="640">
        <f>D74</f>
        <v>0</v>
      </c>
      <c r="H73" s="641" t="str">
        <f>CONCATENATE("",E1-1," Ending Cash Balance (est.)")</f>
        <v>2012 Ending Cash Balance (est.)</v>
      </c>
      <c r="I73" s="642"/>
      <c r="J73" s="677"/>
      <c r="K73" s="591"/>
    </row>
    <row r="74" spans="2:11" x14ac:dyDescent="0.25">
      <c r="B74" s="27" t="s">
        <v>119</v>
      </c>
      <c r="C74" s="385">
        <f>C61-C73</f>
        <v>0</v>
      </c>
      <c r="D74" s="385">
        <f>D61-D73</f>
        <v>0</v>
      </c>
      <c r="E74" s="33" t="s">
        <v>290</v>
      </c>
      <c r="G74" s="640">
        <f>E60</f>
        <v>0</v>
      </c>
      <c r="H74" s="624" t="str">
        <f>CONCATENATE("",E1," Non-AV Receipts (est.)")</f>
        <v>2013 Non-AV Receipts (est.)</v>
      </c>
      <c r="I74" s="642"/>
      <c r="J74" s="677"/>
      <c r="K74" s="591"/>
    </row>
    <row r="75" spans="2:11" x14ac:dyDescent="0.25">
      <c r="B75" s="48" t="str">
        <f>CONCATENATE("",E1-2,"/",E1-1," Budget Authority Amount:")</f>
        <v>2011/2012 Budget Authority Amount:</v>
      </c>
      <c r="C75" s="132">
        <f>inputOth!B53</f>
        <v>0</v>
      </c>
      <c r="D75" s="161">
        <f>inputPrYr!D23</f>
        <v>0</v>
      </c>
      <c r="E75" s="33" t="s">
        <v>290</v>
      </c>
      <c r="F75" s="50"/>
      <c r="G75" s="649">
        <f>IF(E79&gt;0,E78,E80)</f>
        <v>0</v>
      </c>
      <c r="H75" s="624" t="str">
        <f>CONCATENATE("",E1," Ad Valorem Tax (est.)")</f>
        <v>2013 Ad Valorem Tax (est.)</v>
      </c>
      <c r="I75" s="642"/>
      <c r="J75" s="677"/>
      <c r="K75" s="650" t="str">
        <f>IF(G75=E80,"","Note: Does not include Delinquent Taxes")</f>
        <v/>
      </c>
    </row>
    <row r="76" spans="2:11" x14ac:dyDescent="0.25">
      <c r="B76" s="48"/>
      <c r="C76" s="808" t="s">
        <v>623</v>
      </c>
      <c r="D76" s="809"/>
      <c r="E76" s="540"/>
      <c r="F76" s="486" t="str">
        <f>IF(E73/0.95-E73&lt;E76,"Exceeds 5%","")</f>
        <v/>
      </c>
      <c r="G76" s="679">
        <f>SUM(G73:G75)</f>
        <v>0</v>
      </c>
      <c r="H76" s="624" t="str">
        <f>CONCATENATE("Total ",E1," Resources Available")</f>
        <v>Total 2013 Resources Available</v>
      </c>
      <c r="I76" s="680"/>
      <c r="J76" s="677"/>
      <c r="K76" s="591"/>
    </row>
    <row r="77" spans="2:11" x14ac:dyDescent="0.25">
      <c r="B77" s="399" t="str">
        <f>CONCATENATE(C94,"     ",D94)</f>
        <v xml:space="preserve">     </v>
      </c>
      <c r="C77" s="810" t="s">
        <v>624</v>
      </c>
      <c r="D77" s="811"/>
      <c r="E77" s="32">
        <f>E73+E76</f>
        <v>0</v>
      </c>
      <c r="G77" s="681"/>
      <c r="H77" s="682"/>
      <c r="I77" s="623"/>
      <c r="J77" s="677"/>
      <c r="K77" s="591"/>
    </row>
    <row r="78" spans="2:11" x14ac:dyDescent="0.25">
      <c r="B78" s="399" t="str">
        <f>CONCATENATE(C95,"     ",D95)</f>
        <v xml:space="preserve">     </v>
      </c>
      <c r="C78" s="60"/>
      <c r="D78" s="52" t="s">
        <v>28</v>
      </c>
      <c r="E78" s="46">
        <f>IF(E77-E61&gt;0,E77-E61,0)</f>
        <v>0</v>
      </c>
      <c r="G78" s="649">
        <f>ROUND(C73*0.05+C73,0)</f>
        <v>0</v>
      </c>
      <c r="H78" s="624" t="str">
        <f>CONCATENATE("Less ",E1-2," Expenditures + 5%")</f>
        <v>Less 2011 Expenditures + 5%</v>
      </c>
      <c r="I78" s="680"/>
      <c r="J78" s="677"/>
      <c r="K78" s="591"/>
    </row>
    <row r="79" spans="2:11" x14ac:dyDescent="0.25">
      <c r="B79" s="52"/>
      <c r="C79" s="403" t="s">
        <v>625</v>
      </c>
      <c r="D79" s="698">
        <f>inputOth!$E$40</f>
        <v>0</v>
      </c>
      <c r="E79" s="32">
        <f>ROUND(IF(D79&gt;0,(E78*D79),0),0)</f>
        <v>0</v>
      </c>
      <c r="G79" s="657">
        <f>G76-G78</f>
        <v>0</v>
      </c>
      <c r="H79" s="658" t="str">
        <f>CONCATENATE("Projected ",E1+1," carryover (est.)")</f>
        <v>Projected 2014 carryover (est.)</v>
      </c>
      <c r="I79" s="683"/>
      <c r="J79" s="684"/>
      <c r="K79" s="591"/>
    </row>
    <row r="80" spans="2:11" x14ac:dyDescent="0.25">
      <c r="B80" s="14"/>
      <c r="C80" s="806" t="str">
        <f>CONCATENATE("Amount of  ",$E$1-1," Ad Valorem Tax")</f>
        <v>Amount of  2012 Ad Valorem Tax</v>
      </c>
      <c r="D80" s="807"/>
      <c r="E80" s="46">
        <f>E78+E79</f>
        <v>0</v>
      </c>
      <c r="G80" s="591"/>
      <c r="H80" s="591"/>
      <c r="I80" s="591"/>
      <c r="J80" s="591"/>
      <c r="K80" s="591"/>
    </row>
    <row r="81" spans="2:11" x14ac:dyDescent="0.25">
      <c r="B81" s="52" t="s">
        <v>9</v>
      </c>
      <c r="C81" s="539"/>
      <c r="D81" s="14"/>
      <c r="E81" s="14"/>
      <c r="G81" s="817" t="s">
        <v>826</v>
      </c>
      <c r="H81" s="818"/>
      <c r="I81" s="818"/>
      <c r="J81" s="819"/>
      <c r="K81" s="591"/>
    </row>
    <row r="82" spans="2:11" x14ac:dyDescent="0.25">
      <c r="B82" s="80"/>
      <c r="G82" s="664"/>
      <c r="H82" s="641"/>
      <c r="I82" s="665"/>
      <c r="J82" s="666"/>
      <c r="K82" s="591"/>
    </row>
    <row r="83" spans="2:11" x14ac:dyDescent="0.25">
      <c r="G83" s="667" t="str">
        <f>summ!I25</f>
        <v xml:space="preserve"> </v>
      </c>
      <c r="H83" s="641" t="str">
        <f>CONCATENATE("",E1," Fund Mill Rate")</f>
        <v>2013 Fund Mill Rate</v>
      </c>
      <c r="I83" s="665"/>
      <c r="J83" s="666"/>
      <c r="K83" s="591"/>
    </row>
    <row r="84" spans="2:11" x14ac:dyDescent="0.25">
      <c r="G84" s="668" t="str">
        <f>summ!F25</f>
        <v xml:space="preserve">  </v>
      </c>
      <c r="H84" s="641" t="str">
        <f>CONCATENATE("",E1-1," Fund Mill Rate")</f>
        <v>2012 Fund Mill Rate</v>
      </c>
      <c r="I84" s="665"/>
      <c r="J84" s="666"/>
      <c r="K84" s="591"/>
    </row>
    <row r="85" spans="2:11" x14ac:dyDescent="0.25">
      <c r="G85" s="670">
        <f>summ!I32</f>
        <v>18.600000000000001</v>
      </c>
      <c r="H85" s="641" t="str">
        <f>CONCATENATE("Total ",E1," Mill Rate")</f>
        <v>Total 2013 Mill Rate</v>
      </c>
      <c r="I85" s="665"/>
      <c r="J85" s="666"/>
      <c r="K85" s="591"/>
    </row>
    <row r="86" spans="2:11" x14ac:dyDescent="0.25">
      <c r="G86" s="668">
        <f>summ!F32</f>
        <v>20.238</v>
      </c>
      <c r="H86" s="671" t="str">
        <f>CONCATENATE("Total ",E1-1," Mill Rate")</f>
        <v>Total 2012 Mill Rate</v>
      </c>
      <c r="I86" s="672"/>
      <c r="J86" s="673"/>
      <c r="K86" s="591"/>
    </row>
    <row r="92" spans="2:11" hidden="1" x14ac:dyDescent="0.25">
      <c r="C92" s="16" t="str">
        <f>IF(C33&gt;C35,"See Tab A","")</f>
        <v/>
      </c>
      <c r="D92" s="16" t="str">
        <f>IF(D33&gt;D35,"See Tab C","")</f>
        <v/>
      </c>
    </row>
    <row r="93" spans="2:11" hidden="1" x14ac:dyDescent="0.25">
      <c r="C93" s="16" t="str">
        <f>IF(C34&lt;0,"See Tab B","")</f>
        <v/>
      </c>
      <c r="D93" s="16" t="str">
        <f>IF(D34&lt;0,"See Tab D","")</f>
        <v/>
      </c>
    </row>
    <row r="94" spans="2:11" hidden="1" x14ac:dyDescent="0.25">
      <c r="C94" s="16" t="str">
        <f>IF(C73&gt;C75,"See Tab A","")</f>
        <v/>
      </c>
      <c r="D94" s="16" t="str">
        <f>IF(D73&gt;D75,"See Tab C","")</f>
        <v/>
      </c>
    </row>
    <row r="95" spans="2:11" hidden="1" x14ac:dyDescent="0.25">
      <c r="C95" s="16" t="str">
        <f>IF(C74&lt;0,"See Tab B","")</f>
        <v/>
      </c>
      <c r="D95" s="16" t="str">
        <f>IF(D74&lt;0,"See Tab D","")</f>
        <v/>
      </c>
    </row>
  </sheetData>
  <sheetProtection sheet="1"/>
  <mergeCells count="12">
    <mergeCell ref="G24:J24"/>
    <mergeCell ref="G31:J31"/>
    <mergeCell ref="G41:J41"/>
    <mergeCell ref="G64:J64"/>
    <mergeCell ref="G71:J71"/>
    <mergeCell ref="G81:J81"/>
    <mergeCell ref="C80:D80"/>
    <mergeCell ref="C40:D40"/>
    <mergeCell ref="C36:D36"/>
    <mergeCell ref="C37:D37"/>
    <mergeCell ref="C76:D76"/>
    <mergeCell ref="C77:D77"/>
  </mergeCells>
  <phoneticPr fontId="0" type="noConversion"/>
  <conditionalFormatting sqref="C71">
    <cfRule type="cellIs" dxfId="58" priority="5" stopIfTrue="1" operator="greaterThan">
      <formula>$C$73*0.1</formula>
    </cfRule>
  </conditionalFormatting>
  <conditionalFormatting sqref="D71">
    <cfRule type="cellIs" dxfId="57" priority="6" stopIfTrue="1" operator="greaterThan">
      <formula>$D$73*0.1</formula>
    </cfRule>
  </conditionalFormatting>
  <conditionalFormatting sqref="E71">
    <cfRule type="cellIs" dxfId="56" priority="7" stopIfTrue="1" operator="greaterThan">
      <formula>$E$73*0.1</formula>
    </cfRule>
  </conditionalFormatting>
  <conditionalFormatting sqref="C58">
    <cfRule type="cellIs" dxfId="55" priority="8" stopIfTrue="1" operator="greaterThan">
      <formula>$C$60*0.1</formula>
    </cfRule>
  </conditionalFormatting>
  <conditionalFormatting sqref="D58">
    <cfRule type="cellIs" dxfId="54" priority="9" stopIfTrue="1" operator="greaterThan">
      <formula>$D$60*0.1</formula>
    </cfRule>
  </conditionalFormatting>
  <conditionalFormatting sqref="E36">
    <cfRule type="cellIs" dxfId="53" priority="10" stopIfTrue="1" operator="greaterThan">
      <formula>$E$33/0.95-$E$33</formula>
    </cfRule>
  </conditionalFormatting>
  <conditionalFormatting sqref="C31">
    <cfRule type="cellIs" dxfId="52" priority="11" stopIfTrue="1" operator="greaterThan">
      <formula>$C$33*0.1</formula>
    </cfRule>
  </conditionalFormatting>
  <conditionalFormatting sqref="D31">
    <cfRule type="cellIs" dxfId="51" priority="12" stopIfTrue="1" operator="greaterThan">
      <formula>$D$33*0.1</formula>
    </cfRule>
  </conditionalFormatting>
  <conditionalFormatting sqref="E31">
    <cfRule type="cellIs" dxfId="50" priority="13" stopIfTrue="1" operator="greaterThan">
      <formula>$E$33*0.1</formula>
    </cfRule>
  </conditionalFormatting>
  <conditionalFormatting sqref="C18">
    <cfRule type="cellIs" dxfId="49" priority="14" stopIfTrue="1" operator="greaterThan">
      <formula>$C$20*0.1</formula>
    </cfRule>
  </conditionalFormatting>
  <conditionalFormatting sqref="D18">
    <cfRule type="cellIs" dxfId="48" priority="15" stopIfTrue="1" operator="greaterThan">
      <formula>$D$20*0.1</formula>
    </cfRule>
  </conditionalFormatting>
  <conditionalFormatting sqref="E58">
    <cfRule type="cellIs" dxfId="47" priority="16" stopIfTrue="1" operator="greaterThan">
      <formula>$E$60*0.1+$E$80</formula>
    </cfRule>
  </conditionalFormatting>
  <conditionalFormatting sqref="E18">
    <cfRule type="cellIs" dxfId="46" priority="17" stopIfTrue="1" operator="greaterThan">
      <formula>$E$20*0.1+$E$40</formula>
    </cfRule>
  </conditionalFormatting>
  <conditionalFormatting sqref="C74 C34">
    <cfRule type="cellIs" dxfId="45" priority="18" stopIfTrue="1" operator="lessThan">
      <formula>0</formula>
    </cfRule>
  </conditionalFormatting>
  <conditionalFormatting sqref="C73">
    <cfRule type="cellIs" dxfId="44" priority="19" stopIfTrue="1" operator="greaterThan">
      <formula>$C$75</formula>
    </cfRule>
  </conditionalFormatting>
  <conditionalFormatting sqref="D73">
    <cfRule type="cellIs" dxfId="43" priority="20" stopIfTrue="1" operator="greaterThan">
      <formula>$D$75</formula>
    </cfRule>
  </conditionalFormatting>
  <conditionalFormatting sqref="C33">
    <cfRule type="cellIs" dxfId="42" priority="21" stopIfTrue="1" operator="greaterThan">
      <formula>$C$35</formula>
    </cfRule>
  </conditionalFormatting>
  <conditionalFormatting sqref="D33">
    <cfRule type="cellIs" dxfId="41" priority="22" stopIfTrue="1" operator="greaterThan">
      <formula>$D$35</formula>
    </cfRule>
  </conditionalFormatting>
  <conditionalFormatting sqref="D34 D74">
    <cfRule type="cellIs" dxfId="40" priority="3" stopIfTrue="1" operator="lessThan">
      <formula>0</formula>
    </cfRule>
  </conditionalFormatting>
  <conditionalFormatting sqref="E76">
    <cfRule type="cellIs" dxfId="39" priority="1" stopIfTrue="1" operator="greaterThan">
      <formula>$E$73/0.95-$E$73</formula>
    </cfRule>
  </conditionalFormatting>
  <pageMargins left="0.9" right="0.9" top="0.96" bottom="0.5" header="0.41" footer="0.3"/>
  <pageSetup scale="57" orientation="portrait" blackAndWhite="1" horizontalDpi="4294967292" verticalDpi="96" r:id="rId1"/>
  <headerFooter alignWithMargins="0">
    <oddHeader xml:space="preserve">&amp;RState of Kansas
Township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5"/>
  <sheetViews>
    <sheetView zoomScaleNormal="100" workbookViewId="0">
      <selection activeCell="G39" sqref="G39"/>
    </sheetView>
  </sheetViews>
  <sheetFormatPr defaultRowHeight="15.75" x14ac:dyDescent="0.2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x14ac:dyDescent="0.25">
      <c r="B1" s="13" t="str">
        <f>inputPrYr!D2</f>
        <v>Liberty Township</v>
      </c>
      <c r="C1" s="14"/>
      <c r="D1" s="14"/>
      <c r="E1" s="15">
        <f>inputPrYr!D5</f>
        <v>2013</v>
      </c>
    </row>
    <row r="2" spans="2:5" x14ac:dyDescent="0.25">
      <c r="B2" s="17"/>
      <c r="C2" s="14"/>
      <c r="D2" s="61"/>
      <c r="E2" s="62"/>
    </row>
    <row r="3" spans="2:5" x14ac:dyDescent="0.25">
      <c r="B3" s="541" t="s">
        <v>721</v>
      </c>
      <c r="C3" s="66"/>
      <c r="D3" s="66"/>
      <c r="E3" s="66"/>
    </row>
    <row r="4" spans="2:5" x14ac:dyDescent="0.25">
      <c r="B4" s="22" t="s">
        <v>10</v>
      </c>
      <c r="C4" s="388" t="s">
        <v>11</v>
      </c>
      <c r="D4" s="391" t="s">
        <v>12</v>
      </c>
      <c r="E4" s="23" t="s">
        <v>13</v>
      </c>
    </row>
    <row r="5" spans="2:5" x14ac:dyDescent="0.25">
      <c r="B5" s="400">
        <f>inputPrYr!B24</f>
        <v>0</v>
      </c>
      <c r="C5" s="389" t="str">
        <f>gen!C5</f>
        <v>Actual for 2011</v>
      </c>
      <c r="D5" s="389" t="str">
        <f>gen!D5</f>
        <v>Estimate for 2012</v>
      </c>
      <c r="E5" s="26" t="str">
        <f>gen!E5</f>
        <v>Year for 2013</v>
      </c>
    </row>
    <row r="6" spans="2:5" x14ac:dyDescent="0.25">
      <c r="B6" s="27" t="s">
        <v>118</v>
      </c>
      <c r="C6" s="29"/>
      <c r="D6" s="390">
        <f>C34</f>
        <v>0</v>
      </c>
      <c r="E6" s="32">
        <f>D34</f>
        <v>0</v>
      </c>
    </row>
    <row r="7" spans="2:5" x14ac:dyDescent="0.25">
      <c r="B7" s="27" t="s">
        <v>120</v>
      </c>
      <c r="C7" s="390"/>
      <c r="D7" s="390"/>
      <c r="E7" s="33"/>
    </row>
    <row r="8" spans="2:5" x14ac:dyDescent="0.25">
      <c r="B8" s="27" t="s">
        <v>16</v>
      </c>
      <c r="C8" s="29"/>
      <c r="D8" s="390">
        <f>IF(inputPrYr!H15&gt;0,inputPrYr!G24,inputPrYr!E24)</f>
        <v>0</v>
      </c>
      <c r="E8" s="33" t="s">
        <v>290</v>
      </c>
    </row>
    <row r="9" spans="2:5" x14ac:dyDescent="0.25">
      <c r="B9" s="27" t="s">
        <v>17</v>
      </c>
      <c r="C9" s="29"/>
      <c r="D9" s="29"/>
      <c r="E9" s="34"/>
    </row>
    <row r="10" spans="2:5" x14ac:dyDescent="0.25">
      <c r="B10" s="27" t="s">
        <v>18</v>
      </c>
      <c r="C10" s="29"/>
      <c r="D10" s="29"/>
      <c r="E10" s="32">
        <f>mvalloc!G19</f>
        <v>0</v>
      </c>
    </row>
    <row r="11" spans="2:5" x14ac:dyDescent="0.25">
      <c r="B11" s="27" t="s">
        <v>19</v>
      </c>
      <c r="C11" s="29"/>
      <c r="D11" s="29"/>
      <c r="E11" s="32">
        <f>mvalloc!I19</f>
        <v>0</v>
      </c>
    </row>
    <row r="12" spans="2:5" x14ac:dyDescent="0.25">
      <c r="B12" s="27" t="s">
        <v>99</v>
      </c>
      <c r="C12" s="29"/>
      <c r="D12" s="29"/>
      <c r="E12" s="32">
        <f>mvalloc!J19</f>
        <v>0</v>
      </c>
    </row>
    <row r="13" spans="2:5" x14ac:dyDescent="0.25">
      <c r="B13" s="38"/>
      <c r="C13" s="29"/>
      <c r="D13" s="29"/>
      <c r="E13" s="34"/>
    </row>
    <row r="14" spans="2:5" x14ac:dyDescent="0.25">
      <c r="B14" s="38"/>
      <c r="C14" s="29"/>
      <c r="D14" s="29"/>
      <c r="E14" s="34"/>
    </row>
    <row r="15" spans="2:5" x14ac:dyDescent="0.25">
      <c r="B15" s="38"/>
      <c r="C15" s="29"/>
      <c r="D15" s="29"/>
      <c r="E15" s="34"/>
    </row>
    <row r="16" spans="2:5" x14ac:dyDescent="0.25">
      <c r="B16" s="38"/>
      <c r="C16" s="29"/>
      <c r="D16" s="29"/>
      <c r="E16" s="34"/>
    </row>
    <row r="17" spans="2:11" x14ac:dyDescent="0.25">
      <c r="B17" s="38" t="s">
        <v>22</v>
      </c>
      <c r="C17" s="29"/>
      <c r="D17" s="29"/>
      <c r="E17" s="34"/>
    </row>
    <row r="18" spans="2:11" x14ac:dyDescent="0.25">
      <c r="B18" s="39" t="s">
        <v>213</v>
      </c>
      <c r="C18" s="29"/>
      <c r="D18" s="29"/>
      <c r="E18" s="34"/>
    </row>
    <row r="19" spans="2:11" x14ac:dyDescent="0.25">
      <c r="B19" s="39" t="s">
        <v>214</v>
      </c>
      <c r="C19" s="387" t="str">
        <f>IF(C20*0.1&lt;C18,"Exceed 10% Rule","")</f>
        <v/>
      </c>
      <c r="D19" s="387" t="str">
        <f>IF(D20*0.1&lt;D18,"Exceed 10% Rule","")</f>
        <v/>
      </c>
      <c r="E19" s="45" t="str">
        <f>IF(E20*0.1+E40&lt;E18,"Exceed 10% Rule","")</f>
        <v/>
      </c>
    </row>
    <row r="20" spans="2:11" x14ac:dyDescent="0.25">
      <c r="B20" s="41" t="s">
        <v>23</v>
      </c>
      <c r="C20" s="392">
        <f>SUM(C8:C18)</f>
        <v>0</v>
      </c>
      <c r="D20" s="392">
        <f>SUM(D8:D18)</f>
        <v>0</v>
      </c>
      <c r="E20" s="42">
        <f>SUM(E8:E18)</f>
        <v>0</v>
      </c>
    </row>
    <row r="21" spans="2:11" x14ac:dyDescent="0.25">
      <c r="B21" s="43" t="s">
        <v>24</v>
      </c>
      <c r="C21" s="392">
        <f>C20+C6</f>
        <v>0</v>
      </c>
      <c r="D21" s="392">
        <f>D20+D6</f>
        <v>0</v>
      </c>
      <c r="E21" s="42">
        <f>E20+E6</f>
        <v>0</v>
      </c>
    </row>
    <row r="22" spans="2:11" x14ac:dyDescent="0.25">
      <c r="B22" s="27" t="s">
        <v>25</v>
      </c>
      <c r="C22" s="390"/>
      <c r="D22" s="390"/>
      <c r="E22" s="32"/>
    </row>
    <row r="23" spans="2:11" x14ac:dyDescent="0.25">
      <c r="B23" s="38"/>
      <c r="C23" s="29"/>
      <c r="D23" s="29"/>
      <c r="E23" s="34"/>
    </row>
    <row r="24" spans="2:11" x14ac:dyDescent="0.25">
      <c r="B24" s="38"/>
      <c r="C24" s="29"/>
      <c r="D24" s="29"/>
      <c r="E24" s="34"/>
      <c r="G24" s="820" t="str">
        <f>CONCATENATE("Desired Carryover Into ",E1+1,"")</f>
        <v>Desired Carryover Into 2014</v>
      </c>
      <c r="H24" s="821"/>
      <c r="I24" s="821"/>
      <c r="J24" s="822"/>
      <c r="K24" s="591"/>
    </row>
    <row r="25" spans="2:11" x14ac:dyDescent="0.25">
      <c r="B25" s="38"/>
      <c r="C25" s="29"/>
      <c r="D25" s="29"/>
      <c r="E25" s="34"/>
      <c r="G25" s="622"/>
      <c r="H25" s="623"/>
      <c r="I25" s="624"/>
      <c r="J25" s="625"/>
      <c r="K25" s="591"/>
    </row>
    <row r="26" spans="2:11" x14ac:dyDescent="0.25">
      <c r="B26" s="29"/>
      <c r="C26" s="29"/>
      <c r="D26" s="29"/>
      <c r="E26" s="34"/>
      <c r="G26" s="626" t="s">
        <v>715</v>
      </c>
      <c r="H26" s="624"/>
      <c r="I26" s="624"/>
      <c r="J26" s="627">
        <v>0</v>
      </c>
      <c r="K26" s="591"/>
    </row>
    <row r="27" spans="2:11" x14ac:dyDescent="0.25">
      <c r="B27" s="29"/>
      <c r="C27" s="29"/>
      <c r="D27" s="29"/>
      <c r="E27" s="34"/>
      <c r="G27" s="622" t="s">
        <v>716</v>
      </c>
      <c r="H27" s="623"/>
      <c r="I27" s="623"/>
      <c r="J27" s="628" t="str">
        <f>IF(J26=0,"",ROUND((J26+E40-G39)/inputOth!E7*1000,3)-G44)</f>
        <v/>
      </c>
      <c r="K27" s="591"/>
    </row>
    <row r="28" spans="2:11" x14ac:dyDescent="0.25">
      <c r="B28" s="38"/>
      <c r="C28" s="29"/>
      <c r="D28" s="29"/>
      <c r="E28" s="34"/>
      <c r="G28" s="629" t="str">
        <f>CONCATENATE("",E1," Tot Exp/Non-Appr Must Be:")</f>
        <v>2013 Tot Exp/Non-Appr Must Be:</v>
      </c>
      <c r="H28" s="630"/>
      <c r="I28" s="631"/>
      <c r="J28" s="632">
        <f>IF(J26&gt;0,IF(E37&lt;E21,IF(J26=G39,E37,((J26-G39)*(1-D39))+E21),E37+(J26-G39)),0)</f>
        <v>0</v>
      </c>
      <c r="K28" s="591"/>
    </row>
    <row r="29" spans="2:11" x14ac:dyDescent="0.25">
      <c r="B29" s="38"/>
      <c r="C29" s="29"/>
      <c r="D29" s="29"/>
      <c r="E29" s="34"/>
      <c r="G29" s="633" t="s">
        <v>825</v>
      </c>
      <c r="H29" s="634"/>
      <c r="I29" s="634"/>
      <c r="J29" s="635">
        <f>IF(J26&gt;0,J28-E37,0)</f>
        <v>0</v>
      </c>
      <c r="K29" s="591"/>
    </row>
    <row r="30" spans="2:11" x14ac:dyDescent="0.25">
      <c r="B30" s="35" t="s">
        <v>215</v>
      </c>
      <c r="C30" s="29"/>
      <c r="D30" s="29"/>
      <c r="E30" s="46" t="str">
        <f>nhood!E14</f>
        <v/>
      </c>
      <c r="G30" s="591"/>
      <c r="H30" s="591"/>
      <c r="I30" s="591"/>
      <c r="J30" s="591"/>
      <c r="K30" s="591"/>
    </row>
    <row r="31" spans="2:11" x14ac:dyDescent="0.25">
      <c r="B31" s="35" t="s">
        <v>213</v>
      </c>
      <c r="C31" s="29"/>
      <c r="D31" s="29"/>
      <c r="E31" s="34"/>
      <c r="G31" s="820" t="str">
        <f>CONCATENATE("Projected Carryover Into ",E1+1,"")</f>
        <v>Projected Carryover Into 2014</v>
      </c>
      <c r="H31" s="825"/>
      <c r="I31" s="825"/>
      <c r="J31" s="824"/>
      <c r="K31" s="591"/>
    </row>
    <row r="32" spans="2:11" x14ac:dyDescent="0.25">
      <c r="B32" s="35" t="s">
        <v>622</v>
      </c>
      <c r="C32" s="387" t="str">
        <f>IF(C33*0.1&lt;C31,"Exceed 10% Rule","")</f>
        <v/>
      </c>
      <c r="D32" s="387" t="str">
        <f>IF(D33*0.1&lt;D31,"Exceed 10% Rule","")</f>
        <v/>
      </c>
      <c r="E32" s="45" t="str">
        <f>IF(E33*0.1&lt;E31,"Exceed 10% Rule","")</f>
        <v/>
      </c>
      <c r="G32" s="622"/>
      <c r="H32" s="624"/>
      <c r="I32" s="624"/>
      <c r="J32" s="637"/>
      <c r="K32" s="591"/>
    </row>
    <row r="33" spans="2:11" x14ac:dyDescent="0.25">
      <c r="B33" s="43" t="s">
        <v>26</v>
      </c>
      <c r="C33" s="392">
        <f>SUM(C23:C31)</f>
        <v>0</v>
      </c>
      <c r="D33" s="392">
        <f>SUM(D23:D31)</f>
        <v>0</v>
      </c>
      <c r="E33" s="42">
        <f>SUM(E23:E31)</f>
        <v>0</v>
      </c>
      <c r="G33" s="640">
        <f>D34</f>
        <v>0</v>
      </c>
      <c r="H33" s="641" t="str">
        <f>CONCATENATE("",E1-1," Ending Cash Balance (est.)")</f>
        <v>2012 Ending Cash Balance (est.)</v>
      </c>
      <c r="I33" s="642"/>
      <c r="J33" s="637"/>
      <c r="K33" s="591"/>
    </row>
    <row r="34" spans="2:11" x14ac:dyDescent="0.25">
      <c r="B34" s="27" t="s">
        <v>119</v>
      </c>
      <c r="C34" s="385">
        <f>C21-C33</f>
        <v>0</v>
      </c>
      <c r="D34" s="385">
        <f>D21-D33</f>
        <v>0</v>
      </c>
      <c r="E34" s="33" t="s">
        <v>290</v>
      </c>
      <c r="G34" s="640">
        <f>E20</f>
        <v>0</v>
      </c>
      <c r="H34" s="624" t="str">
        <f>CONCATENATE("",E1," Non-AV Receipts (est.)")</f>
        <v>2013 Non-AV Receipts (est.)</v>
      </c>
      <c r="I34" s="642"/>
      <c r="J34" s="637"/>
      <c r="K34" s="591"/>
    </row>
    <row r="35" spans="2:11" x14ac:dyDescent="0.2">
      <c r="B35" s="48" t="str">
        <f>CONCATENATE("",E1-2,"/",E1-1," Budget Authority Amount:")</f>
        <v>2011/2012 Budget Authority Amount:</v>
      </c>
      <c r="C35" s="132">
        <f>inputOth!B54</f>
        <v>0</v>
      </c>
      <c r="D35" s="161">
        <f>inputPrYr!D24</f>
        <v>0</v>
      </c>
      <c r="E35" s="33" t="s">
        <v>290</v>
      </c>
      <c r="F35" s="50"/>
      <c r="G35" s="649">
        <f>IF(E39&gt;0,E38,E40)</f>
        <v>0</v>
      </c>
      <c r="H35" s="624" t="str">
        <f>CONCATENATE("",E1," Ad Valorem Tax (est.)")</f>
        <v>2013 Ad Valorem Tax (est.)</v>
      </c>
      <c r="I35" s="642"/>
      <c r="J35" s="637"/>
      <c r="K35" s="650" t="str">
        <f>IF(G35=E40,"","Note: Does not include Delinquent Taxes")</f>
        <v/>
      </c>
    </row>
    <row r="36" spans="2:11" x14ac:dyDescent="0.25">
      <c r="B36" s="48"/>
      <c r="C36" s="808" t="s">
        <v>623</v>
      </c>
      <c r="D36" s="809"/>
      <c r="E36" s="34"/>
      <c r="F36" s="486" t="str">
        <f>IF(E33/0.95-E33&lt;E36,"Exceeds 5%","")</f>
        <v/>
      </c>
      <c r="G36" s="640">
        <f>SUM(G33:G35)</f>
        <v>0</v>
      </c>
      <c r="H36" s="624" t="str">
        <f>CONCATENATE("Total ",E1," Resources Available")</f>
        <v>Total 2013 Resources Available</v>
      </c>
      <c r="I36" s="642"/>
      <c r="J36" s="637"/>
      <c r="K36" s="591"/>
    </row>
    <row r="37" spans="2:11" x14ac:dyDescent="0.25">
      <c r="B37" s="399" t="str">
        <f>CONCATENATE(C92,"     ",D92)</f>
        <v xml:space="preserve">     </v>
      </c>
      <c r="C37" s="810" t="s">
        <v>624</v>
      </c>
      <c r="D37" s="811"/>
      <c r="E37" s="32">
        <f>E33+E36</f>
        <v>0</v>
      </c>
      <c r="G37" s="653"/>
      <c r="H37" s="624"/>
      <c r="I37" s="624"/>
      <c r="J37" s="637"/>
      <c r="K37" s="591"/>
    </row>
    <row r="38" spans="2:11" x14ac:dyDescent="0.25">
      <c r="B38" s="399" t="str">
        <f>CONCATENATE(C93,"     ",D93)</f>
        <v xml:space="preserve">     </v>
      </c>
      <c r="C38" s="60"/>
      <c r="D38" s="52" t="s">
        <v>28</v>
      </c>
      <c r="E38" s="46">
        <f>IF(E37-E21&gt;0,E37-E21,0)</f>
        <v>0</v>
      </c>
      <c r="G38" s="649">
        <f>ROUND(C33*0.05+C33,)</f>
        <v>0</v>
      </c>
      <c r="H38" s="624" t="str">
        <f>CONCATENATE("Less ",E1-2," Expenditures + 5%")</f>
        <v>Less 2011 Expenditures + 5%</v>
      </c>
      <c r="I38" s="624"/>
      <c r="J38" s="637"/>
      <c r="K38" s="591"/>
    </row>
    <row r="39" spans="2:11" x14ac:dyDescent="0.25">
      <c r="B39" s="52"/>
      <c r="C39" s="403" t="s">
        <v>625</v>
      </c>
      <c r="D39" s="698">
        <f>inputOth!$E$40</f>
        <v>0</v>
      </c>
      <c r="E39" s="32">
        <f>ROUND(IF(D39&gt;0,(E38*D39),0),0)</f>
        <v>0</v>
      </c>
      <c r="G39" s="657">
        <f>G36-G38</f>
        <v>0</v>
      </c>
      <c r="H39" s="658" t="str">
        <f>CONCATENATE("Projected ",E1+1," carryover (est.)")</f>
        <v>Projected 2014 carryover (est.)</v>
      </c>
      <c r="I39" s="659"/>
      <c r="J39" s="660"/>
      <c r="K39" s="591"/>
    </row>
    <row r="40" spans="2:11" x14ac:dyDescent="0.25">
      <c r="B40" s="14"/>
      <c r="C40" s="806" t="str">
        <f>CONCATENATE("Amount of  ",$E$1-1," Ad Valorem Tax")</f>
        <v>Amount of  2012 Ad Valorem Tax</v>
      </c>
      <c r="D40" s="807"/>
      <c r="E40" s="46">
        <f>E38+E39</f>
        <v>0</v>
      </c>
      <c r="G40" s="591"/>
      <c r="H40" s="591"/>
      <c r="I40" s="591"/>
      <c r="J40" s="591"/>
      <c r="K40" s="591"/>
    </row>
    <row r="41" spans="2:11" x14ac:dyDescent="0.25">
      <c r="B41" s="14"/>
      <c r="C41" s="548"/>
      <c r="D41" s="14"/>
      <c r="E41" s="14"/>
      <c r="G41" s="817" t="s">
        <v>826</v>
      </c>
      <c r="H41" s="818"/>
      <c r="I41" s="818"/>
      <c r="J41" s="819"/>
      <c r="K41" s="591"/>
    </row>
    <row r="42" spans="2:11" x14ac:dyDescent="0.25">
      <c r="B42" s="14"/>
      <c r="C42" s="548"/>
      <c r="D42" s="14"/>
      <c r="E42" s="14"/>
      <c r="G42" s="664"/>
      <c r="H42" s="641"/>
      <c r="I42" s="665"/>
      <c r="J42" s="666"/>
      <c r="K42" s="591"/>
    </row>
    <row r="43" spans="2:11" x14ac:dyDescent="0.25">
      <c r="B43" s="22" t="s">
        <v>10</v>
      </c>
      <c r="C43" s="66"/>
      <c r="D43" s="66"/>
      <c r="E43" s="66"/>
      <c r="G43" s="667" t="str">
        <f>summ!I26</f>
        <v xml:space="preserve"> </v>
      </c>
      <c r="H43" s="641" t="str">
        <f>CONCATENATE("",E1," Fund Mill Rate")</f>
        <v>2013 Fund Mill Rate</v>
      </c>
      <c r="I43" s="665"/>
      <c r="J43" s="666"/>
      <c r="K43" s="591"/>
    </row>
    <row r="44" spans="2:11" x14ac:dyDescent="0.25">
      <c r="B44" s="14"/>
      <c r="C44" s="388" t="s">
        <v>11</v>
      </c>
      <c r="D44" s="391" t="s">
        <v>12</v>
      </c>
      <c r="E44" s="23" t="s">
        <v>13</v>
      </c>
      <c r="G44" s="668" t="str">
        <f>summ!F26</f>
        <v xml:space="preserve">  </v>
      </c>
      <c r="H44" s="641" t="str">
        <f>CONCATENATE("",E1-1," Fund Mill Rate")</f>
        <v>2012 Fund Mill Rate</v>
      </c>
      <c r="I44" s="665"/>
      <c r="J44" s="666"/>
      <c r="K44" s="591"/>
    </row>
    <row r="45" spans="2:11" x14ac:dyDescent="0.25">
      <c r="B45" s="481">
        <f>inputPrYr!B25</f>
        <v>0</v>
      </c>
      <c r="C45" s="389" t="str">
        <f>C5</f>
        <v>Actual for 2011</v>
      </c>
      <c r="D45" s="389" t="str">
        <f>D5</f>
        <v>Estimate for 2012</v>
      </c>
      <c r="E45" s="26" t="str">
        <f>E5</f>
        <v>Year for 2013</v>
      </c>
      <c r="G45" s="670">
        <f>summ!I32</f>
        <v>18.600000000000001</v>
      </c>
      <c r="H45" s="641" t="str">
        <f>CONCATENATE("Total ",E1," Mill Rate")</f>
        <v>Total 2013 Mill Rate</v>
      </c>
      <c r="I45" s="665"/>
      <c r="J45" s="666"/>
      <c r="K45" s="591"/>
    </row>
    <row r="46" spans="2:11" x14ac:dyDescent="0.25">
      <c r="B46" s="27" t="s">
        <v>118</v>
      </c>
      <c r="C46" s="29"/>
      <c r="D46" s="390">
        <f>C74</f>
        <v>0</v>
      </c>
      <c r="E46" s="32">
        <f>D74</f>
        <v>0</v>
      </c>
      <c r="G46" s="668">
        <f>summ!F32</f>
        <v>20.238</v>
      </c>
      <c r="H46" s="671" t="str">
        <f>CONCATENATE("Total ",E1-1," Mill Rate")</f>
        <v>Total 2012 Mill Rate</v>
      </c>
      <c r="I46" s="672"/>
      <c r="J46" s="673"/>
      <c r="K46" s="591"/>
    </row>
    <row r="47" spans="2:11" x14ac:dyDescent="0.25">
      <c r="B47" s="27" t="s">
        <v>120</v>
      </c>
      <c r="C47" s="390"/>
      <c r="D47" s="390"/>
      <c r="E47" s="33"/>
      <c r="G47" s="591"/>
      <c r="H47" s="591"/>
      <c r="I47" s="591"/>
      <c r="J47" s="591"/>
      <c r="K47" s="591"/>
    </row>
    <row r="48" spans="2:11" x14ac:dyDescent="0.25">
      <c r="B48" s="27" t="s">
        <v>16</v>
      </c>
      <c r="C48" s="29"/>
      <c r="D48" s="390">
        <f>IF(inputPrYr!H15&gt;0,inputPrYr!G25,inputPrYr!E25)</f>
        <v>0</v>
      </c>
      <c r="E48" s="33" t="s">
        <v>290</v>
      </c>
      <c r="G48" s="591"/>
      <c r="H48" s="591"/>
      <c r="I48" s="591"/>
      <c r="J48" s="591"/>
      <c r="K48" s="591"/>
    </row>
    <row r="49" spans="2:11" x14ac:dyDescent="0.25">
      <c r="B49" s="27" t="s">
        <v>17</v>
      </c>
      <c r="C49" s="29"/>
      <c r="D49" s="29"/>
      <c r="E49" s="34"/>
      <c r="G49" s="591"/>
      <c r="H49" s="591"/>
      <c r="I49" s="591"/>
      <c r="J49" s="591"/>
      <c r="K49" s="591"/>
    </row>
    <row r="50" spans="2:11" x14ac:dyDescent="0.25">
      <c r="B50" s="27" t="s">
        <v>18</v>
      </c>
      <c r="C50" s="29"/>
      <c r="D50" s="29"/>
      <c r="E50" s="32">
        <f>mvalloc!G20</f>
        <v>0</v>
      </c>
      <c r="G50" s="591"/>
      <c r="H50" s="591"/>
      <c r="I50" s="591"/>
      <c r="J50" s="591"/>
      <c r="K50" s="591"/>
    </row>
    <row r="51" spans="2:11" x14ac:dyDescent="0.25">
      <c r="B51" s="27" t="s">
        <v>19</v>
      </c>
      <c r="C51" s="29"/>
      <c r="D51" s="29"/>
      <c r="E51" s="32">
        <f>mvalloc!I20</f>
        <v>0</v>
      </c>
      <c r="G51" s="591"/>
      <c r="H51" s="591"/>
      <c r="I51" s="591"/>
      <c r="J51" s="591"/>
      <c r="K51" s="591"/>
    </row>
    <row r="52" spans="2:11" x14ac:dyDescent="0.25">
      <c r="B52" s="27" t="s">
        <v>99</v>
      </c>
      <c r="C52" s="29"/>
      <c r="D52" s="29"/>
      <c r="E52" s="32">
        <f>mvalloc!J20</f>
        <v>0</v>
      </c>
      <c r="G52" s="591"/>
      <c r="H52" s="591"/>
      <c r="I52" s="591"/>
      <c r="J52" s="591"/>
      <c r="K52" s="591"/>
    </row>
    <row r="53" spans="2:11" x14ac:dyDescent="0.25">
      <c r="B53" s="37"/>
      <c r="C53" s="29"/>
      <c r="D53" s="29"/>
      <c r="E53" s="34"/>
      <c r="G53" s="591"/>
      <c r="H53" s="591"/>
      <c r="I53" s="591"/>
      <c r="J53" s="591"/>
      <c r="K53" s="591"/>
    </row>
    <row r="54" spans="2:11" x14ac:dyDescent="0.25">
      <c r="B54" s="37"/>
      <c r="C54" s="29"/>
      <c r="D54" s="29"/>
      <c r="E54" s="34"/>
      <c r="G54" s="591"/>
      <c r="H54" s="591"/>
      <c r="I54" s="591"/>
      <c r="J54" s="591"/>
      <c r="K54" s="591"/>
    </row>
    <row r="55" spans="2:11" x14ac:dyDescent="0.25">
      <c r="B55" s="37"/>
      <c r="C55" s="29"/>
      <c r="D55" s="29"/>
      <c r="E55" s="34"/>
      <c r="G55" s="591"/>
      <c r="H55" s="591"/>
      <c r="I55" s="591"/>
      <c r="J55" s="591"/>
      <c r="K55" s="591"/>
    </row>
    <row r="56" spans="2:11" x14ac:dyDescent="0.25">
      <c r="B56" s="38"/>
      <c r="C56" s="29"/>
      <c r="D56" s="29"/>
      <c r="E56" s="34"/>
      <c r="G56" s="591"/>
      <c r="H56" s="591"/>
      <c r="I56" s="591"/>
      <c r="J56" s="591"/>
      <c r="K56" s="591"/>
    </row>
    <row r="57" spans="2:11" x14ac:dyDescent="0.25">
      <c r="B57" s="38" t="s">
        <v>22</v>
      </c>
      <c r="C57" s="29"/>
      <c r="D57" s="29"/>
      <c r="E57" s="34"/>
      <c r="G57" s="591"/>
      <c r="H57" s="591"/>
      <c r="I57" s="591"/>
      <c r="J57" s="591"/>
      <c r="K57" s="591"/>
    </row>
    <row r="58" spans="2:11" x14ac:dyDescent="0.25">
      <c r="B58" s="39" t="s">
        <v>213</v>
      </c>
      <c r="C58" s="29"/>
      <c r="D58" s="29"/>
      <c r="E58" s="34"/>
      <c r="G58" s="591"/>
      <c r="H58" s="591"/>
      <c r="I58" s="591"/>
      <c r="J58" s="591"/>
      <c r="K58" s="591"/>
    </row>
    <row r="59" spans="2:11" x14ac:dyDescent="0.25">
      <c r="B59" s="39" t="s">
        <v>214</v>
      </c>
      <c r="C59" s="387" t="str">
        <f>IF(C60*0.1&lt;C58,"Exceed 10% Rule","")</f>
        <v/>
      </c>
      <c r="D59" s="387" t="str">
        <f>IF(D60*0.1&lt;D58,"Exceed 10% Rule","")</f>
        <v/>
      </c>
      <c r="E59" s="45" t="str">
        <f>IF(E60*0.1+E80&lt;E58,"Exceed 10% Rule","")</f>
        <v/>
      </c>
      <c r="G59" s="591"/>
      <c r="H59" s="591"/>
      <c r="I59" s="591"/>
      <c r="J59" s="591"/>
      <c r="K59" s="591"/>
    </row>
    <row r="60" spans="2:11" x14ac:dyDescent="0.25">
      <c r="B60" s="41" t="s">
        <v>23</v>
      </c>
      <c r="C60" s="392">
        <f>SUM(C48:C58)</f>
        <v>0</v>
      </c>
      <c r="D60" s="392">
        <f>SUM(D48:D58)</f>
        <v>0</v>
      </c>
      <c r="E60" s="42">
        <f>SUM(E48:E58)</f>
        <v>0</v>
      </c>
      <c r="G60" s="591"/>
      <c r="H60" s="591"/>
      <c r="I60" s="591"/>
      <c r="J60" s="591"/>
      <c r="K60" s="591"/>
    </row>
    <row r="61" spans="2:11" x14ac:dyDescent="0.25">
      <c r="B61" s="43" t="s">
        <v>24</v>
      </c>
      <c r="C61" s="392">
        <f>C60+C46</f>
        <v>0</v>
      </c>
      <c r="D61" s="392">
        <f>D60+D46</f>
        <v>0</v>
      </c>
      <c r="E61" s="42">
        <f>E60+E46</f>
        <v>0</v>
      </c>
      <c r="G61" s="591"/>
      <c r="H61" s="591"/>
      <c r="I61" s="591"/>
      <c r="J61" s="591"/>
      <c r="K61" s="591"/>
    </row>
    <row r="62" spans="2:11" x14ac:dyDescent="0.25">
      <c r="B62" s="27" t="s">
        <v>25</v>
      </c>
      <c r="C62" s="390"/>
      <c r="D62" s="390"/>
      <c r="E62" s="32"/>
      <c r="G62" s="591"/>
      <c r="H62" s="591"/>
      <c r="I62" s="591"/>
      <c r="J62" s="591"/>
      <c r="K62" s="591"/>
    </row>
    <row r="63" spans="2:11" x14ac:dyDescent="0.25">
      <c r="B63" s="38"/>
      <c r="C63" s="29"/>
      <c r="D63" s="29"/>
      <c r="E63" s="34"/>
      <c r="G63" s="591"/>
      <c r="H63" s="591"/>
      <c r="I63" s="591"/>
      <c r="J63" s="591"/>
      <c r="K63" s="591"/>
    </row>
    <row r="64" spans="2:11" x14ac:dyDescent="0.25">
      <c r="B64" s="38"/>
      <c r="C64" s="29"/>
      <c r="D64" s="29"/>
      <c r="E64" s="34"/>
      <c r="G64" s="820" t="str">
        <f>CONCATENATE("Desired Carryover Into ",E1+1,"")</f>
        <v>Desired Carryover Into 2014</v>
      </c>
      <c r="H64" s="821"/>
      <c r="I64" s="821"/>
      <c r="J64" s="822"/>
      <c r="K64" s="591"/>
    </row>
    <row r="65" spans="2:11" x14ac:dyDescent="0.25">
      <c r="B65" s="38"/>
      <c r="C65" s="29"/>
      <c r="D65" s="29"/>
      <c r="E65" s="34"/>
      <c r="G65" s="622"/>
      <c r="H65" s="623"/>
      <c r="I65" s="624"/>
      <c r="J65" s="625"/>
      <c r="K65" s="591"/>
    </row>
    <row r="66" spans="2:11" x14ac:dyDescent="0.25">
      <c r="B66" s="38"/>
      <c r="C66" s="29"/>
      <c r="D66" s="29"/>
      <c r="E66" s="34"/>
      <c r="G66" s="626" t="s">
        <v>715</v>
      </c>
      <c r="H66" s="624"/>
      <c r="I66" s="624"/>
      <c r="J66" s="627">
        <v>0</v>
      </c>
      <c r="K66" s="591"/>
    </row>
    <row r="67" spans="2:11" x14ac:dyDescent="0.25">
      <c r="B67" s="38"/>
      <c r="C67" s="29"/>
      <c r="D67" s="29"/>
      <c r="E67" s="34"/>
      <c r="G67" s="622" t="s">
        <v>716</v>
      </c>
      <c r="H67" s="623"/>
      <c r="I67" s="623"/>
      <c r="J67" s="628" t="str">
        <f>IF(J66=0,"",ROUND((J66+E80-G79)/inputOth!E7*1000,3)-G84)</f>
        <v/>
      </c>
      <c r="K67" s="591"/>
    </row>
    <row r="68" spans="2:11" x14ac:dyDescent="0.25">
      <c r="B68" s="38"/>
      <c r="C68" s="29"/>
      <c r="D68" s="29"/>
      <c r="E68" s="34"/>
      <c r="G68" s="629" t="str">
        <f>CONCATENATE("",E1," Tot Exp/Non-Appr Must Be:")</f>
        <v>2013 Tot Exp/Non-Appr Must Be:</v>
      </c>
      <c r="H68" s="630"/>
      <c r="I68" s="631"/>
      <c r="J68" s="632">
        <f>IF(J66&gt;0,IF(E77&lt;E61,IF(J66=G79,E77,((J66-G79)*(1-D79))+E61),E77+(J66-G79)),0)</f>
        <v>0</v>
      </c>
      <c r="K68" s="591"/>
    </row>
    <row r="69" spans="2:11" x14ac:dyDescent="0.25">
      <c r="B69" s="38"/>
      <c r="C69" s="29"/>
      <c r="D69" s="29"/>
      <c r="E69" s="34"/>
      <c r="G69" s="633" t="s">
        <v>825</v>
      </c>
      <c r="H69" s="634"/>
      <c r="I69" s="634"/>
      <c r="J69" s="635">
        <f>IF(J66&gt;0,J68-E77,0)</f>
        <v>0</v>
      </c>
      <c r="K69" s="591"/>
    </row>
    <row r="70" spans="2:11" x14ac:dyDescent="0.25">
      <c r="B70" s="35" t="s">
        <v>215</v>
      </c>
      <c r="C70" s="29"/>
      <c r="D70" s="29"/>
      <c r="E70" s="46" t="str">
        <f>nhood!E15</f>
        <v/>
      </c>
      <c r="G70" s="591"/>
      <c r="H70" s="591"/>
      <c r="I70" s="591"/>
      <c r="J70" s="591"/>
      <c r="K70" s="591"/>
    </row>
    <row r="71" spans="2:11" x14ac:dyDescent="0.25">
      <c r="B71" s="35" t="s">
        <v>213</v>
      </c>
      <c r="C71" s="29"/>
      <c r="D71" s="29"/>
      <c r="E71" s="34"/>
      <c r="G71" s="820" t="str">
        <f>CONCATENATE("Projected Carryover Into ",E1+1,"")</f>
        <v>Projected Carryover Into 2014</v>
      </c>
      <c r="H71" s="823"/>
      <c r="I71" s="823"/>
      <c r="J71" s="824"/>
      <c r="K71" s="591"/>
    </row>
    <row r="72" spans="2:11" x14ac:dyDescent="0.25">
      <c r="B72" s="35" t="s">
        <v>622</v>
      </c>
      <c r="C72" s="387" t="str">
        <f>IF(C73*0.1&lt;C71,"Exceed 10% Rule","")</f>
        <v/>
      </c>
      <c r="D72" s="387" t="str">
        <f>IF(D73*0.1&lt;D71,"Exceed 10% Rule","")</f>
        <v/>
      </c>
      <c r="E72" s="45" t="str">
        <f>IF(E73*0.1&lt;E71,"Exceed 10% Rule","")</f>
        <v/>
      </c>
      <c r="G72" s="676"/>
      <c r="H72" s="623"/>
      <c r="I72" s="623"/>
      <c r="J72" s="677"/>
      <c r="K72" s="591"/>
    </row>
    <row r="73" spans="2:11" x14ac:dyDescent="0.25">
      <c r="B73" s="43" t="s">
        <v>26</v>
      </c>
      <c r="C73" s="392">
        <f>SUM(C63:C71)</f>
        <v>0</v>
      </c>
      <c r="D73" s="392">
        <f>SUM(D63:D71)</f>
        <v>0</v>
      </c>
      <c r="E73" s="42">
        <f>SUM(E63:E71)</f>
        <v>0</v>
      </c>
      <c r="G73" s="640">
        <f>D74</f>
        <v>0</v>
      </c>
      <c r="H73" s="641" t="str">
        <f>CONCATENATE("",E1-1," Ending Cash Balance (est.)")</f>
        <v>2012 Ending Cash Balance (est.)</v>
      </c>
      <c r="I73" s="642"/>
      <c r="J73" s="677"/>
      <c r="K73" s="591"/>
    </row>
    <row r="74" spans="2:11" x14ac:dyDescent="0.25">
      <c r="B74" s="27" t="s">
        <v>119</v>
      </c>
      <c r="C74" s="385">
        <f>C61-C73</f>
        <v>0</v>
      </c>
      <c r="D74" s="385">
        <f>D61-D73</f>
        <v>0</v>
      </c>
      <c r="E74" s="33" t="s">
        <v>290</v>
      </c>
      <c r="G74" s="640">
        <f>E60</f>
        <v>0</v>
      </c>
      <c r="H74" s="624" t="str">
        <f>CONCATENATE("",E1," Non-AV Receipts (est.)")</f>
        <v>2013 Non-AV Receipts (est.)</v>
      </c>
      <c r="I74" s="642"/>
      <c r="J74" s="677"/>
      <c r="K74" s="591"/>
    </row>
    <row r="75" spans="2:11" x14ac:dyDescent="0.25">
      <c r="B75" s="48" t="str">
        <f>CONCATENATE("",E1-2,"/",E1-1," Budget Authority Amount:")</f>
        <v>2011/2012 Budget Authority Amount:</v>
      </c>
      <c r="C75" s="132">
        <f>inputOth!B55</f>
        <v>0</v>
      </c>
      <c r="D75" s="161">
        <f>inputPrYr!D25</f>
        <v>0</v>
      </c>
      <c r="E75" s="33" t="s">
        <v>290</v>
      </c>
      <c r="F75" s="50"/>
      <c r="G75" s="649">
        <f>IF(E79&gt;0,E78,E80)</f>
        <v>0</v>
      </c>
      <c r="H75" s="624" t="str">
        <f>CONCATENATE("",E1," Ad Valorem Tax (est.)")</f>
        <v>2013 Ad Valorem Tax (est.)</v>
      </c>
      <c r="I75" s="642"/>
      <c r="J75" s="677"/>
      <c r="K75" s="650" t="str">
        <f>IF(G75=E80,"","Note: Does not include Delinquent Taxes")</f>
        <v/>
      </c>
    </row>
    <row r="76" spans="2:11" x14ac:dyDescent="0.25">
      <c r="B76" s="48"/>
      <c r="C76" s="808" t="s">
        <v>623</v>
      </c>
      <c r="D76" s="809"/>
      <c r="E76" s="34"/>
      <c r="F76" s="486" t="str">
        <f>IF(E73/0.95-E73&lt;E76,"Exceeds 5%","")</f>
        <v/>
      </c>
      <c r="G76" s="679">
        <f>SUM(G73:G75)</f>
        <v>0</v>
      </c>
      <c r="H76" s="624" t="str">
        <f>CONCATENATE("Total ",E1," Resources Available")</f>
        <v>Total 2013 Resources Available</v>
      </c>
      <c r="I76" s="680"/>
      <c r="J76" s="677"/>
      <c r="K76" s="591"/>
    </row>
    <row r="77" spans="2:11" x14ac:dyDescent="0.25">
      <c r="B77" s="48"/>
      <c r="C77" s="810" t="s">
        <v>624</v>
      </c>
      <c r="D77" s="811"/>
      <c r="E77" s="32">
        <f>E73+E76</f>
        <v>0</v>
      </c>
      <c r="G77" s="681"/>
      <c r="H77" s="682"/>
      <c r="I77" s="623"/>
      <c r="J77" s="677"/>
      <c r="K77" s="591"/>
    </row>
    <row r="78" spans="2:11" x14ac:dyDescent="0.25">
      <c r="B78" s="48"/>
      <c r="C78" s="60"/>
      <c r="D78" s="52" t="s">
        <v>28</v>
      </c>
      <c r="E78" s="46">
        <f>IF(E77-E61&gt;0,E77-E61,0)</f>
        <v>0</v>
      </c>
      <c r="G78" s="649">
        <f>ROUND(C73*0.05+C73,0)</f>
        <v>0</v>
      </c>
      <c r="H78" s="624" t="str">
        <f>CONCATENATE("Less ",E1-2," Expenditures + 5%")</f>
        <v>Less 2011 Expenditures + 5%</v>
      </c>
      <c r="I78" s="680"/>
      <c r="J78" s="677"/>
      <c r="K78" s="591"/>
    </row>
    <row r="79" spans="2:11" x14ac:dyDescent="0.25">
      <c r="B79" s="52"/>
      <c r="C79" s="403" t="s">
        <v>625</v>
      </c>
      <c r="D79" s="698">
        <f>inputOth!$E$40</f>
        <v>0</v>
      </c>
      <c r="E79" s="32">
        <f>ROUND(IF(D79&gt;0,(E78*D79),0),0)</f>
        <v>0</v>
      </c>
      <c r="G79" s="657">
        <f>G76-G78</f>
        <v>0</v>
      </c>
      <c r="H79" s="658" t="str">
        <f>CONCATENATE("Projected ",E1+1," carryover (est.)")</f>
        <v>Projected 2014 carryover (est.)</v>
      </c>
      <c r="I79" s="683"/>
      <c r="J79" s="684"/>
      <c r="K79" s="591"/>
    </row>
    <row r="80" spans="2:11" x14ac:dyDescent="0.25">
      <c r="B80" s="14"/>
      <c r="C80" s="806" t="str">
        <f>CONCATENATE("Amount of  ",$E$1-1," Ad Valorem Tax")</f>
        <v>Amount of  2012 Ad Valorem Tax</v>
      </c>
      <c r="D80" s="807"/>
      <c r="E80" s="46">
        <f>E78+E79</f>
        <v>0</v>
      </c>
      <c r="G80" s="591"/>
      <c r="H80" s="591"/>
      <c r="I80" s="591"/>
      <c r="J80" s="591"/>
      <c r="K80" s="591"/>
    </row>
    <row r="81" spans="2:11" x14ac:dyDescent="0.25">
      <c r="B81" s="52" t="s">
        <v>9</v>
      </c>
      <c r="C81" s="539"/>
      <c r="D81" s="14"/>
      <c r="E81" s="14"/>
      <c r="G81" s="817" t="s">
        <v>826</v>
      </c>
      <c r="H81" s="818"/>
      <c r="I81" s="818"/>
      <c r="J81" s="819"/>
      <c r="K81" s="591"/>
    </row>
    <row r="82" spans="2:11" x14ac:dyDescent="0.25">
      <c r="B82" s="80"/>
      <c r="G82" s="664"/>
      <c r="H82" s="641"/>
      <c r="I82" s="665"/>
      <c r="J82" s="666"/>
      <c r="K82" s="591"/>
    </row>
    <row r="83" spans="2:11" x14ac:dyDescent="0.25">
      <c r="G83" s="667" t="str">
        <f>summ!I27</f>
        <v xml:space="preserve"> </v>
      </c>
      <c r="H83" s="641" t="str">
        <f>CONCATENATE("",E1," Fund Mill Rate")</f>
        <v>2013 Fund Mill Rate</v>
      </c>
      <c r="I83" s="665"/>
      <c r="J83" s="666"/>
      <c r="K83" s="591"/>
    </row>
    <row r="84" spans="2:11" x14ac:dyDescent="0.25">
      <c r="G84" s="668" t="str">
        <f>summ!F27</f>
        <v xml:space="preserve">  </v>
      </c>
      <c r="H84" s="641" t="str">
        <f>CONCATENATE("",E1-1," Fund Mill Rate")</f>
        <v>2012 Fund Mill Rate</v>
      </c>
      <c r="I84" s="665"/>
      <c r="J84" s="666"/>
      <c r="K84" s="591"/>
    </row>
    <row r="85" spans="2:11" x14ac:dyDescent="0.25">
      <c r="G85" s="670">
        <f>summ!I32</f>
        <v>18.600000000000001</v>
      </c>
      <c r="H85" s="641" t="str">
        <f>CONCATENATE("Total ",E1," Mill Rate")</f>
        <v>Total 2013 Mill Rate</v>
      </c>
      <c r="I85" s="665"/>
      <c r="J85" s="666"/>
      <c r="K85" s="591"/>
    </row>
    <row r="86" spans="2:11" x14ac:dyDescent="0.25">
      <c r="G86" s="668">
        <f>summ!F32</f>
        <v>20.238</v>
      </c>
      <c r="H86" s="671" t="str">
        <f>CONCATENATE("Total ",E1-1," Mill Rate")</f>
        <v>Total 2012 Mill Rate</v>
      </c>
      <c r="I86" s="672"/>
      <c r="J86" s="673"/>
      <c r="K86" s="591"/>
    </row>
    <row r="92" spans="2:11" hidden="1" x14ac:dyDescent="0.25">
      <c r="C92" s="16" t="str">
        <f>IF(C33&gt;C35,"See Tab A","")</f>
        <v/>
      </c>
      <c r="D92" s="16" t="str">
        <f>IF(D33&gt;D35,"See Tab C","")</f>
        <v/>
      </c>
    </row>
    <row r="93" spans="2:11" hidden="1" x14ac:dyDescent="0.25">
      <c r="C93" s="16" t="str">
        <f>IF(C34&lt;0,"See Tab B","")</f>
        <v/>
      </c>
      <c r="D93" s="16" t="str">
        <f>IF(D34&lt;0,"See Tab D","")</f>
        <v/>
      </c>
    </row>
    <row r="94" spans="2:11" hidden="1" x14ac:dyDescent="0.25">
      <c r="C94" s="16" t="str">
        <f>IF(C73&gt;C75,"See Tab A","")</f>
        <v/>
      </c>
      <c r="D94" s="16" t="str">
        <f>IF(D73&gt;D75,"See Tab C","")</f>
        <v/>
      </c>
    </row>
    <row r="95" spans="2:11" hidden="1" x14ac:dyDescent="0.25">
      <c r="C95" s="16" t="str">
        <f>IF(C74&lt;0,"See Tab B","")</f>
        <v/>
      </c>
      <c r="D95" s="16" t="str">
        <f>IF(D74&lt;0,"See Tab D","")</f>
        <v/>
      </c>
    </row>
  </sheetData>
  <sheetProtection sheet="1"/>
  <mergeCells count="12">
    <mergeCell ref="G24:J24"/>
    <mergeCell ref="G31:J31"/>
    <mergeCell ref="G41:J41"/>
    <mergeCell ref="G64:J64"/>
    <mergeCell ref="G71:J71"/>
    <mergeCell ref="C36:D36"/>
    <mergeCell ref="C37:D37"/>
    <mergeCell ref="G81:J81"/>
    <mergeCell ref="C80:D80"/>
    <mergeCell ref="C40:D40"/>
    <mergeCell ref="C76:D76"/>
    <mergeCell ref="C77:D77"/>
  </mergeCells>
  <phoneticPr fontId="0" type="noConversion"/>
  <conditionalFormatting sqref="E76">
    <cfRule type="cellIs" dxfId="38" priority="3" stopIfTrue="1" operator="greaterThan">
      <formula>$E$73/0.95-$E$73</formula>
    </cfRule>
  </conditionalFormatting>
  <conditionalFormatting sqref="C71">
    <cfRule type="cellIs" dxfId="37" priority="4" stopIfTrue="1" operator="greaterThan">
      <formula>$C$73*0.1</formula>
    </cfRule>
  </conditionalFormatting>
  <conditionalFormatting sqref="D71">
    <cfRule type="cellIs" dxfId="36" priority="5" stopIfTrue="1" operator="greaterThan">
      <formula>$D$73*0.1</formula>
    </cfRule>
  </conditionalFormatting>
  <conditionalFormatting sqref="E71">
    <cfRule type="cellIs" dxfId="35" priority="6" stopIfTrue="1" operator="greaterThan">
      <formula>$E$73*0.1</formula>
    </cfRule>
  </conditionalFormatting>
  <conditionalFormatting sqref="C58">
    <cfRule type="cellIs" dxfId="34" priority="7" stopIfTrue="1" operator="greaterThan">
      <formula>$C$60*0.1</formula>
    </cfRule>
  </conditionalFormatting>
  <conditionalFormatting sqref="D58">
    <cfRule type="cellIs" dxfId="33" priority="8" stopIfTrue="1" operator="greaterThan">
      <formula>$D$60*0.1</formula>
    </cfRule>
  </conditionalFormatting>
  <conditionalFormatting sqref="E36">
    <cfRule type="cellIs" dxfId="32" priority="9" stopIfTrue="1" operator="greaterThan">
      <formula>$E$33/0.95-$E$33</formula>
    </cfRule>
  </conditionalFormatting>
  <conditionalFormatting sqref="C31">
    <cfRule type="cellIs" dxfId="31" priority="10" stopIfTrue="1" operator="greaterThan">
      <formula>$C$33*0.1</formula>
    </cfRule>
  </conditionalFormatting>
  <conditionalFormatting sqref="D31">
    <cfRule type="cellIs" dxfId="30" priority="11" stopIfTrue="1" operator="greaterThan">
      <formula>$D$33*0.1</formula>
    </cfRule>
  </conditionalFormatting>
  <conditionalFormatting sqref="E31">
    <cfRule type="cellIs" dxfId="29" priority="12" stopIfTrue="1" operator="greaterThan">
      <formula>$E$33*0.1</formula>
    </cfRule>
  </conditionalFormatting>
  <conditionalFormatting sqref="C18">
    <cfRule type="cellIs" dxfId="28" priority="13" stopIfTrue="1" operator="greaterThan">
      <formula>$C$20*0.1</formula>
    </cfRule>
  </conditionalFormatting>
  <conditionalFormatting sqref="D18">
    <cfRule type="cellIs" dxfId="27" priority="14" stopIfTrue="1" operator="greaterThan">
      <formula>$D$20*0.1</formula>
    </cfRule>
  </conditionalFormatting>
  <conditionalFormatting sqref="E58">
    <cfRule type="cellIs" dxfId="26" priority="15" stopIfTrue="1" operator="greaterThan">
      <formula>$E$60*0.1+$E$80</formula>
    </cfRule>
  </conditionalFormatting>
  <conditionalFormatting sqref="E18">
    <cfRule type="cellIs" dxfId="25" priority="16" stopIfTrue="1" operator="greaterThan">
      <formula>$E$20*0.1+$E$40</formula>
    </cfRule>
  </conditionalFormatting>
  <conditionalFormatting sqref="C74 C34">
    <cfRule type="cellIs" dxfId="24" priority="17" stopIfTrue="1" operator="lessThan">
      <formula>0</formula>
    </cfRule>
  </conditionalFormatting>
  <conditionalFormatting sqref="C73">
    <cfRule type="cellIs" dxfId="23" priority="18" stopIfTrue="1" operator="greaterThan">
      <formula>$C$75</formula>
    </cfRule>
  </conditionalFormatting>
  <conditionalFormatting sqref="D73">
    <cfRule type="cellIs" dxfId="22" priority="19" stopIfTrue="1" operator="greaterThan">
      <formula>$D$75</formula>
    </cfRule>
  </conditionalFormatting>
  <conditionalFormatting sqref="C33">
    <cfRule type="cellIs" dxfId="21" priority="20" stopIfTrue="1" operator="greaterThan">
      <formula>$C$35</formula>
    </cfRule>
  </conditionalFormatting>
  <conditionalFormatting sqref="D33">
    <cfRule type="cellIs" dxfId="20" priority="21" stopIfTrue="1" operator="greaterThan">
      <formula>$D$35</formula>
    </cfRule>
  </conditionalFormatting>
  <conditionalFormatting sqref="D34 D74">
    <cfRule type="cellIs" dxfId="19" priority="2" stopIfTrue="1" operator="lessThan">
      <formula>0</formula>
    </cfRule>
  </conditionalFormatting>
  <pageMargins left="0.9" right="0.9" top="0.96" bottom="0.5" header="0.41" footer="0.3"/>
  <pageSetup scale="57" orientation="portrait" blackAndWhite="1" horizontalDpi="4294967292" verticalDpi="96" r:id="rId1"/>
  <headerFooter alignWithMargins="0">
    <oddHeader xml:space="preserve">&amp;RState of Kansas
Township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65"/>
  <sheetViews>
    <sheetView workbookViewId="0">
      <selection activeCell="C24" sqref="C24:E24"/>
    </sheetView>
  </sheetViews>
  <sheetFormatPr defaultRowHeight="15.75" x14ac:dyDescent="0.25"/>
  <cols>
    <col min="1" max="1" width="2.3984375" style="80" customWidth="1"/>
    <col min="2" max="2" width="31" style="80" customWidth="1"/>
    <col min="3" max="5" width="14.19921875" style="80" customWidth="1"/>
    <col min="6" max="16384" width="8.796875" style="80"/>
  </cols>
  <sheetData>
    <row r="1" spans="2:5" x14ac:dyDescent="0.25">
      <c r="B1" s="13" t="str">
        <f>inputPrYr!D2</f>
        <v>Liberty Township</v>
      </c>
      <c r="C1" s="14"/>
      <c r="D1" s="14"/>
      <c r="E1" s="15">
        <f>inputPrYr!D5</f>
        <v>2013</v>
      </c>
    </row>
    <row r="2" spans="2:5" x14ac:dyDescent="0.25">
      <c r="B2" s="14"/>
      <c r="C2" s="14"/>
      <c r="D2" s="14"/>
      <c r="E2" s="52"/>
    </row>
    <row r="3" spans="2:5" x14ac:dyDescent="0.25">
      <c r="B3" s="17" t="s">
        <v>143</v>
      </c>
      <c r="C3" s="66"/>
      <c r="D3" s="66"/>
      <c r="E3" s="66"/>
    </row>
    <row r="4" spans="2:5" x14ac:dyDescent="0.25">
      <c r="B4" s="22" t="s">
        <v>10</v>
      </c>
      <c r="C4" s="69" t="s">
        <v>11</v>
      </c>
      <c r="D4" s="23" t="s">
        <v>12</v>
      </c>
      <c r="E4" s="23" t="s">
        <v>13</v>
      </c>
    </row>
    <row r="5" spans="2:5" x14ac:dyDescent="0.25">
      <c r="B5" s="400">
        <f>inputPrYr!B29</f>
        <v>0</v>
      </c>
      <c r="C5" s="26" t="str">
        <f>gen!C5</f>
        <v>Actual for 2011</v>
      </c>
      <c r="D5" s="26" t="str">
        <f>gen!D5</f>
        <v>Estimate for 2012</v>
      </c>
      <c r="E5" s="26" t="str">
        <f>gen!E5</f>
        <v>Year for 2013</v>
      </c>
    </row>
    <row r="6" spans="2:5" x14ac:dyDescent="0.25">
      <c r="B6" s="83" t="s">
        <v>144</v>
      </c>
      <c r="C6" s="34"/>
      <c r="D6" s="32">
        <f>C29</f>
        <v>0</v>
      </c>
      <c r="E6" s="32">
        <f>D29</f>
        <v>0</v>
      </c>
    </row>
    <row r="7" spans="2:5" s="16" customFormat="1" x14ac:dyDescent="0.25">
      <c r="B7" s="84" t="s">
        <v>120</v>
      </c>
      <c r="C7" s="85"/>
      <c r="D7" s="85"/>
      <c r="E7" s="85"/>
    </row>
    <row r="8" spans="2:5" x14ac:dyDescent="0.25">
      <c r="B8" s="37"/>
      <c r="C8" s="34"/>
      <c r="D8" s="34"/>
      <c r="E8" s="34"/>
    </row>
    <row r="9" spans="2:5" x14ac:dyDescent="0.25">
      <c r="B9" s="37"/>
      <c r="C9" s="34"/>
      <c r="D9" s="34"/>
      <c r="E9" s="34"/>
    </row>
    <row r="10" spans="2:5" x14ac:dyDescent="0.25">
      <c r="B10" s="37"/>
      <c r="C10" s="34"/>
      <c r="D10" s="34"/>
      <c r="E10" s="34"/>
    </row>
    <row r="11" spans="2:5" x14ac:dyDescent="0.25">
      <c r="B11" s="37"/>
      <c r="C11" s="34"/>
      <c r="D11" s="34"/>
      <c r="E11" s="34"/>
    </row>
    <row r="12" spans="2:5" x14ac:dyDescent="0.25">
      <c r="B12" s="86" t="s">
        <v>22</v>
      </c>
      <c r="C12" s="34"/>
      <c r="D12" s="34"/>
      <c r="E12" s="34"/>
    </row>
    <row r="13" spans="2:5" x14ac:dyDescent="0.25">
      <c r="B13" s="39" t="s">
        <v>213</v>
      </c>
      <c r="C13" s="34"/>
      <c r="D13" s="30"/>
      <c r="E13" s="30"/>
    </row>
    <row r="14" spans="2:5" x14ac:dyDescent="0.25">
      <c r="B14" s="39" t="s">
        <v>214</v>
      </c>
      <c r="C14" s="45" t="str">
        <f>IF(C15*0.1&lt;C13,"Exceed 10% Rule","")</f>
        <v/>
      </c>
      <c r="D14" s="40" t="str">
        <f>IF(D15*0.1&lt;D13,"Exceed 10% Rule","")</f>
        <v/>
      </c>
      <c r="E14" s="40" t="str">
        <f>IF(E15*0.1&lt;E13,"Exceed 10% Rule","")</f>
        <v/>
      </c>
    </row>
    <row r="15" spans="2:5" x14ac:dyDescent="0.25">
      <c r="B15" s="43" t="s">
        <v>23</v>
      </c>
      <c r="C15" s="42">
        <f>SUM(C8:C13)</f>
        <v>0</v>
      </c>
      <c r="D15" s="42">
        <f>SUM(D8:D13)</f>
        <v>0</v>
      </c>
      <c r="E15" s="42">
        <f>SUM(E8:E13)</f>
        <v>0</v>
      </c>
    </row>
    <row r="16" spans="2:5" x14ac:dyDescent="0.25">
      <c r="B16" s="43" t="s">
        <v>24</v>
      </c>
      <c r="C16" s="42">
        <f>C6+C15</f>
        <v>0</v>
      </c>
      <c r="D16" s="42">
        <f>D6+D15</f>
        <v>0</v>
      </c>
      <c r="E16" s="42">
        <f>E6+E15</f>
        <v>0</v>
      </c>
    </row>
    <row r="17" spans="2:5" x14ac:dyDescent="0.25">
      <c r="B17" s="27" t="s">
        <v>25</v>
      </c>
      <c r="C17" s="32"/>
      <c r="D17" s="32"/>
      <c r="E17" s="32"/>
    </row>
    <row r="18" spans="2:5" x14ac:dyDescent="0.25">
      <c r="B18" s="37"/>
      <c r="C18" s="34"/>
      <c r="D18" s="34"/>
      <c r="E18" s="34"/>
    </row>
    <row r="19" spans="2:5" x14ac:dyDescent="0.25">
      <c r="B19" s="37"/>
      <c r="C19" s="34"/>
      <c r="D19" s="34"/>
      <c r="E19" s="34"/>
    </row>
    <row r="20" spans="2:5" x14ac:dyDescent="0.25">
      <c r="B20" s="37"/>
      <c r="C20" s="34"/>
      <c r="D20" s="34"/>
      <c r="E20" s="34"/>
    </row>
    <row r="21" spans="2:5" x14ac:dyDescent="0.25">
      <c r="B21" s="37"/>
      <c r="C21" s="34"/>
      <c r="D21" s="34"/>
      <c r="E21" s="34"/>
    </row>
    <row r="22" spans="2:5" x14ac:dyDescent="0.25">
      <c r="B22" s="37"/>
      <c r="C22" s="34"/>
      <c r="D22" s="34"/>
      <c r="E22" s="34"/>
    </row>
    <row r="23" spans="2:5" x14ac:dyDescent="0.25">
      <c r="B23" s="37"/>
      <c r="C23" s="34"/>
      <c r="D23" s="34"/>
      <c r="E23" s="34"/>
    </row>
    <row r="24" spans="2:5" x14ac:dyDescent="0.25">
      <c r="B24" s="37"/>
      <c r="C24" s="34"/>
      <c r="D24" s="34"/>
      <c r="E24" s="34"/>
    </row>
    <row r="25" spans="2:5" x14ac:dyDescent="0.25">
      <c r="B25" s="37"/>
      <c r="C25" s="34"/>
      <c r="D25" s="34"/>
      <c r="E25" s="34"/>
    </row>
    <row r="26" spans="2:5" x14ac:dyDescent="0.25">
      <c r="B26" s="35" t="s">
        <v>213</v>
      </c>
      <c r="C26" s="34"/>
      <c r="D26" s="30"/>
      <c r="E26" s="30"/>
    </row>
    <row r="27" spans="2:5" x14ac:dyDescent="0.25">
      <c r="B27" s="35" t="s">
        <v>622</v>
      </c>
      <c r="C27" s="45" t="str">
        <f>IF(C28*0.1&lt;C26,"Exceed 10% Rule","")</f>
        <v/>
      </c>
      <c r="D27" s="40" t="str">
        <f>IF(D28*0.1&lt;D26,"Exceed 10% Rule","")</f>
        <v/>
      </c>
      <c r="E27" s="40" t="str">
        <f>IF(E28*0.1&lt;E26,"Exceed 10% Rule","")</f>
        <v/>
      </c>
    </row>
    <row r="28" spans="2:5" x14ac:dyDescent="0.25">
      <c r="B28" s="43" t="s">
        <v>26</v>
      </c>
      <c r="C28" s="42">
        <f>SUM(C18:C26)</f>
        <v>0</v>
      </c>
      <c r="D28" s="42">
        <f>SUM(D18:D26)</f>
        <v>0</v>
      </c>
      <c r="E28" s="42">
        <f>SUM(E18:E26)</f>
        <v>0</v>
      </c>
    </row>
    <row r="29" spans="2:5" x14ac:dyDescent="0.25">
      <c r="B29" s="27" t="s">
        <v>119</v>
      </c>
      <c r="C29" s="46">
        <f>C16-C28</f>
        <v>0</v>
      </c>
      <c r="D29" s="46">
        <f>D16-D28</f>
        <v>0</v>
      </c>
      <c r="E29" s="46">
        <f>E16-E28</f>
        <v>0</v>
      </c>
    </row>
    <row r="30" spans="2:5" x14ac:dyDescent="0.25">
      <c r="B30" s="48" t="str">
        <f>CONCATENATE("",E1-2,"/",E1-1," Budget Authority Amount:")</f>
        <v>2011/2012 Budget Authority Amount:</v>
      </c>
      <c r="C30" s="132">
        <f>inputOth!B56</f>
        <v>0</v>
      </c>
      <c r="D30" s="132">
        <f>inputPrYr!D29</f>
        <v>0</v>
      </c>
      <c r="E30" s="398" t="str">
        <f>IF(E29&lt;0,"See Tab E","")</f>
        <v/>
      </c>
    </row>
    <row r="31" spans="2:5" x14ac:dyDescent="0.25">
      <c r="B31" s="48"/>
      <c r="C31" s="51" t="str">
        <f>IF(C28&gt;C30,"See Tab A","")</f>
        <v/>
      </c>
      <c r="D31" s="51" t="str">
        <f>IF(D28&gt;D30,"See Tab C","")</f>
        <v/>
      </c>
      <c r="E31" s="55"/>
    </row>
    <row r="32" spans="2:5" x14ac:dyDescent="0.25">
      <c r="B32" s="48"/>
      <c r="C32" s="51" t="str">
        <f>IF(C29&lt;0,"See Tab B","")</f>
        <v/>
      </c>
      <c r="D32" s="87" t="str">
        <f>IF(D29&lt;0,"See Tab D","")</f>
        <v/>
      </c>
      <c r="E32" s="55"/>
    </row>
    <row r="33" spans="2:5" x14ac:dyDescent="0.25">
      <c r="B33" s="14"/>
      <c r="C33" s="55"/>
      <c r="D33" s="55"/>
      <c r="E33" s="55"/>
    </row>
    <row r="34" spans="2:5" x14ac:dyDescent="0.25">
      <c r="B34" s="22" t="s">
        <v>10</v>
      </c>
      <c r="C34" s="66"/>
      <c r="D34" s="66"/>
      <c r="E34" s="66"/>
    </row>
    <row r="35" spans="2:5" x14ac:dyDescent="0.25">
      <c r="B35" s="14"/>
      <c r="C35" s="69" t="s">
        <v>11</v>
      </c>
      <c r="D35" s="23" t="s">
        <v>12</v>
      </c>
      <c r="E35" s="23" t="s">
        <v>13</v>
      </c>
    </row>
    <row r="36" spans="2:5" x14ac:dyDescent="0.25">
      <c r="B36" s="481">
        <f>inputPrYr!B30</f>
        <v>0</v>
      </c>
      <c r="C36" s="26" t="str">
        <f>C5</f>
        <v>Actual for 2011</v>
      </c>
      <c r="D36" s="26" t="str">
        <f>D5</f>
        <v>Estimate for 2012</v>
      </c>
      <c r="E36" s="26" t="str">
        <f>E5</f>
        <v>Year for 2013</v>
      </c>
    </row>
    <row r="37" spans="2:5" x14ac:dyDescent="0.25">
      <c r="B37" s="83" t="s">
        <v>144</v>
      </c>
      <c r="C37" s="34"/>
      <c r="D37" s="32">
        <f>C60</f>
        <v>0</v>
      </c>
      <c r="E37" s="32">
        <f>D60</f>
        <v>0</v>
      </c>
    </row>
    <row r="38" spans="2:5" s="16" customFormat="1" x14ac:dyDescent="0.25">
      <c r="B38" s="83" t="s">
        <v>120</v>
      </c>
      <c r="C38" s="85"/>
      <c r="D38" s="85"/>
      <c r="E38" s="85"/>
    </row>
    <row r="39" spans="2:5" x14ac:dyDescent="0.25">
      <c r="B39" s="37"/>
      <c r="C39" s="34"/>
      <c r="D39" s="34"/>
      <c r="E39" s="34"/>
    </row>
    <row r="40" spans="2:5" x14ac:dyDescent="0.25">
      <c r="B40" s="37"/>
      <c r="C40" s="34"/>
      <c r="D40" s="34"/>
      <c r="E40" s="34"/>
    </row>
    <row r="41" spans="2:5" x14ac:dyDescent="0.25">
      <c r="B41" s="37"/>
      <c r="C41" s="34"/>
      <c r="D41" s="34"/>
      <c r="E41" s="34"/>
    </row>
    <row r="42" spans="2:5" x14ac:dyDescent="0.25">
      <c r="B42" s="37"/>
      <c r="C42" s="34"/>
      <c r="D42" s="34"/>
      <c r="E42" s="34"/>
    </row>
    <row r="43" spans="2:5" x14ac:dyDescent="0.25">
      <c r="B43" s="86" t="s">
        <v>22</v>
      </c>
      <c r="C43" s="34"/>
      <c r="D43" s="34"/>
      <c r="E43" s="34"/>
    </row>
    <row r="44" spans="2:5" x14ac:dyDescent="0.25">
      <c r="B44" s="39" t="s">
        <v>213</v>
      </c>
      <c r="C44" s="34"/>
      <c r="D44" s="30"/>
      <c r="E44" s="30"/>
    </row>
    <row r="45" spans="2:5" x14ac:dyDescent="0.25">
      <c r="B45" s="39" t="s">
        <v>214</v>
      </c>
      <c r="C45" s="45" t="str">
        <f>IF(C46*0.1&lt;C44,"Exceed 10% Rule","")</f>
        <v/>
      </c>
      <c r="D45" s="40" t="str">
        <f>IF(D46*0.1&lt;D44,"Exceed 10% Rule","")</f>
        <v/>
      </c>
      <c r="E45" s="40" t="str">
        <f>IF(E46*0.1&lt;E44,"Exceed 10% Rule","")</f>
        <v/>
      </c>
    </row>
    <row r="46" spans="2:5" x14ac:dyDescent="0.25">
      <c r="B46" s="43" t="s">
        <v>23</v>
      </c>
      <c r="C46" s="42">
        <f>SUM(C39:C44)</f>
        <v>0</v>
      </c>
      <c r="D46" s="42">
        <f>SUM(D39:D44)</f>
        <v>0</v>
      </c>
      <c r="E46" s="42">
        <f>SUM(E39:E44)</f>
        <v>0</v>
      </c>
    </row>
    <row r="47" spans="2:5" x14ac:dyDescent="0.25">
      <c r="B47" s="43" t="s">
        <v>24</v>
      </c>
      <c r="C47" s="42">
        <f>C37+C46</f>
        <v>0</v>
      </c>
      <c r="D47" s="42">
        <f>D37+D46</f>
        <v>0</v>
      </c>
      <c r="E47" s="42">
        <f>E37+E46</f>
        <v>0</v>
      </c>
    </row>
    <row r="48" spans="2:5" x14ac:dyDescent="0.25">
      <c r="B48" s="27" t="s">
        <v>25</v>
      </c>
      <c r="C48" s="32"/>
      <c r="D48" s="32"/>
      <c r="E48" s="32"/>
    </row>
    <row r="49" spans="2:5" x14ac:dyDescent="0.25">
      <c r="B49" s="37"/>
      <c r="C49" s="34"/>
      <c r="D49" s="34"/>
      <c r="E49" s="34"/>
    </row>
    <row r="50" spans="2:5" x14ac:dyDescent="0.25">
      <c r="B50" s="37"/>
      <c r="C50" s="34"/>
      <c r="D50" s="34"/>
      <c r="E50" s="34"/>
    </row>
    <row r="51" spans="2:5" x14ac:dyDescent="0.25">
      <c r="B51" s="37"/>
      <c r="C51" s="34"/>
      <c r="D51" s="34"/>
      <c r="E51" s="34"/>
    </row>
    <row r="52" spans="2:5" x14ac:dyDescent="0.25">
      <c r="B52" s="37"/>
      <c r="C52" s="34"/>
      <c r="D52" s="34"/>
      <c r="E52" s="34"/>
    </row>
    <row r="53" spans="2:5" x14ac:dyDescent="0.25">
      <c r="B53" s="37"/>
      <c r="C53" s="34"/>
      <c r="D53" s="34"/>
      <c r="E53" s="34"/>
    </row>
    <row r="54" spans="2:5" x14ac:dyDescent="0.25">
      <c r="B54" s="37"/>
      <c r="C54" s="34"/>
      <c r="D54" s="34"/>
      <c r="E54" s="34"/>
    </row>
    <row r="55" spans="2:5" x14ac:dyDescent="0.25">
      <c r="B55" s="37"/>
      <c r="C55" s="34"/>
      <c r="D55" s="34"/>
      <c r="E55" s="34"/>
    </row>
    <row r="56" spans="2:5" x14ac:dyDescent="0.25">
      <c r="B56" s="37"/>
      <c r="C56" s="34"/>
      <c r="D56" s="34"/>
      <c r="E56" s="34"/>
    </row>
    <row r="57" spans="2:5" x14ac:dyDescent="0.25">
      <c r="B57" s="35" t="s">
        <v>213</v>
      </c>
      <c r="C57" s="34"/>
      <c r="D57" s="30"/>
      <c r="E57" s="30"/>
    </row>
    <row r="58" spans="2:5" x14ac:dyDescent="0.25">
      <c r="B58" s="35" t="s">
        <v>622</v>
      </c>
      <c r="C58" s="45" t="str">
        <f>IF(C59*0.1&lt;C57,"Exceed 10% Rule","")</f>
        <v/>
      </c>
      <c r="D58" s="40" t="str">
        <f>IF(D59*0.1&lt;D57,"Exceed 10% Rule","")</f>
        <v/>
      </c>
      <c r="E58" s="40" t="str">
        <f>IF(E59*0.1&lt;E57,"Exceed 10% Rule","")</f>
        <v/>
      </c>
    </row>
    <row r="59" spans="2:5" x14ac:dyDescent="0.25">
      <c r="B59" s="43" t="s">
        <v>26</v>
      </c>
      <c r="C59" s="42">
        <f>SUM(C49:C57)</f>
        <v>0</v>
      </c>
      <c r="D59" s="42">
        <f>SUM(D49:D57)</f>
        <v>0</v>
      </c>
      <c r="E59" s="42">
        <f>SUM(E49:E57)</f>
        <v>0</v>
      </c>
    </row>
    <row r="60" spans="2:5" x14ac:dyDescent="0.25">
      <c r="B60" s="27" t="s">
        <v>119</v>
      </c>
      <c r="C60" s="46">
        <f>C47-C59</f>
        <v>0</v>
      </c>
      <c r="D60" s="46">
        <f>D47-D59</f>
        <v>0</v>
      </c>
      <c r="E60" s="46">
        <f>E47-E59</f>
        <v>0</v>
      </c>
    </row>
    <row r="61" spans="2:5" x14ac:dyDescent="0.25">
      <c r="B61" s="48" t="str">
        <f>CONCATENATE("",E1-2,"/",E1-1," Budget Authority Amount:")</f>
        <v>2011/2012 Budget Authority Amount:</v>
      </c>
      <c r="C61" s="132">
        <f>inputOth!B57</f>
        <v>0</v>
      </c>
      <c r="D61" s="132">
        <f>inputPrYr!D30</f>
        <v>0</v>
      </c>
      <c r="E61" s="397" t="str">
        <f>IF(E60&lt;0,"See Tab E","")</f>
        <v/>
      </c>
    </row>
    <row r="62" spans="2:5" x14ac:dyDescent="0.25">
      <c r="B62" s="48"/>
      <c r="C62" s="51" t="str">
        <f>IF(C59&gt;C61,"See Tab A","")</f>
        <v/>
      </c>
      <c r="D62" s="51" t="str">
        <f>IF(D59&gt;D61,"See Tab C","")</f>
        <v/>
      </c>
      <c r="E62" s="14"/>
    </row>
    <row r="63" spans="2:5" x14ac:dyDescent="0.25">
      <c r="B63" s="48"/>
      <c r="C63" s="51" t="str">
        <f>IF(C60&lt;0,"See Tab B","")</f>
        <v/>
      </c>
      <c r="D63" s="87" t="str">
        <f>IF(D60&lt;0,"See Tab D","")</f>
        <v/>
      </c>
      <c r="E63" s="14"/>
    </row>
    <row r="64" spans="2:5" x14ac:dyDescent="0.25">
      <c r="B64" s="14"/>
      <c r="C64" s="14"/>
      <c r="D64" s="14"/>
      <c r="E64" s="14"/>
    </row>
    <row r="65" spans="2:5" x14ac:dyDescent="0.25">
      <c r="B65" s="52" t="s">
        <v>9</v>
      </c>
      <c r="C65" s="65"/>
      <c r="D65" s="14"/>
      <c r="E65" s="14"/>
    </row>
  </sheetData>
  <sheetProtection sheet="1"/>
  <phoneticPr fontId="11" type="noConversion"/>
  <conditionalFormatting sqref="C57">
    <cfRule type="cellIs" dxfId="18" priority="3" stopIfTrue="1" operator="greaterThan">
      <formula>$C$59*0.1</formula>
    </cfRule>
  </conditionalFormatting>
  <conditionalFormatting sqref="D57">
    <cfRule type="cellIs" dxfId="17" priority="4" stopIfTrue="1" operator="greaterThan">
      <formula>$D$59*0.1</formula>
    </cfRule>
  </conditionalFormatting>
  <conditionalFormatting sqref="E57">
    <cfRule type="cellIs" dxfId="16" priority="5" stopIfTrue="1" operator="greaterThan">
      <formula>$E$59*0.1</formula>
    </cfRule>
  </conditionalFormatting>
  <conditionalFormatting sqref="C44">
    <cfRule type="cellIs" dxfId="15" priority="6" stopIfTrue="1" operator="greaterThan">
      <formula>$C$46*0.1</formula>
    </cfRule>
  </conditionalFormatting>
  <conditionalFormatting sqref="D44">
    <cfRule type="cellIs" dxfId="14" priority="7" stopIfTrue="1" operator="greaterThan">
      <formula>$D$46*0.1</formula>
    </cfRule>
  </conditionalFormatting>
  <conditionalFormatting sqref="E44">
    <cfRule type="cellIs" dxfId="13" priority="8" stopIfTrue="1" operator="greaterThan">
      <formula>$E$46*0.1</formula>
    </cfRule>
  </conditionalFormatting>
  <conditionalFormatting sqref="C26">
    <cfRule type="cellIs" dxfId="12" priority="9" stopIfTrue="1" operator="greaterThan">
      <formula>$C$28*0.1</formula>
    </cfRule>
  </conditionalFormatting>
  <conditionalFormatting sqref="D26">
    <cfRule type="cellIs" dxfId="11" priority="10" stopIfTrue="1" operator="greaterThan">
      <formula>$D$28*0.1</formula>
    </cfRule>
  </conditionalFormatting>
  <conditionalFormatting sqref="E26">
    <cfRule type="cellIs" dxfId="10" priority="11" stopIfTrue="1" operator="greaterThan">
      <formula>$E$28*0.1</formula>
    </cfRule>
  </conditionalFormatting>
  <conditionalFormatting sqref="C13">
    <cfRule type="cellIs" dxfId="9" priority="12" stopIfTrue="1" operator="greaterThan">
      <formula>$C$15*0.1</formula>
    </cfRule>
  </conditionalFormatting>
  <conditionalFormatting sqref="D13">
    <cfRule type="cellIs" dxfId="8" priority="13" stopIfTrue="1" operator="greaterThan">
      <formula>$D$15*0.1</formula>
    </cfRule>
  </conditionalFormatting>
  <conditionalFormatting sqref="E13">
    <cfRule type="cellIs" dxfId="7" priority="14" stopIfTrue="1" operator="greaterThan">
      <formula>$E$15*0.1</formula>
    </cfRule>
  </conditionalFormatting>
  <conditionalFormatting sqref="C59">
    <cfRule type="cellIs" dxfId="6" priority="15" stopIfTrue="1" operator="greaterThan">
      <formula>$C$61</formula>
    </cfRule>
  </conditionalFormatting>
  <conditionalFormatting sqref="C60 E60 E29 C29">
    <cfRule type="cellIs" dxfId="5" priority="16" stopIfTrue="1" operator="lessThan">
      <formula>0</formula>
    </cfRule>
  </conditionalFormatting>
  <conditionalFormatting sqref="C28">
    <cfRule type="cellIs" dxfId="4" priority="17" stopIfTrue="1" operator="greaterThan">
      <formula>$C$30</formula>
    </cfRule>
  </conditionalFormatting>
  <conditionalFormatting sqref="D28">
    <cfRule type="cellIs" dxfId="3" priority="18" stopIfTrue="1" operator="greaterThan">
      <formula>$D$30</formula>
    </cfRule>
  </conditionalFormatting>
  <conditionalFormatting sqref="D59">
    <cfRule type="cellIs" dxfId="2" priority="19" stopIfTrue="1" operator="greaterThan">
      <formula>$D$61</formula>
    </cfRule>
  </conditionalFormatting>
  <conditionalFormatting sqref="D29">
    <cfRule type="cellIs" dxfId="1" priority="2" stopIfTrue="1" operator="lessThan">
      <formula>0</formula>
    </cfRule>
  </conditionalFormatting>
  <conditionalFormatting sqref="D60">
    <cfRule type="cellIs" dxfId="0" priority="1" stopIfTrue="1" operator="lessThan">
      <formula>0</formula>
    </cfRule>
  </conditionalFormatting>
  <pageMargins left="0.75" right="0.75" top="1" bottom="1" header="0.5" footer="0.5"/>
  <pageSetup scale="71" orientation="portrait" blackAndWhite="1" r:id="rId1"/>
  <headerFooter alignWithMargins="0">
    <oddHeader>&amp;RState of Kansas
Township</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workbookViewId="0">
      <selection activeCell="F23" sqref="F23:H23"/>
    </sheetView>
  </sheetViews>
  <sheetFormatPr defaultRowHeight="15.75" x14ac:dyDescent="0.25"/>
  <cols>
    <col min="1" max="1" width="10.3984375" style="80" customWidth="1"/>
    <col min="2" max="2" width="6.69921875" style="80" customWidth="1"/>
    <col min="3" max="3" width="10.3984375" style="80" customWidth="1"/>
    <col min="4" max="4" width="6.69921875" style="80" customWidth="1"/>
    <col min="5" max="5" width="10.3984375" style="80" customWidth="1"/>
    <col min="6" max="6" width="6.69921875" style="80" customWidth="1"/>
    <col min="7" max="7" width="10.3984375" style="80" customWidth="1"/>
    <col min="8" max="8" width="6.69921875" style="80" customWidth="1"/>
    <col min="9" max="9" width="10.3984375" style="80" customWidth="1"/>
    <col min="10" max="16384" width="8.796875" style="80"/>
  </cols>
  <sheetData>
    <row r="1" spans="1:11" x14ac:dyDescent="0.25">
      <c r="A1" s="88" t="str">
        <f>inputPrYr!$D$2</f>
        <v>Liberty Township</v>
      </c>
      <c r="B1" s="89"/>
      <c r="C1" s="90"/>
      <c r="D1" s="90"/>
      <c r="E1" s="90"/>
      <c r="F1" s="91" t="s">
        <v>326</v>
      </c>
      <c r="G1" s="90"/>
      <c r="H1" s="90"/>
      <c r="I1" s="90"/>
      <c r="J1" s="90"/>
      <c r="K1" s="90">
        <f>inputPrYr!$D$5</f>
        <v>2013</v>
      </c>
    </row>
    <row r="2" spans="1:11" x14ac:dyDescent="0.25">
      <c r="A2" s="90"/>
      <c r="B2" s="90"/>
      <c r="C2" s="90"/>
      <c r="D2" s="90"/>
      <c r="E2" s="90"/>
      <c r="F2" s="92" t="str">
        <f>CONCATENATE("(Only the actual budget year for ",K1-2," is to be shown)")</f>
        <v>(Only the actual budget year for 2011 is to be shown)</v>
      </c>
      <c r="G2" s="90"/>
      <c r="H2" s="90"/>
      <c r="I2" s="90"/>
      <c r="J2" s="90"/>
      <c r="K2" s="90"/>
    </row>
    <row r="3" spans="1:11" x14ac:dyDescent="0.25">
      <c r="A3" s="90" t="s">
        <v>327</v>
      </c>
      <c r="B3" s="90"/>
      <c r="C3" s="90"/>
      <c r="D3" s="90"/>
      <c r="E3" s="90"/>
      <c r="F3" s="89"/>
      <c r="G3" s="90"/>
      <c r="H3" s="90"/>
      <c r="I3" s="90"/>
      <c r="J3" s="90"/>
      <c r="K3" s="90"/>
    </row>
    <row r="4" spans="1:11" x14ac:dyDescent="0.25">
      <c r="A4" s="90" t="s">
        <v>328</v>
      </c>
      <c r="B4" s="90"/>
      <c r="C4" s="90" t="s">
        <v>329</v>
      </c>
      <c r="D4" s="90"/>
      <c r="E4" s="90" t="s">
        <v>330</v>
      </c>
      <c r="F4" s="89"/>
      <c r="G4" s="90" t="s">
        <v>331</v>
      </c>
      <c r="H4" s="90"/>
      <c r="I4" s="90" t="s">
        <v>332</v>
      </c>
      <c r="J4" s="90"/>
      <c r="K4" s="90"/>
    </row>
    <row r="5" spans="1:11" x14ac:dyDescent="0.25">
      <c r="A5" s="829">
        <f>inputPrYr!B34</f>
        <v>0</v>
      </c>
      <c r="B5" s="830"/>
      <c r="C5" s="829">
        <f>inputPrYr!B35</f>
        <v>0</v>
      </c>
      <c r="D5" s="830"/>
      <c r="E5" s="829">
        <f>inputPrYr!B36</f>
        <v>0</v>
      </c>
      <c r="F5" s="830"/>
      <c r="G5" s="831">
        <f>inputPrYr!B37</f>
        <v>0</v>
      </c>
      <c r="H5" s="830"/>
      <c r="I5" s="831">
        <f>inputPrYr!B38</f>
        <v>0</v>
      </c>
      <c r="J5" s="830"/>
      <c r="K5" s="94"/>
    </row>
    <row r="6" spans="1:11" x14ac:dyDescent="0.25">
      <c r="A6" s="95" t="s">
        <v>333</v>
      </c>
      <c r="B6" s="96"/>
      <c r="C6" s="97" t="s">
        <v>333</v>
      </c>
      <c r="D6" s="98"/>
      <c r="E6" s="97" t="s">
        <v>333</v>
      </c>
      <c r="F6" s="99"/>
      <c r="G6" s="97" t="s">
        <v>333</v>
      </c>
      <c r="H6" s="93"/>
      <c r="I6" s="97" t="s">
        <v>333</v>
      </c>
      <c r="J6" s="90"/>
      <c r="K6" s="100" t="s">
        <v>276</v>
      </c>
    </row>
    <row r="7" spans="1:11" x14ac:dyDescent="0.25">
      <c r="A7" s="101" t="s">
        <v>334</v>
      </c>
      <c r="B7" s="102"/>
      <c r="C7" s="103" t="s">
        <v>334</v>
      </c>
      <c r="D7" s="102"/>
      <c r="E7" s="103" t="s">
        <v>334</v>
      </c>
      <c r="F7" s="102"/>
      <c r="G7" s="103" t="s">
        <v>334</v>
      </c>
      <c r="H7" s="102"/>
      <c r="I7" s="103" t="s">
        <v>334</v>
      </c>
      <c r="J7" s="102"/>
      <c r="K7" s="104">
        <f>SUM(B7+D7+F7+H7+J7)</f>
        <v>0</v>
      </c>
    </row>
    <row r="8" spans="1:11" x14ac:dyDescent="0.25">
      <c r="A8" s="105" t="s">
        <v>120</v>
      </c>
      <c r="B8" s="106"/>
      <c r="C8" s="105" t="s">
        <v>120</v>
      </c>
      <c r="D8" s="107"/>
      <c r="E8" s="105" t="s">
        <v>120</v>
      </c>
      <c r="F8" s="89"/>
      <c r="G8" s="105" t="s">
        <v>120</v>
      </c>
      <c r="H8" s="90"/>
      <c r="I8" s="105" t="s">
        <v>120</v>
      </c>
      <c r="J8" s="90"/>
      <c r="K8" s="89"/>
    </row>
    <row r="9" spans="1:11" x14ac:dyDescent="0.25">
      <c r="A9" s="108"/>
      <c r="B9" s="102"/>
      <c r="C9" s="108"/>
      <c r="D9" s="102"/>
      <c r="E9" s="108"/>
      <c r="F9" s="102"/>
      <c r="G9" s="108"/>
      <c r="H9" s="102"/>
      <c r="I9" s="108"/>
      <c r="J9" s="102"/>
      <c r="K9" s="89"/>
    </row>
    <row r="10" spans="1:11" x14ac:dyDescent="0.25">
      <c r="A10" s="108"/>
      <c r="B10" s="102"/>
      <c r="C10" s="108"/>
      <c r="D10" s="102"/>
      <c r="E10" s="108"/>
      <c r="F10" s="102"/>
      <c r="G10" s="108"/>
      <c r="H10" s="102"/>
      <c r="I10" s="108"/>
      <c r="J10" s="102"/>
      <c r="K10" s="89"/>
    </row>
    <row r="11" spans="1:11" x14ac:dyDescent="0.25">
      <c r="A11" s="108"/>
      <c r="B11" s="102"/>
      <c r="C11" s="109"/>
      <c r="D11" s="110"/>
      <c r="E11" s="109"/>
      <c r="F11" s="102"/>
      <c r="G11" s="109"/>
      <c r="H11" s="102"/>
      <c r="I11" s="111"/>
      <c r="J11" s="102"/>
      <c r="K11" s="89"/>
    </row>
    <row r="12" spans="1:11" x14ac:dyDescent="0.25">
      <c r="A12" s="108"/>
      <c r="B12" s="112"/>
      <c r="C12" s="108"/>
      <c r="D12" s="113"/>
      <c r="E12" s="114"/>
      <c r="F12" s="102"/>
      <c r="G12" s="114"/>
      <c r="H12" s="102"/>
      <c r="I12" s="114"/>
      <c r="J12" s="102"/>
      <c r="K12" s="89"/>
    </row>
    <row r="13" spans="1:11" x14ac:dyDescent="0.25">
      <c r="A13" s="115"/>
      <c r="B13" s="116"/>
      <c r="C13" s="117"/>
      <c r="D13" s="113"/>
      <c r="E13" s="117"/>
      <c r="F13" s="102"/>
      <c r="G13" s="117"/>
      <c r="H13" s="102"/>
      <c r="I13" s="111"/>
      <c r="J13" s="102"/>
      <c r="K13" s="89"/>
    </row>
    <row r="14" spans="1:11" x14ac:dyDescent="0.25">
      <c r="A14" s="108"/>
      <c r="B14" s="102"/>
      <c r="C14" s="114"/>
      <c r="D14" s="113"/>
      <c r="E14" s="114"/>
      <c r="F14" s="102"/>
      <c r="G14" s="114"/>
      <c r="H14" s="102"/>
      <c r="I14" s="114"/>
      <c r="J14" s="102"/>
      <c r="K14" s="89"/>
    </row>
    <row r="15" spans="1:11" x14ac:dyDescent="0.25">
      <c r="A15" s="108"/>
      <c r="B15" s="102"/>
      <c r="C15" s="114"/>
      <c r="D15" s="113"/>
      <c r="E15" s="114"/>
      <c r="F15" s="102"/>
      <c r="G15" s="114"/>
      <c r="H15" s="102"/>
      <c r="I15" s="114"/>
      <c r="J15" s="102"/>
      <c r="K15" s="89"/>
    </row>
    <row r="16" spans="1:11" x14ac:dyDescent="0.25">
      <c r="A16" s="108"/>
      <c r="B16" s="116"/>
      <c r="C16" s="108"/>
      <c r="D16" s="113"/>
      <c r="E16" s="108"/>
      <c r="F16" s="102"/>
      <c r="G16" s="114"/>
      <c r="H16" s="102"/>
      <c r="I16" s="108"/>
      <c r="J16" s="102"/>
      <c r="K16" s="89"/>
    </row>
    <row r="17" spans="1:12" x14ac:dyDescent="0.25">
      <c r="A17" s="105" t="s">
        <v>23</v>
      </c>
      <c r="B17" s="104">
        <f>SUM(B9:B16)</f>
        <v>0</v>
      </c>
      <c r="C17" s="105" t="s">
        <v>23</v>
      </c>
      <c r="D17" s="104">
        <f>SUM(D9:D16)</f>
        <v>0</v>
      </c>
      <c r="E17" s="105" t="s">
        <v>23</v>
      </c>
      <c r="F17" s="118">
        <f>SUM(F9:F16)</f>
        <v>0</v>
      </c>
      <c r="G17" s="105" t="s">
        <v>23</v>
      </c>
      <c r="H17" s="104">
        <f>SUM(H9:H16)</f>
        <v>0</v>
      </c>
      <c r="I17" s="105" t="s">
        <v>23</v>
      </c>
      <c r="J17" s="104">
        <f>SUM(J9:J16)</f>
        <v>0</v>
      </c>
      <c r="K17" s="104">
        <f>SUM(B17+D17+F17+H17+J17)</f>
        <v>0</v>
      </c>
    </row>
    <row r="18" spans="1:12" x14ac:dyDescent="0.25">
      <c r="A18" s="105" t="s">
        <v>24</v>
      </c>
      <c r="B18" s="104">
        <f>SUM(B7+B17)</f>
        <v>0</v>
      </c>
      <c r="C18" s="105" t="s">
        <v>24</v>
      </c>
      <c r="D18" s="104">
        <f>SUM(D7+D17)</f>
        <v>0</v>
      </c>
      <c r="E18" s="105" t="s">
        <v>24</v>
      </c>
      <c r="F18" s="104">
        <f>SUM(F7+F17)</f>
        <v>0</v>
      </c>
      <c r="G18" s="105" t="s">
        <v>24</v>
      </c>
      <c r="H18" s="104">
        <f>SUM(H7+H17)</f>
        <v>0</v>
      </c>
      <c r="I18" s="105" t="s">
        <v>24</v>
      </c>
      <c r="J18" s="104">
        <f>SUM(J7+J17)</f>
        <v>0</v>
      </c>
      <c r="K18" s="104">
        <f>SUM(B18+D18+F18+H18+J18)</f>
        <v>0</v>
      </c>
    </row>
    <row r="19" spans="1:12" x14ac:dyDescent="0.25">
      <c r="A19" s="105" t="s">
        <v>25</v>
      </c>
      <c r="B19" s="106"/>
      <c r="C19" s="105" t="s">
        <v>25</v>
      </c>
      <c r="D19" s="107"/>
      <c r="E19" s="105" t="s">
        <v>25</v>
      </c>
      <c r="F19" s="89"/>
      <c r="G19" s="105" t="s">
        <v>25</v>
      </c>
      <c r="H19" s="90"/>
      <c r="I19" s="105" t="s">
        <v>25</v>
      </c>
      <c r="J19" s="90"/>
      <c r="K19" s="89"/>
    </row>
    <row r="20" spans="1:12" x14ac:dyDescent="0.25">
      <c r="A20" s="108"/>
      <c r="B20" s="102"/>
      <c r="C20" s="114"/>
      <c r="D20" s="102"/>
      <c r="E20" s="114"/>
      <c r="F20" s="102"/>
      <c r="G20" s="114"/>
      <c r="H20" s="102"/>
      <c r="I20" s="114"/>
      <c r="J20" s="102"/>
      <c r="K20" s="89"/>
    </row>
    <row r="21" spans="1:12" x14ac:dyDescent="0.25">
      <c r="A21" s="108"/>
      <c r="B21" s="102"/>
      <c r="C21" s="114"/>
      <c r="D21" s="102"/>
      <c r="E21" s="114"/>
      <c r="F21" s="102"/>
      <c r="G21" s="114"/>
      <c r="H21" s="102"/>
      <c r="I21" s="114"/>
      <c r="J21" s="102"/>
      <c r="K21" s="89"/>
    </row>
    <row r="22" spans="1:12" x14ac:dyDescent="0.25">
      <c r="A22" s="108"/>
      <c r="B22" s="102"/>
      <c r="C22" s="117"/>
      <c r="D22" s="102"/>
      <c r="E22" s="117"/>
      <c r="F22" s="102"/>
      <c r="G22" s="117"/>
      <c r="H22" s="102"/>
      <c r="I22" s="111"/>
      <c r="J22" s="102"/>
      <c r="K22" s="89"/>
    </row>
    <row r="23" spans="1:12" x14ac:dyDescent="0.25">
      <c r="A23" s="108"/>
      <c r="B23" s="102"/>
      <c r="C23" s="114"/>
      <c r="D23" s="102"/>
      <c r="E23" s="114"/>
      <c r="F23" s="102"/>
      <c r="G23" s="114"/>
      <c r="H23" s="102"/>
      <c r="I23" s="114"/>
      <c r="J23" s="102"/>
      <c r="K23" s="89"/>
    </row>
    <row r="24" spans="1:12" x14ac:dyDescent="0.25">
      <c r="A24" s="108"/>
      <c r="B24" s="102"/>
      <c r="C24" s="117"/>
      <c r="D24" s="102"/>
      <c r="E24" s="117"/>
      <c r="F24" s="102"/>
      <c r="G24" s="117"/>
      <c r="H24" s="102"/>
      <c r="I24" s="111"/>
      <c r="J24" s="102"/>
      <c r="K24" s="89"/>
    </row>
    <row r="25" spans="1:12" x14ac:dyDescent="0.25">
      <c r="A25" s="108"/>
      <c r="B25" s="102"/>
      <c r="C25" s="114"/>
      <c r="D25" s="102"/>
      <c r="E25" s="114"/>
      <c r="F25" s="102"/>
      <c r="G25" s="114"/>
      <c r="H25" s="102"/>
      <c r="I25" s="114"/>
      <c r="J25" s="102"/>
      <c r="K25" s="89"/>
    </row>
    <row r="26" spans="1:12" x14ac:dyDescent="0.25">
      <c r="A26" s="108"/>
      <c r="B26" s="102"/>
      <c r="C26" s="114"/>
      <c r="D26" s="102"/>
      <c r="E26" s="114"/>
      <c r="F26" s="102"/>
      <c r="G26" s="114"/>
      <c r="H26" s="102"/>
      <c r="I26" s="114"/>
      <c r="J26" s="102"/>
      <c r="K26" s="89"/>
    </row>
    <row r="27" spans="1:12" x14ac:dyDescent="0.25">
      <c r="A27" s="108"/>
      <c r="B27" s="102"/>
      <c r="C27" s="108"/>
      <c r="D27" s="102"/>
      <c r="E27" s="108"/>
      <c r="F27" s="102"/>
      <c r="G27" s="114"/>
      <c r="H27" s="102"/>
      <c r="I27" s="114"/>
      <c r="J27" s="102"/>
      <c r="K27" s="89"/>
    </row>
    <row r="28" spans="1:12" x14ac:dyDescent="0.25">
      <c r="A28" s="105" t="s">
        <v>26</v>
      </c>
      <c r="B28" s="104">
        <f>SUM(B20:B27)</f>
        <v>0</v>
      </c>
      <c r="C28" s="105" t="s">
        <v>26</v>
      </c>
      <c r="D28" s="104">
        <f>SUM(D20:D27)</f>
        <v>0</v>
      </c>
      <c r="E28" s="105" t="s">
        <v>26</v>
      </c>
      <c r="F28" s="118">
        <f>SUM(F20:F27)</f>
        <v>0</v>
      </c>
      <c r="G28" s="105" t="s">
        <v>26</v>
      </c>
      <c r="H28" s="118">
        <f>SUM(H20:H27)</f>
        <v>0</v>
      </c>
      <c r="I28" s="105" t="s">
        <v>26</v>
      </c>
      <c r="J28" s="104">
        <f>SUM(J20:J27)</f>
        <v>0</v>
      </c>
      <c r="K28" s="104">
        <f>SUM(B28+D28+F28+H28+J28)</f>
        <v>0</v>
      </c>
    </row>
    <row r="29" spans="1:12" x14ac:dyDescent="0.25">
      <c r="A29" s="105" t="s">
        <v>335</v>
      </c>
      <c r="B29" s="104">
        <f>SUM(B18-B28)</f>
        <v>0</v>
      </c>
      <c r="C29" s="105" t="s">
        <v>335</v>
      </c>
      <c r="D29" s="104">
        <f>SUM(D18-D28)</f>
        <v>0</v>
      </c>
      <c r="E29" s="105" t="s">
        <v>335</v>
      </c>
      <c r="F29" s="104">
        <f>SUM(F18-F28)</f>
        <v>0</v>
      </c>
      <c r="G29" s="105" t="s">
        <v>335</v>
      </c>
      <c r="H29" s="104">
        <f>SUM(H18-H28)</f>
        <v>0</v>
      </c>
      <c r="I29" s="105" t="s">
        <v>335</v>
      </c>
      <c r="J29" s="104">
        <f>SUM(J18-J28)</f>
        <v>0</v>
      </c>
      <c r="K29" s="119">
        <f>SUM(B29+D29+F29+H29+J29)</f>
        <v>0</v>
      </c>
      <c r="L29" s="80" t="s">
        <v>336</v>
      </c>
    </row>
    <row r="30" spans="1:12" x14ac:dyDescent="0.25">
      <c r="A30" s="105"/>
      <c r="B30" s="124" t="str">
        <f>IF(B29&lt;0,"See Tab B","")</f>
        <v/>
      </c>
      <c r="C30" s="105"/>
      <c r="D30" s="124" t="str">
        <f>IF(D29&lt;0,"See Tab B","")</f>
        <v/>
      </c>
      <c r="E30" s="105"/>
      <c r="F30" s="124" t="str">
        <f>IF(F29&lt;0,"See Tab B","")</f>
        <v/>
      </c>
      <c r="G30" s="90"/>
      <c r="H30" s="124" t="str">
        <f>IF(H29&lt;0,"See Tab B","")</f>
        <v/>
      </c>
      <c r="I30" s="90"/>
      <c r="J30" s="124" t="str">
        <f>IF(J29&lt;0,"See Tab B","")</f>
        <v/>
      </c>
      <c r="K30" s="119">
        <f>SUM(K7+K17-K28)</f>
        <v>0</v>
      </c>
      <c r="L30" s="80" t="s">
        <v>336</v>
      </c>
    </row>
    <row r="31" spans="1:12" x14ac:dyDescent="0.25">
      <c r="A31" s="90"/>
      <c r="B31" s="120"/>
      <c r="C31" s="90"/>
      <c r="D31" s="89"/>
      <c r="E31" s="90"/>
      <c r="F31" s="90"/>
      <c r="G31" s="121" t="s">
        <v>337</v>
      </c>
      <c r="H31" s="121"/>
      <c r="I31" s="121"/>
      <c r="J31" s="121"/>
      <c r="K31" s="90"/>
    </row>
    <row r="32" spans="1:12" x14ac:dyDescent="0.25">
      <c r="A32" s="90"/>
      <c r="B32" s="120"/>
      <c r="C32" s="90"/>
      <c r="D32" s="90"/>
      <c r="E32" s="90"/>
      <c r="F32" s="90"/>
      <c r="G32" s="90"/>
      <c r="H32" s="90"/>
      <c r="I32" s="90"/>
      <c r="J32" s="90"/>
      <c r="K32" s="90"/>
    </row>
    <row r="33" spans="1:11" x14ac:dyDescent="0.25">
      <c r="A33" s="90"/>
      <c r="B33" s="120"/>
      <c r="C33" s="90"/>
      <c r="D33" s="90"/>
      <c r="E33" s="122" t="s">
        <v>9</v>
      </c>
      <c r="F33" s="65"/>
      <c r="G33" s="90"/>
      <c r="H33" s="90"/>
      <c r="I33" s="90"/>
      <c r="J33" s="90"/>
      <c r="K33" s="90"/>
    </row>
    <row r="34" spans="1:11" x14ac:dyDescent="0.25">
      <c r="B34" s="123"/>
    </row>
    <row r="35" spans="1:11" x14ac:dyDescent="0.25">
      <c r="B35" s="123"/>
    </row>
    <row r="36" spans="1:11" x14ac:dyDescent="0.25">
      <c r="B36" s="123"/>
    </row>
    <row r="37" spans="1:11" x14ac:dyDescent="0.25">
      <c r="B37" s="123"/>
    </row>
    <row r="38" spans="1:11" x14ac:dyDescent="0.25">
      <c r="B38" s="123"/>
    </row>
    <row r="39" spans="1:11" x14ac:dyDescent="0.25">
      <c r="B39" s="123"/>
    </row>
    <row r="40" spans="1:11" x14ac:dyDescent="0.25">
      <c r="B40" s="123"/>
    </row>
    <row r="41" spans="1:11" x14ac:dyDescent="0.25">
      <c r="B41" s="123"/>
    </row>
  </sheetData>
  <sheetProtection sheet="1"/>
  <mergeCells count="5">
    <mergeCell ref="A5:B5"/>
    <mergeCell ref="C5:D5"/>
    <mergeCell ref="E5:F5"/>
    <mergeCell ref="G5:H5"/>
    <mergeCell ref="I5:J5"/>
  </mergeCells>
  <pageMargins left="0.7" right="0.7" top="0.75" bottom="0.75" header="0.3" footer="0.3"/>
  <pageSetup scale="67"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5"/>
  <sheetViews>
    <sheetView topLeftCell="A40" workbookViewId="0">
      <selection activeCell="E56" sqref="E56"/>
    </sheetView>
  </sheetViews>
  <sheetFormatPr defaultRowHeight="15.75" x14ac:dyDescent="0.25"/>
  <cols>
    <col min="1" max="1" width="10.69921875" style="16" customWidth="1"/>
    <col min="2" max="2" width="20.69921875" style="16" customWidth="1"/>
    <col min="3" max="3" width="11.69921875" style="16" customWidth="1"/>
    <col min="4" max="4" width="15" style="16" customWidth="1"/>
    <col min="5" max="5" width="14.09765625" style="16" customWidth="1"/>
    <col min="6" max="6" width="1.69921875" style="16" customWidth="1"/>
    <col min="7" max="7" width="18.59765625" style="16" customWidth="1"/>
    <col min="8" max="16384" width="8.796875" style="16"/>
  </cols>
  <sheetData>
    <row r="1" spans="1:8" x14ac:dyDescent="0.25">
      <c r="A1" s="305" t="s">
        <v>270</v>
      </c>
      <c r="B1" s="14"/>
      <c r="C1" s="14"/>
      <c r="D1" s="14"/>
      <c r="E1" s="14"/>
    </row>
    <row r="2" spans="1:8" x14ac:dyDescent="0.25">
      <c r="A2" s="68" t="s">
        <v>227</v>
      </c>
      <c r="B2" s="14"/>
      <c r="C2" s="14"/>
      <c r="D2" s="380" t="s">
        <v>934</v>
      </c>
      <c r="E2" s="19"/>
    </row>
    <row r="3" spans="1:8" x14ac:dyDescent="0.25">
      <c r="A3" s="68" t="s">
        <v>226</v>
      </c>
      <c r="B3" s="14"/>
      <c r="C3" s="14"/>
      <c r="D3" s="381" t="s">
        <v>935</v>
      </c>
      <c r="E3" s="19"/>
    </row>
    <row r="4" spans="1:8" x14ac:dyDescent="0.25">
      <c r="A4" s="14"/>
      <c r="B4" s="14"/>
      <c r="C4" s="14"/>
      <c r="D4" s="14"/>
      <c r="E4" s="14"/>
    </row>
    <row r="5" spans="1:8" x14ac:dyDescent="0.25">
      <c r="A5" s="17" t="s">
        <v>146</v>
      </c>
      <c r="B5" s="14"/>
      <c r="C5" s="14"/>
      <c r="D5" s="306">
        <v>2013</v>
      </c>
      <c r="E5" s="14"/>
    </row>
    <row r="6" spans="1:8" x14ac:dyDescent="0.25">
      <c r="A6" s="14"/>
      <c r="B6" s="14"/>
      <c r="C6" s="14"/>
      <c r="D6" s="14"/>
      <c r="E6" s="14"/>
    </row>
    <row r="7" spans="1:8" x14ac:dyDescent="0.25">
      <c r="A7" s="144" t="s">
        <v>148</v>
      </c>
      <c r="B7" s="148"/>
      <c r="C7" s="148"/>
      <c r="D7" s="148"/>
      <c r="E7" s="148"/>
      <c r="F7" s="14"/>
      <c r="G7" s="756" t="s">
        <v>758</v>
      </c>
      <c r="H7" s="757"/>
    </row>
    <row r="8" spans="1:8" x14ac:dyDescent="0.25">
      <c r="A8" s="144" t="s">
        <v>201</v>
      </c>
      <c r="B8" s="148"/>
      <c r="C8" s="148"/>
      <c r="D8" s="148"/>
      <c r="E8" s="148"/>
      <c r="F8" s="14"/>
      <c r="G8" s="758"/>
      <c r="H8" s="757"/>
    </row>
    <row r="9" spans="1:8" x14ac:dyDescent="0.25">
      <c r="A9" s="14"/>
      <c r="B9" s="14"/>
      <c r="C9" s="14"/>
      <c r="D9" s="14"/>
      <c r="E9" s="14"/>
      <c r="F9" s="14"/>
      <c r="G9" s="758"/>
      <c r="H9" s="757"/>
    </row>
    <row r="10" spans="1:8" x14ac:dyDescent="0.25">
      <c r="A10" s="754" t="s">
        <v>158</v>
      </c>
      <c r="B10" s="755"/>
      <c r="C10" s="755"/>
      <c r="D10" s="755"/>
      <c r="E10" s="755"/>
      <c r="F10" s="14"/>
      <c r="G10" s="758"/>
      <c r="H10" s="757"/>
    </row>
    <row r="11" spans="1:8" x14ac:dyDescent="0.25">
      <c r="A11" s="68"/>
      <c r="B11" s="14"/>
      <c r="C11" s="14"/>
      <c r="D11" s="14"/>
      <c r="E11" s="14"/>
      <c r="F11" s="14"/>
      <c r="G11" s="758"/>
      <c r="H11" s="757"/>
    </row>
    <row r="12" spans="1:8" x14ac:dyDescent="0.25">
      <c r="A12" s="307" t="s">
        <v>147</v>
      </c>
      <c r="B12" s="293"/>
      <c r="C12" s="14"/>
      <c r="D12" s="49"/>
      <c r="E12" s="308"/>
      <c r="F12" s="14"/>
      <c r="G12" s="758"/>
      <c r="H12" s="757"/>
    </row>
    <row r="13" spans="1:8" x14ac:dyDescent="0.25">
      <c r="A13" s="309" t="str">
        <f>CONCATENATE("the ",D5-1," Budget, Certificate Page:")</f>
        <v>the 2012 Budget, Certificate Page:</v>
      </c>
      <c r="B13" s="310"/>
      <c r="C13" s="49"/>
      <c r="D13" s="14"/>
      <c r="E13" s="14"/>
      <c r="F13" s="14"/>
      <c r="G13" s="19"/>
      <c r="H13" s="394"/>
    </row>
    <row r="14" spans="1:8" x14ac:dyDescent="0.25">
      <c r="A14" s="309" t="s">
        <v>316</v>
      </c>
      <c r="B14" s="310"/>
      <c r="C14" s="49"/>
      <c r="D14" s="311">
        <f>$D$5-1</f>
        <v>2012</v>
      </c>
      <c r="E14" s="312">
        <f>$D$5-2</f>
        <v>2011</v>
      </c>
      <c r="G14" s="171" t="s">
        <v>759</v>
      </c>
      <c r="H14" s="179" t="s">
        <v>29</v>
      </c>
    </row>
    <row r="15" spans="1:8" x14ac:dyDescent="0.25">
      <c r="A15" s="22" t="s">
        <v>272</v>
      </c>
      <c r="B15" s="14"/>
      <c r="C15" s="313" t="s">
        <v>271</v>
      </c>
      <c r="D15" s="314" t="s">
        <v>343</v>
      </c>
      <c r="E15" s="315" t="s">
        <v>16</v>
      </c>
      <c r="G15" s="177" t="str">
        <f>CONCATENATE("",E14," Ad Valorem Tax")</f>
        <v>2011 Ad Valorem Tax</v>
      </c>
      <c r="H15" s="741">
        <v>0</v>
      </c>
    </row>
    <row r="16" spans="1:8" x14ac:dyDescent="0.25">
      <c r="A16" s="14"/>
      <c r="B16" s="72" t="s">
        <v>273</v>
      </c>
      <c r="C16" s="161" t="s">
        <v>274</v>
      </c>
      <c r="D16" s="187">
        <v>1100</v>
      </c>
      <c r="E16" s="187">
        <v>988</v>
      </c>
      <c r="G16" s="32">
        <f>IF(H15&gt;0,ROUND(E16-(E16*H15),0),0)</f>
        <v>0</v>
      </c>
    </row>
    <row r="17" spans="1:7" x14ac:dyDescent="0.25">
      <c r="A17" s="14"/>
      <c r="B17" s="72" t="s">
        <v>300</v>
      </c>
      <c r="C17" s="161" t="s">
        <v>153</v>
      </c>
      <c r="D17" s="187"/>
      <c r="E17" s="187"/>
      <c r="G17" s="32">
        <f>IF(H15&gt;0,ROUND(E17-(E17*H15),0),0)</f>
        <v>0</v>
      </c>
    </row>
    <row r="18" spans="1:7" x14ac:dyDescent="0.25">
      <c r="A18" s="14"/>
      <c r="B18" s="72" t="s">
        <v>829</v>
      </c>
      <c r="C18" s="691" t="s">
        <v>830</v>
      </c>
      <c r="D18" s="187"/>
      <c r="E18" s="187"/>
      <c r="G18" s="32">
        <f>IF(H15&gt;0,ROUND(E18-(E18*H15),0),0)</f>
        <v>0</v>
      </c>
    </row>
    <row r="19" spans="1:7" x14ac:dyDescent="0.25">
      <c r="A19" s="14"/>
      <c r="B19" s="72" t="s">
        <v>275</v>
      </c>
      <c r="C19" s="179" t="s">
        <v>315</v>
      </c>
      <c r="D19" s="187">
        <v>18746</v>
      </c>
      <c r="E19" s="187">
        <v>11271</v>
      </c>
      <c r="G19" s="32">
        <f>IF(H15&gt;0,ROUND(E19-(E19*H15),0),0)</f>
        <v>0</v>
      </c>
    </row>
    <row r="20" spans="1:7" x14ac:dyDescent="0.25">
      <c r="A20" s="14"/>
      <c r="B20" s="382" t="s">
        <v>936</v>
      </c>
      <c r="C20" s="383"/>
      <c r="D20" s="187">
        <v>450</v>
      </c>
      <c r="E20" s="187">
        <v>426</v>
      </c>
      <c r="G20" s="32">
        <f>IF(H15&gt;0,ROUND(E20-(E20*H15),0),0)</f>
        <v>0</v>
      </c>
    </row>
    <row r="21" spans="1:7" x14ac:dyDescent="0.25">
      <c r="A21" s="14"/>
      <c r="B21" s="187"/>
      <c r="C21" s="395"/>
      <c r="D21" s="187"/>
      <c r="E21" s="187"/>
      <c r="G21" s="32">
        <f>IF(H15&gt;0,ROUND(E21-(E21*H15),0),0)</f>
        <v>0</v>
      </c>
    </row>
    <row r="22" spans="1:7" x14ac:dyDescent="0.25">
      <c r="A22" s="14"/>
      <c r="B22" s="76"/>
      <c r="C22" s="395"/>
      <c r="D22" s="187"/>
      <c r="E22" s="187"/>
      <c r="G22" s="32">
        <f>IF(H15&gt;0,ROUND(E22-(E22*H15),0),0)</f>
        <v>0</v>
      </c>
    </row>
    <row r="23" spans="1:7" x14ac:dyDescent="0.25">
      <c r="A23" s="14"/>
      <c r="B23" s="76"/>
      <c r="C23" s="395"/>
      <c r="D23" s="187"/>
      <c r="E23" s="187"/>
      <c r="G23" s="32">
        <f>IF(H15&gt;0,ROUND(E23-(E23*H15),0),0)</f>
        <v>0</v>
      </c>
    </row>
    <row r="24" spans="1:7" x14ac:dyDescent="0.25">
      <c r="A24" s="14"/>
      <c r="B24" s="76"/>
      <c r="C24" s="395"/>
      <c r="D24" s="187"/>
      <c r="E24" s="187"/>
      <c r="G24" s="32">
        <f>IF(H15&gt;0,ROUND(E24-(E24*H15),0),0)</f>
        <v>0</v>
      </c>
    </row>
    <row r="25" spans="1:7" x14ac:dyDescent="0.25">
      <c r="A25" s="14"/>
      <c r="B25" s="76"/>
      <c r="C25" s="395"/>
      <c r="D25" s="187"/>
      <c r="E25" s="187"/>
      <c r="G25" s="32">
        <f>IF(H15&gt;0,ROUND(E25-(E25*H15),0),0)</f>
        <v>0</v>
      </c>
    </row>
    <row r="26" spans="1:7" x14ac:dyDescent="0.25">
      <c r="A26" s="316" t="str">
        <f>CONCATENATE("Total Ad Valorem Tax for ",D5-1," Budgeted Year")</f>
        <v>Total Ad Valorem Tax for 2012 Budgeted Year</v>
      </c>
      <c r="B26" s="20"/>
      <c r="C26" s="267"/>
      <c r="D26" s="317"/>
      <c r="E26" s="318">
        <f>SUM(E16:E25)</f>
        <v>12685</v>
      </c>
    </row>
    <row r="27" spans="1:7" x14ac:dyDescent="0.25">
      <c r="A27" s="19"/>
      <c r="B27" s="19"/>
      <c r="C27" s="19"/>
      <c r="D27" s="24"/>
      <c r="E27" s="140"/>
    </row>
    <row r="28" spans="1:7" x14ac:dyDescent="0.25">
      <c r="A28" s="14" t="s">
        <v>142</v>
      </c>
      <c r="B28" s="14"/>
      <c r="C28" s="14"/>
      <c r="D28" s="14"/>
      <c r="E28" s="14"/>
    </row>
    <row r="29" spans="1:7" x14ac:dyDescent="0.25">
      <c r="A29" s="14"/>
      <c r="B29" s="224"/>
      <c r="C29" s="14"/>
      <c r="D29" s="36"/>
      <c r="E29" s="19"/>
    </row>
    <row r="30" spans="1:7" x14ac:dyDescent="0.25">
      <c r="A30" s="14"/>
      <c r="B30" s="224"/>
      <c r="C30" s="14"/>
      <c r="D30" s="36"/>
      <c r="E30" s="19"/>
    </row>
    <row r="31" spans="1:7" x14ac:dyDescent="0.25">
      <c r="A31" s="316" t="str">
        <f>CONCATENATE("Total Expenditures for ",D5-1,"")</f>
        <v>Total Expenditures for 2012</v>
      </c>
      <c r="B31" s="319"/>
      <c r="C31" s="259"/>
      <c r="D31" s="158">
        <f>SUM(D16:D25,D29:D30)</f>
        <v>20296</v>
      </c>
      <c r="E31" s="14"/>
    </row>
    <row r="32" spans="1:7" x14ac:dyDescent="0.25">
      <c r="A32" s="14"/>
      <c r="B32" s="14"/>
      <c r="C32" s="14"/>
      <c r="D32" s="14"/>
      <c r="E32" s="14"/>
    </row>
    <row r="33" spans="1:5" x14ac:dyDescent="0.25">
      <c r="A33" s="274" t="s">
        <v>338</v>
      </c>
      <c r="B33" s="19"/>
      <c r="C33" s="14"/>
      <c r="D33" s="14"/>
      <c r="E33" s="14"/>
    </row>
    <row r="34" spans="1:5" x14ac:dyDescent="0.25">
      <c r="A34" s="320">
        <v>1</v>
      </c>
      <c r="B34" s="224"/>
      <c r="C34" s="14"/>
      <c r="D34" s="14"/>
      <c r="E34" s="14"/>
    </row>
    <row r="35" spans="1:5" x14ac:dyDescent="0.25">
      <c r="A35" s="320">
        <v>2</v>
      </c>
      <c r="B35" s="224"/>
      <c r="C35" s="14"/>
      <c r="D35" s="14"/>
      <c r="E35" s="14"/>
    </row>
    <row r="36" spans="1:5" x14ac:dyDescent="0.25">
      <c r="A36" s="320">
        <v>3</v>
      </c>
      <c r="B36" s="224"/>
      <c r="C36" s="14"/>
      <c r="D36" s="14"/>
      <c r="E36" s="14"/>
    </row>
    <row r="37" spans="1:5" x14ac:dyDescent="0.25">
      <c r="A37" s="320">
        <v>4</v>
      </c>
      <c r="B37" s="224"/>
      <c r="C37" s="14"/>
      <c r="D37" s="14"/>
      <c r="E37" s="14"/>
    </row>
    <row r="38" spans="1:5" x14ac:dyDescent="0.25">
      <c r="A38" s="320">
        <v>5</v>
      </c>
      <c r="B38" s="224"/>
      <c r="C38" s="14"/>
      <c r="D38" s="14"/>
      <c r="E38" s="14"/>
    </row>
    <row r="39" spans="1:5" x14ac:dyDescent="0.25">
      <c r="A39" s="14"/>
      <c r="B39" s="14"/>
      <c r="C39" s="14"/>
      <c r="D39" s="14"/>
      <c r="E39" s="14"/>
    </row>
    <row r="40" spans="1:5" ht="15.75" customHeight="1" x14ac:dyDescent="0.25">
      <c r="A40" s="307" t="s">
        <v>147</v>
      </c>
      <c r="B40" s="293"/>
      <c r="C40" s="14"/>
      <c r="D40" s="752" t="str">
        <f>CONCATENATE("",D5-3," Tax Rate                    (",D5-2," Column)")</f>
        <v>2010 Tax Rate                    (2011 Column)</v>
      </c>
      <c r="E40" s="14"/>
    </row>
    <row r="41" spans="1:5" x14ac:dyDescent="0.25">
      <c r="A41" s="309" t="str">
        <f>CONCATENATE("the ",D5-1," Budget, Budget Summary Page:")</f>
        <v>the 2012 Budget, Budget Summary Page:</v>
      </c>
      <c r="B41" s="281"/>
      <c r="C41" s="14"/>
      <c r="D41" s="753"/>
      <c r="E41" s="14"/>
    </row>
    <row r="42" spans="1:5" x14ac:dyDescent="0.25">
      <c r="A42" s="14"/>
      <c r="B42" s="85" t="str">
        <f>B16</f>
        <v>General</v>
      </c>
      <c r="C42" s="14"/>
      <c r="D42" s="321">
        <v>2.56</v>
      </c>
      <c r="E42" s="14"/>
    </row>
    <row r="43" spans="1:5" x14ac:dyDescent="0.25">
      <c r="A43" s="14"/>
      <c r="B43" s="85" t="str">
        <f>B17</f>
        <v>Debt Service</v>
      </c>
      <c r="C43" s="14"/>
      <c r="D43" s="322"/>
      <c r="E43" s="14"/>
    </row>
    <row r="44" spans="1:5" x14ac:dyDescent="0.25">
      <c r="A44" s="14"/>
      <c r="B44" s="85" t="str">
        <f>B18</f>
        <v>Library</v>
      </c>
      <c r="C44" s="14"/>
      <c r="D44" s="322"/>
      <c r="E44" s="14"/>
    </row>
    <row r="45" spans="1:5" x14ac:dyDescent="0.25">
      <c r="A45" s="14"/>
      <c r="B45" s="85" t="str">
        <f t="shared" ref="B45:B51" si="0">B19</f>
        <v>Road</v>
      </c>
      <c r="C45" s="14"/>
      <c r="D45" s="322">
        <v>16.015999999999998</v>
      </c>
      <c r="E45" s="14"/>
    </row>
    <row r="46" spans="1:5" x14ac:dyDescent="0.25">
      <c r="A46" s="14"/>
      <c r="B46" s="72" t="str">
        <f t="shared" si="0"/>
        <v>Weed</v>
      </c>
      <c r="C46" s="14"/>
      <c r="D46" s="322">
        <v>0.89700000000000002</v>
      </c>
      <c r="E46" s="14"/>
    </row>
    <row r="47" spans="1:5" x14ac:dyDescent="0.25">
      <c r="A47" s="14"/>
      <c r="B47" s="72">
        <f t="shared" si="0"/>
        <v>0</v>
      </c>
      <c r="C47" s="14"/>
      <c r="D47" s="322"/>
      <c r="E47" s="14"/>
    </row>
    <row r="48" spans="1:5" x14ac:dyDescent="0.25">
      <c r="A48" s="14"/>
      <c r="B48" s="72">
        <f t="shared" si="0"/>
        <v>0</v>
      </c>
      <c r="C48" s="14"/>
      <c r="D48" s="322"/>
      <c r="E48" s="14"/>
    </row>
    <row r="49" spans="1:5" x14ac:dyDescent="0.25">
      <c r="A49" s="14"/>
      <c r="B49" s="72">
        <f t="shared" si="0"/>
        <v>0</v>
      </c>
      <c r="C49" s="14"/>
      <c r="D49" s="322"/>
      <c r="E49" s="14"/>
    </row>
    <row r="50" spans="1:5" x14ac:dyDescent="0.25">
      <c r="A50" s="14"/>
      <c r="B50" s="72">
        <f t="shared" si="0"/>
        <v>0</v>
      </c>
      <c r="C50" s="14"/>
      <c r="D50" s="322"/>
      <c r="E50" s="14"/>
    </row>
    <row r="51" spans="1:5" x14ac:dyDescent="0.25">
      <c r="A51" s="14"/>
      <c r="B51" s="72">
        <f t="shared" si="0"/>
        <v>0</v>
      </c>
      <c r="C51" s="14"/>
      <c r="D51" s="322"/>
      <c r="E51" s="14"/>
    </row>
    <row r="52" spans="1:5" ht="16.5" thickBot="1" x14ac:dyDescent="0.3">
      <c r="A52" s="71" t="str">
        <f>CONCATENATE("Total ",D5-3," Tax Levy Rate")</f>
        <v>Total 2010 Tax Levy Rate</v>
      </c>
      <c r="B52" s="323"/>
      <c r="C52" s="259"/>
      <c r="D52" s="324">
        <f>SUM(D42:D51)</f>
        <v>19.472999999999995</v>
      </c>
      <c r="E52" s="14"/>
    </row>
    <row r="53" spans="1:5" ht="16.5" thickTop="1" x14ac:dyDescent="0.25">
      <c r="A53" s="14"/>
      <c r="B53" s="14"/>
      <c r="C53" s="14"/>
      <c r="D53" s="14"/>
      <c r="E53" s="14"/>
    </row>
    <row r="54" spans="1:5" x14ac:dyDescent="0.25">
      <c r="A54" s="325" t="str">
        <f>CONCATENATE("Total Tax Levied (",D5-2," budget column)")</f>
        <v>Total Tax Levied (2011 budget column)</v>
      </c>
      <c r="B54" s="326"/>
      <c r="C54" s="20"/>
      <c r="D54" s="259"/>
      <c r="E54" s="187">
        <v>9790</v>
      </c>
    </row>
    <row r="55" spans="1:5" x14ac:dyDescent="0.25">
      <c r="A55" s="327" t="str">
        <f>CONCATENATE("Assessed Valuation (",D5-2," budget column)")</f>
        <v>Assessed Valuation (2011 budget column)</v>
      </c>
      <c r="B55" s="328"/>
      <c r="C55" s="267"/>
      <c r="D55" s="28"/>
      <c r="E55" s="187">
        <v>502770</v>
      </c>
    </row>
    <row r="56" spans="1:5" x14ac:dyDescent="0.25">
      <c r="A56" s="274"/>
      <c r="B56" s="19"/>
      <c r="C56" s="19"/>
      <c r="D56" s="19"/>
      <c r="E56" s="284"/>
    </row>
    <row r="57" spans="1:5" x14ac:dyDescent="0.25">
      <c r="A57" s="14"/>
      <c r="B57" s="14"/>
      <c r="C57" s="14"/>
      <c r="D57" s="14"/>
      <c r="E57" s="55"/>
    </row>
    <row r="58" spans="1:5" x14ac:dyDescent="0.25">
      <c r="A58" s="293" t="s">
        <v>202</v>
      </c>
      <c r="B58" s="293"/>
      <c r="C58" s="129"/>
      <c r="D58" s="329">
        <f>D5-3</f>
        <v>2010</v>
      </c>
      <c r="E58" s="329">
        <f>D5-2</f>
        <v>2011</v>
      </c>
    </row>
    <row r="59" spans="1:5" x14ac:dyDescent="0.25">
      <c r="A59" s="326" t="s">
        <v>165</v>
      </c>
      <c r="B59" s="326"/>
      <c r="C59" s="330"/>
      <c r="D59" s="36"/>
      <c r="E59" s="36"/>
    </row>
    <row r="60" spans="1:5" x14ac:dyDescent="0.25">
      <c r="A60" s="328" t="s">
        <v>166</v>
      </c>
      <c r="B60" s="328"/>
      <c r="C60" s="331"/>
      <c r="D60" s="36"/>
      <c r="E60" s="36"/>
    </row>
    <row r="61" spans="1:5" x14ac:dyDescent="0.25">
      <c r="A61" s="328" t="s">
        <v>167</v>
      </c>
      <c r="B61" s="328"/>
      <c r="C61" s="331"/>
      <c r="D61" s="36"/>
      <c r="E61" s="36"/>
    </row>
    <row r="62" spans="1:5" x14ac:dyDescent="0.25">
      <c r="A62" s="328"/>
      <c r="B62" s="328"/>
      <c r="C62" s="332"/>
      <c r="D62" s="36"/>
      <c r="E62" s="36"/>
    </row>
    <row r="63" spans="1:5" x14ac:dyDescent="0.25">
      <c r="A63" s="12"/>
      <c r="B63" s="12"/>
      <c r="C63" s="12"/>
      <c r="D63" s="12"/>
      <c r="E63" s="12"/>
    </row>
    <row r="64" spans="1:5" x14ac:dyDescent="0.25">
      <c r="A64" s="12"/>
      <c r="B64" s="12"/>
      <c r="C64" s="12"/>
      <c r="D64" s="12"/>
      <c r="E64" s="12"/>
    </row>
    <row r="65" spans="1:5" x14ac:dyDescent="0.25">
      <c r="A65" s="12"/>
      <c r="B65" s="12"/>
      <c r="C65" s="12"/>
      <c r="D65" s="12"/>
      <c r="E65" s="12"/>
    </row>
    <row r="66" spans="1:5" x14ac:dyDescent="0.25">
      <c r="A66" s="12"/>
      <c r="B66" s="12"/>
      <c r="C66" s="12"/>
      <c r="D66" s="12"/>
      <c r="E66" s="12"/>
    </row>
    <row r="67" spans="1:5" x14ac:dyDescent="0.25">
      <c r="A67" s="12"/>
      <c r="B67" s="12"/>
      <c r="C67" s="12"/>
      <c r="D67" s="12"/>
      <c r="E67" s="12"/>
    </row>
    <row r="68" spans="1:5" x14ac:dyDescent="0.25">
      <c r="A68" s="12"/>
      <c r="B68" s="12"/>
      <c r="C68" s="12"/>
      <c r="D68" s="12"/>
      <c r="E68" s="12"/>
    </row>
    <row r="69" spans="1:5" x14ac:dyDescent="0.25">
      <c r="A69" s="12"/>
      <c r="B69" s="12"/>
      <c r="C69" s="12"/>
      <c r="D69" s="12"/>
      <c r="E69" s="12"/>
    </row>
    <row r="70" spans="1:5" x14ac:dyDescent="0.25">
      <c r="A70" s="12"/>
      <c r="B70" s="12"/>
      <c r="C70" s="12"/>
      <c r="D70" s="12"/>
      <c r="E70" s="12"/>
    </row>
    <row r="71" spans="1:5" x14ac:dyDescent="0.25">
      <c r="A71" s="12"/>
      <c r="B71" s="12"/>
      <c r="C71" s="12"/>
      <c r="D71" s="12"/>
      <c r="E71" s="12"/>
    </row>
    <row r="72" spans="1:5" x14ac:dyDescent="0.25">
      <c r="A72" s="12"/>
      <c r="B72" s="12"/>
      <c r="C72" s="12"/>
      <c r="D72" s="12"/>
      <c r="E72" s="12"/>
    </row>
    <row r="73" spans="1:5" s="333" customFormat="1" x14ac:dyDescent="0.25">
      <c r="A73" s="12"/>
      <c r="B73" s="12"/>
      <c r="C73" s="12"/>
      <c r="D73" s="12"/>
      <c r="E73" s="12"/>
    </row>
    <row r="74" spans="1:5" x14ac:dyDescent="0.25">
      <c r="A74" s="12"/>
      <c r="B74" s="12"/>
      <c r="C74" s="12"/>
      <c r="D74" s="12"/>
      <c r="E74" s="12"/>
    </row>
    <row r="75" spans="1:5" x14ac:dyDescent="0.25">
      <c r="A75" s="12"/>
      <c r="B75" s="12"/>
      <c r="C75" s="12"/>
      <c r="D75" s="12"/>
      <c r="E75" s="12"/>
    </row>
    <row r="76" spans="1:5" x14ac:dyDescent="0.25">
      <c r="A76" s="12"/>
      <c r="B76" s="12"/>
      <c r="C76" s="12"/>
      <c r="D76" s="12"/>
      <c r="E76" s="12"/>
    </row>
    <row r="77" spans="1:5" x14ac:dyDescent="0.25">
      <c r="A77" s="12"/>
      <c r="B77" s="12"/>
      <c r="C77" s="12"/>
      <c r="D77" s="12"/>
      <c r="E77" s="12"/>
    </row>
    <row r="78" spans="1:5" x14ac:dyDescent="0.25">
      <c r="A78" s="12"/>
      <c r="B78" s="12"/>
      <c r="C78" s="12"/>
      <c r="D78" s="12"/>
      <c r="E78" s="12"/>
    </row>
    <row r="79" spans="1:5" x14ac:dyDescent="0.25">
      <c r="A79" s="12"/>
      <c r="B79" s="12"/>
      <c r="C79" s="12"/>
      <c r="D79" s="12"/>
      <c r="E79" s="12"/>
    </row>
    <row r="80" spans="1:5" x14ac:dyDescent="0.25">
      <c r="A80" s="12"/>
      <c r="B80" s="12"/>
      <c r="C80" s="12"/>
      <c r="D80" s="12"/>
      <c r="E80" s="12"/>
    </row>
    <row r="81" spans="1:7" x14ac:dyDescent="0.25">
      <c r="A81" s="12"/>
      <c r="B81" s="12"/>
      <c r="C81" s="12"/>
      <c r="D81" s="12"/>
      <c r="E81" s="12"/>
    </row>
    <row r="82" spans="1:7" x14ac:dyDescent="0.25">
      <c r="A82" s="12"/>
      <c r="B82" s="12"/>
      <c r="C82" s="12"/>
      <c r="D82" s="12"/>
      <c r="E82" s="12"/>
    </row>
    <row r="83" spans="1:7" s="80" customFormat="1" x14ac:dyDescent="0.25">
      <c r="A83" s="12"/>
      <c r="B83" s="12"/>
      <c r="C83" s="12"/>
      <c r="D83" s="12"/>
      <c r="E83" s="12"/>
      <c r="G83" s="16"/>
    </row>
    <row r="84" spans="1:7" s="80" customFormat="1" x14ac:dyDescent="0.25">
      <c r="A84" s="12"/>
      <c r="B84" s="12"/>
      <c r="C84" s="12"/>
      <c r="D84" s="12"/>
      <c r="E84" s="12"/>
      <c r="G84" s="16"/>
    </row>
    <row r="85" spans="1:7" x14ac:dyDescent="0.25">
      <c r="A85" s="12"/>
      <c r="B85" s="12"/>
      <c r="C85" s="12"/>
      <c r="D85" s="12"/>
      <c r="E85" s="12"/>
    </row>
  </sheetData>
  <sheetProtection sheet="1"/>
  <mergeCells count="3">
    <mergeCell ref="D40:D41"/>
    <mergeCell ref="A10:E10"/>
    <mergeCell ref="G7:H12"/>
  </mergeCells>
  <phoneticPr fontId="0" type="noConversion"/>
  <pageMargins left="0.3" right="0.3" top="0.5" bottom="0.5" header="0.3" footer="0.3"/>
  <pageSetup fitToHeight="2" orientation="portrait" blackAndWhite="1" horizontalDpi="4294967292" verticalDpi="96"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5"/>
  <sheetViews>
    <sheetView workbookViewId="0">
      <selection activeCell="B2" sqref="B2"/>
    </sheetView>
  </sheetViews>
  <sheetFormatPr defaultRowHeight="15.75" x14ac:dyDescent="0.25"/>
  <cols>
    <col min="1" max="1" width="62.3984375" style="12" customWidth="1"/>
    <col min="2" max="16384" width="8.796875" style="12"/>
  </cols>
  <sheetData>
    <row r="1" spans="1:1" ht="20.25" x14ac:dyDescent="0.25">
      <c r="A1" s="163" t="s">
        <v>344</v>
      </c>
    </row>
    <row r="2" spans="1:1" ht="54.75" customHeight="1" x14ac:dyDescent="0.25">
      <c r="A2" s="164" t="s">
        <v>345</v>
      </c>
    </row>
    <row r="3" spans="1:1" x14ac:dyDescent="0.25">
      <c r="A3" s="165"/>
    </row>
    <row r="4" spans="1:1" ht="56.25" customHeight="1" x14ac:dyDescent="0.25">
      <c r="A4" s="164" t="s">
        <v>346</v>
      </c>
    </row>
    <row r="5" spans="1:1" x14ac:dyDescent="0.25">
      <c r="A5" s="80"/>
    </row>
    <row r="6" spans="1:1" ht="50.25" customHeight="1" x14ac:dyDescent="0.25">
      <c r="A6" s="164" t="s">
        <v>347</v>
      </c>
    </row>
    <row r="7" spans="1:1" ht="16.5" customHeight="1" x14ac:dyDescent="0.25">
      <c r="A7" s="164"/>
    </row>
    <row r="8" spans="1:1" ht="50.25" customHeight="1" x14ac:dyDescent="0.25">
      <c r="A8" s="485" t="s">
        <v>714</v>
      </c>
    </row>
    <row r="9" spans="1:1" x14ac:dyDescent="0.25">
      <c r="A9" s="165"/>
    </row>
    <row r="10" spans="1:1" ht="40.5" customHeight="1" x14ac:dyDescent="0.25">
      <c r="A10" s="164" t="s">
        <v>348</v>
      </c>
    </row>
    <row r="11" spans="1:1" x14ac:dyDescent="0.25">
      <c r="A11" s="80"/>
    </row>
    <row r="12" spans="1:1" ht="40.5" customHeight="1" x14ac:dyDescent="0.25">
      <c r="A12" s="164" t="s">
        <v>349</v>
      </c>
    </row>
    <row r="13" spans="1:1" x14ac:dyDescent="0.25">
      <c r="A13" s="165"/>
    </row>
    <row r="14" spans="1:1" ht="71.25" customHeight="1" x14ac:dyDescent="0.25">
      <c r="A14" s="164" t="s">
        <v>350</v>
      </c>
    </row>
    <row r="15" spans="1:1" x14ac:dyDescent="0.25">
      <c r="A15" s="165"/>
    </row>
    <row r="16" spans="1:1" ht="40.5" customHeight="1" x14ac:dyDescent="0.25">
      <c r="A16" s="164" t="s">
        <v>351</v>
      </c>
    </row>
    <row r="17" spans="1:1" x14ac:dyDescent="0.25">
      <c r="A17" s="80"/>
    </row>
    <row r="18" spans="1:1" ht="49.5" customHeight="1" x14ac:dyDescent="0.25">
      <c r="A18" s="164" t="s">
        <v>352</v>
      </c>
    </row>
    <row r="19" spans="1:1" x14ac:dyDescent="0.25">
      <c r="A19" s="165"/>
    </row>
    <row r="20" spans="1:1" ht="52.5" customHeight="1" x14ac:dyDescent="0.25">
      <c r="A20" s="164" t="s">
        <v>353</v>
      </c>
    </row>
    <row r="21" spans="1:1" x14ac:dyDescent="0.25">
      <c r="A21" s="165"/>
    </row>
    <row r="22" spans="1:1" ht="48.75" customHeight="1" x14ac:dyDescent="0.25">
      <c r="A22" s="164" t="s">
        <v>354</v>
      </c>
    </row>
    <row r="23" spans="1:1" x14ac:dyDescent="0.25">
      <c r="A23" s="165"/>
    </row>
    <row r="24" spans="1:1" x14ac:dyDescent="0.25">
      <c r="A24" s="80"/>
    </row>
    <row r="25" spans="1:1" ht="51.75" customHeight="1" x14ac:dyDescent="0.25">
      <c r="A25" s="164" t="s">
        <v>355</v>
      </c>
    </row>
  </sheetData>
  <sheetProtection sheet="1"/>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08"/>
  <sheetViews>
    <sheetView topLeftCell="A10" zoomScaleNormal="100" workbookViewId="0">
      <selection activeCell="K7" sqref="K7"/>
    </sheetView>
  </sheetViews>
  <sheetFormatPr defaultRowHeight="15.75" x14ac:dyDescent="0.25"/>
  <cols>
    <col min="1" max="1" width="1.69921875" style="16" customWidth="1"/>
    <col min="2" max="2" width="20.69921875" style="16" customWidth="1"/>
    <col min="3" max="3" width="12.69921875" style="16" customWidth="1"/>
    <col min="4" max="4" width="9.69921875" style="16" customWidth="1"/>
    <col min="5" max="5" width="12.69921875" style="16" customWidth="1"/>
    <col min="6" max="6" width="9.69921875" style="16" customWidth="1"/>
    <col min="7" max="7" width="13.3984375" style="16" customWidth="1"/>
    <col min="8" max="8" width="10.69921875" style="16" customWidth="1"/>
    <col min="9" max="9" width="9.69921875" style="16" customWidth="1"/>
    <col min="10" max="10" width="5.09765625" style="16" customWidth="1"/>
    <col min="11" max="11" width="12.3984375" style="16" customWidth="1"/>
    <col min="12" max="12" width="12.296875" style="16" customWidth="1"/>
    <col min="13" max="13" width="10.5" style="16" customWidth="1"/>
    <col min="14" max="14" width="12" style="16" customWidth="1"/>
    <col min="15" max="16384" width="8.796875" style="16"/>
  </cols>
  <sheetData>
    <row r="1" spans="2:10" x14ac:dyDescent="0.25">
      <c r="B1" s="14"/>
      <c r="C1" s="14"/>
      <c r="D1" s="14"/>
      <c r="E1" s="14"/>
      <c r="F1" s="14"/>
      <c r="G1" s="14"/>
      <c r="H1" s="14"/>
      <c r="I1" s="145">
        <f>inputPrYr!D5</f>
        <v>2013</v>
      </c>
    </row>
    <row r="2" spans="2:10" x14ac:dyDescent="0.25">
      <c r="B2" s="790" t="s">
        <v>71</v>
      </c>
      <c r="C2" s="782"/>
      <c r="D2" s="782"/>
      <c r="E2" s="782"/>
      <c r="F2" s="782"/>
      <c r="G2" s="782"/>
      <c r="H2" s="782"/>
      <c r="I2" s="782"/>
    </row>
    <row r="3" spans="2:10" x14ac:dyDescent="0.25">
      <c r="B3" s="14"/>
      <c r="C3" s="14"/>
      <c r="D3" s="14"/>
      <c r="E3" s="14"/>
      <c r="F3" s="14"/>
      <c r="G3" s="22" t="s">
        <v>37</v>
      </c>
      <c r="H3" s="22" t="s">
        <v>38</v>
      </c>
      <c r="I3" s="14"/>
    </row>
    <row r="4" spans="2:10" x14ac:dyDescent="0.25">
      <c r="B4" s="777" t="s">
        <v>39</v>
      </c>
      <c r="C4" s="777"/>
      <c r="D4" s="777"/>
      <c r="E4" s="777"/>
      <c r="F4" s="777"/>
      <c r="G4" s="777"/>
      <c r="H4" s="777"/>
      <c r="I4" s="777"/>
    </row>
    <row r="5" spans="2:10" x14ac:dyDescent="0.25">
      <c r="B5" s="780" t="str">
        <f>inputPrYr!D2</f>
        <v>Liberty Township</v>
      </c>
      <c r="C5" s="780"/>
      <c r="D5" s="780"/>
      <c r="E5" s="780"/>
      <c r="F5" s="780"/>
      <c r="G5" s="780"/>
      <c r="H5" s="780"/>
      <c r="I5" s="780"/>
    </row>
    <row r="6" spans="2:10" x14ac:dyDescent="0.25">
      <c r="B6" s="780" t="str">
        <f>inputPrYr!D3</f>
        <v>Osborne County</v>
      </c>
      <c r="C6" s="780"/>
      <c r="D6" s="780"/>
      <c r="E6" s="780"/>
      <c r="F6" s="780"/>
      <c r="G6" s="780"/>
      <c r="H6" s="780"/>
      <c r="I6" s="780"/>
    </row>
    <row r="7" spans="2:10" x14ac:dyDescent="0.25">
      <c r="B7" s="844" t="str">
        <f>CONCATENATE("will meet on ",inputBudSum!B8," at ",inputBudSum!B10," at ",inputBudSum!B12," for the purpose of hearing and")</f>
        <v>will meet on August 3, 2012 at 7:00 p.m. at Richard Elliott at 1925 Co. 412 Drive, Liberty Township for the purpose of hearing and</v>
      </c>
      <c r="C7" s="844"/>
      <c r="D7" s="844"/>
      <c r="E7" s="844"/>
      <c r="F7" s="844"/>
      <c r="G7" s="844"/>
      <c r="H7" s="844"/>
      <c r="I7" s="844"/>
    </row>
    <row r="8" spans="2:10" x14ac:dyDescent="0.25">
      <c r="B8" s="147" t="s">
        <v>603</v>
      </c>
      <c r="C8" s="145"/>
      <c r="D8" s="145"/>
      <c r="E8" s="145"/>
      <c r="F8" s="145"/>
      <c r="G8" s="145"/>
      <c r="H8" s="145"/>
      <c r="I8" s="145"/>
    </row>
    <row r="9" spans="2:10" x14ac:dyDescent="0.25">
      <c r="B9" s="355" t="str">
        <f>CONCATENATE("Detailed budget information is available at ",inputBudSum!B15," and will be available at this hearing.")</f>
        <v>Detailed budget information is available at Osborne County Clerk's Office and will be available at this hearing.</v>
      </c>
      <c r="C9" s="354"/>
      <c r="D9" s="354"/>
      <c r="E9" s="354"/>
      <c r="F9" s="354"/>
      <c r="G9" s="354"/>
      <c r="H9" s="354"/>
      <c r="I9" s="354"/>
    </row>
    <row r="10" spans="2:10" x14ac:dyDescent="0.25">
      <c r="B10" s="144" t="s">
        <v>72</v>
      </c>
      <c r="C10" s="148"/>
      <c r="D10" s="148"/>
      <c r="E10" s="148"/>
      <c r="F10" s="148"/>
      <c r="G10" s="148"/>
      <c r="H10" s="148"/>
      <c r="I10" s="148"/>
    </row>
    <row r="11" spans="2:10" x14ac:dyDescent="0.25">
      <c r="B11" s="147" t="str">
        <f>CONCATENATE("Proposed Budget ",I1," Expenditures and Amount of ",I1-1," Ad Valorem Tax establish the maximum limits")</f>
        <v>Proposed Budget 2013 Expenditures and Amount of 2012 Ad Valorem Tax establish the maximum limits</v>
      </c>
      <c r="C11" s="145"/>
      <c r="D11" s="145"/>
      <c r="E11" s="145"/>
      <c r="F11" s="145"/>
      <c r="G11" s="145"/>
      <c r="H11" s="145"/>
      <c r="I11" s="145"/>
    </row>
    <row r="12" spans="2:10" x14ac:dyDescent="0.25">
      <c r="B12" s="147" t="str">
        <f>CONCATENATE("of the ",I1," budget.  Estimated Tax Rate is subject to change depending on the final assessed valuation.")</f>
        <v>of the 2013 budget.  Estimated Tax Rate is subject to change depending on the final assessed valuation.</v>
      </c>
      <c r="C12" s="145"/>
      <c r="D12" s="145"/>
      <c r="E12" s="145"/>
      <c r="F12" s="145"/>
      <c r="G12" s="145"/>
      <c r="H12" s="145"/>
      <c r="I12" s="145"/>
    </row>
    <row r="13" spans="2:10" x14ac:dyDescent="0.25">
      <c r="B13" s="22"/>
      <c r="C13" s="19"/>
      <c r="D13" s="19"/>
      <c r="E13" s="19"/>
      <c r="F13" s="19"/>
      <c r="G13" s="19"/>
      <c r="H13" s="19"/>
      <c r="I13" s="19"/>
      <c r="J13" s="149"/>
    </row>
    <row r="14" spans="2:10" x14ac:dyDescent="0.25">
      <c r="B14" s="14"/>
      <c r="C14" s="150" t="str">
        <f>CONCATENATE("Prior Year Actual ",I1-2,"")</f>
        <v>Prior Year Actual 2011</v>
      </c>
      <c r="D14" s="151"/>
      <c r="E14" s="150" t="str">
        <f>CONCATENATE("Current Year Estimate ",I1-1,"")</f>
        <v>Current Year Estimate 2012</v>
      </c>
      <c r="F14" s="152"/>
      <c r="G14" s="153" t="str">
        <f>CONCATENATE("Proposed Budget ",I1,"")</f>
        <v>Proposed Budget 2013</v>
      </c>
      <c r="H14" s="154"/>
      <c r="I14" s="152"/>
      <c r="J14" s="149"/>
    </row>
    <row r="15" spans="2:10" ht="22.5" customHeight="1" x14ac:dyDescent="0.25">
      <c r="B15" s="14"/>
      <c r="C15" s="69"/>
      <c r="D15" s="23" t="s">
        <v>32</v>
      </c>
      <c r="E15" s="23"/>
      <c r="F15" s="23" t="s">
        <v>32</v>
      </c>
      <c r="G15" s="155"/>
      <c r="H15" s="769" t="str">
        <f>CONCATENATE("Amount of ",I1-1," Ad Valorem Tax")</f>
        <v>Amount of 2012 Ad Valorem Tax</v>
      </c>
      <c r="I15" s="23" t="s">
        <v>40</v>
      </c>
      <c r="J15" s="149"/>
    </row>
    <row r="16" spans="2:10" x14ac:dyDescent="0.25">
      <c r="B16" s="14"/>
      <c r="C16" s="156"/>
      <c r="D16" s="156" t="s">
        <v>41</v>
      </c>
      <c r="E16" s="156"/>
      <c r="F16" s="156" t="s">
        <v>41</v>
      </c>
      <c r="G16" s="156" t="s">
        <v>209</v>
      </c>
      <c r="H16" s="842"/>
      <c r="I16" s="156" t="s">
        <v>41</v>
      </c>
      <c r="J16" s="149"/>
    </row>
    <row r="17" spans="2:14" x14ac:dyDescent="0.25">
      <c r="B17" s="25" t="s">
        <v>286</v>
      </c>
      <c r="C17" s="26" t="s">
        <v>42</v>
      </c>
      <c r="D17" s="26" t="s">
        <v>43</v>
      </c>
      <c r="E17" s="26" t="s">
        <v>42</v>
      </c>
      <c r="F17" s="26" t="s">
        <v>43</v>
      </c>
      <c r="G17" s="26" t="s">
        <v>720</v>
      </c>
      <c r="H17" s="843"/>
      <c r="I17" s="26" t="s">
        <v>43</v>
      </c>
      <c r="J17" s="149"/>
    </row>
    <row r="18" spans="2:14" x14ac:dyDescent="0.25">
      <c r="B18" s="85" t="str">
        <f>inputPrYr!B16</f>
        <v>General</v>
      </c>
      <c r="C18" s="63">
        <f>IF(gen!$C$50&lt;&gt;0,gen!$C$50,"  ")</f>
        <v>1666</v>
      </c>
      <c r="D18" s="530">
        <f>IF(inputPrYr!D42&gt;0,inputPrYr!D42,"  ")</f>
        <v>2.56</v>
      </c>
      <c r="E18" s="32">
        <f>IF(gen!$D$50&lt;&gt;0,gen!$D$50,"  ")</f>
        <v>1100</v>
      </c>
      <c r="F18" s="235">
        <f>IF(inputOth!D17&gt;0,inputOth!D17,"  ")</f>
        <v>1.577</v>
      </c>
      <c r="G18" s="32">
        <f>IF(gen!$E$50&lt;&gt;0,gen!$E$50,"  ")</f>
        <v>1150</v>
      </c>
      <c r="H18" s="32">
        <f>IF(gen!$E$57&lt;&gt;0,gen!$E$57," ")</f>
        <v>1079</v>
      </c>
      <c r="I18" s="532">
        <f>IF(gen!E57&gt;0,ROUND(H18/$G$37*1000,3)," ")</f>
        <v>1.5820000000000001</v>
      </c>
      <c r="J18" s="149"/>
    </row>
    <row r="19" spans="2:14" x14ac:dyDescent="0.25">
      <c r="B19" s="85" t="s">
        <v>300</v>
      </c>
      <c r="C19" s="32" t="str">
        <f>IF('DebtSvs-Library'!C33&lt;&gt;0,'DebtSvs-Library'!C33,"  ")</f>
        <v xml:space="preserve">  </v>
      </c>
      <c r="D19" s="530" t="str">
        <f>IF(inputPrYr!D43&gt;0,inputPrYr!D43,"  ")</f>
        <v xml:space="preserve">  </v>
      </c>
      <c r="E19" s="32" t="str">
        <f>IF('DebtSvs-Library'!D33&lt;&gt;0,'DebtSvs-Library'!D33,"  ")</f>
        <v xml:space="preserve">  </v>
      </c>
      <c r="F19" s="235" t="str">
        <f>IF(inputOth!D18&gt;0,inputOth!D18,"  ")</f>
        <v xml:space="preserve">  </v>
      </c>
      <c r="G19" s="32" t="str">
        <f>IF('DebtSvs-Library'!E33&lt;&gt;0,'DebtSvs-Library'!E33,"  ")</f>
        <v xml:space="preserve">  </v>
      </c>
      <c r="H19" s="32" t="str">
        <f>IF('DebtSvs-Library'!E40&lt;&gt;0,'DebtSvs-Library'!E40," ")</f>
        <v xml:space="preserve"> </v>
      </c>
      <c r="I19" s="532" t="str">
        <f>IF('DebtSvs-Library'!E40&gt;0,ROUND(H19/$G$37*1000,3)," ")</f>
        <v xml:space="preserve"> </v>
      </c>
      <c r="J19" s="149"/>
    </row>
    <row r="20" spans="2:14" x14ac:dyDescent="0.25">
      <c r="B20" s="85" t="str">
        <f>IF(inputPrYr!$B18&gt;"  ",inputPrYr!$B18,"  ")</f>
        <v>Library</v>
      </c>
      <c r="C20" s="32" t="str">
        <f>IF('DebtSvs-Library'!C73&lt;&gt;0,'DebtSvs-Library'!C73,"  ")</f>
        <v xml:space="preserve">  </v>
      </c>
      <c r="D20" s="530" t="str">
        <f>IF(inputPrYr!D44&gt;0,inputPrYr!D44,"  ")</f>
        <v xml:space="preserve">  </v>
      </c>
      <c r="E20" s="32" t="str">
        <f>IF('DebtSvs-Library'!D73&lt;&gt;0,'DebtSvs-Library'!D73,"  ")</f>
        <v xml:space="preserve">  </v>
      </c>
      <c r="F20" s="235" t="str">
        <f>IF(inputOth!D19&gt;0,inputOth!D19,"  ")</f>
        <v xml:space="preserve">  </v>
      </c>
      <c r="G20" s="32" t="str">
        <f>IF('DebtSvs-Library'!E73&lt;&gt;0,'DebtSvs-Library'!E73,"  ")</f>
        <v xml:space="preserve">  </v>
      </c>
      <c r="H20" s="32" t="str">
        <f>IF('DebtSvs-Library'!E80&lt;&gt;0,'DebtSvs-Library'!E80," ")</f>
        <v xml:space="preserve"> </v>
      </c>
      <c r="I20" s="532" t="str">
        <f>IF('DebtSvs-Library'!E80&gt;0,ROUND(H20/$G$37*1000,3)," ")</f>
        <v xml:space="preserve"> </v>
      </c>
      <c r="J20" s="149"/>
    </row>
    <row r="21" spans="2:14" x14ac:dyDescent="0.25">
      <c r="B21" s="85" t="str">
        <f>IF(inputPrYr!$B19&gt;"  ",inputPrYr!$B19,"  ")</f>
        <v>Road</v>
      </c>
      <c r="C21" s="32">
        <f>IF(road!$C$43&lt;&gt;0,road!$C$43,"  ")</f>
        <v>15388</v>
      </c>
      <c r="D21" s="530">
        <f>IF(inputPrYr!D45&gt;0,inputPrYr!D45,"  ")</f>
        <v>16.015999999999998</v>
      </c>
      <c r="E21" s="32">
        <f>IF(road!$D$43&lt;&gt;0,road!$D$43,"  ")</f>
        <v>18746</v>
      </c>
      <c r="F21" s="235">
        <f>IF(inputOth!D20&gt;0,inputOth!D20,"  ")</f>
        <v>17.981000000000002</v>
      </c>
      <c r="G21" s="32">
        <f>IF(road!$E$43&lt;&gt;0,road!$E$43,"  ")</f>
        <v>19751</v>
      </c>
      <c r="H21" s="32">
        <f>IF(road!$E$50&lt;&gt;0,road!$E$50,"  ")</f>
        <v>11188</v>
      </c>
      <c r="I21" s="532">
        <f>IF(road!E50&gt;0,ROUND(H21/$G$37*1000,3)," ")</f>
        <v>16.405000000000001</v>
      </c>
      <c r="K21" s="835" t="str">
        <f>CONCATENATE("Estimated Value Of One Mill For ",I1,"")</f>
        <v>Estimated Value Of One Mill For 2013</v>
      </c>
      <c r="L21" s="840"/>
      <c r="M21" s="840"/>
      <c r="N21" s="841"/>
    </row>
    <row r="22" spans="2:14" x14ac:dyDescent="0.25">
      <c r="B22" s="85" t="str">
        <f>IF(inputPrYr!$B20&gt;"  ",inputPrYr!$B20,"  ")</f>
        <v>Weed</v>
      </c>
      <c r="C22" s="32">
        <f>IF(levypage9!$C$33&lt;&gt;0,levypage9!$C$33,"  ")</f>
        <v>470</v>
      </c>
      <c r="D22" s="530">
        <f>IF(inputPrYr!D46&gt;0,inputPrYr!D46,"  ")</f>
        <v>0.89700000000000002</v>
      </c>
      <c r="E22" s="32">
        <f>IF(levypage9!$D$33&lt;&gt;0,levypage9!$D$33,"  ")</f>
        <v>450</v>
      </c>
      <c r="F22" s="235">
        <f>IF(inputOth!D21&gt;0,inputOth!D21,"  ")</f>
        <v>0.68</v>
      </c>
      <c r="G22" s="32">
        <f>IF(levypage9!$E$33&lt;&gt;0,levypage9!$E$33,"  ")</f>
        <v>450</v>
      </c>
      <c r="H22" s="32">
        <f>IF(levypage9!$E$40&lt;&gt;0,levypage9!$E$40,"  ")</f>
        <v>418</v>
      </c>
      <c r="I22" s="532">
        <f>IF(levypage9!E40&gt;0,ROUND(H22/$G$37*1000,3)," ")</f>
        <v>0.61299999999999999</v>
      </c>
      <c r="K22" s="506"/>
      <c r="L22" s="507"/>
      <c r="M22" s="507"/>
      <c r="N22" s="508"/>
    </row>
    <row r="23" spans="2:14" x14ac:dyDescent="0.25">
      <c r="B23" s="85" t="str">
        <f>IF(inputPrYr!$B21&gt;"  ",inputPrYr!$B21,"  ")</f>
        <v xml:space="preserve">  </v>
      </c>
      <c r="C23" s="32" t="str">
        <f>IF(levypage9!$C$73&lt;&gt;0,levypage9!$C$73,"  ")</f>
        <v xml:space="preserve">  </v>
      </c>
      <c r="D23" s="530" t="str">
        <f>IF(inputPrYr!D47&gt;0,inputPrYr!D47,"  ")</f>
        <v xml:space="preserve">  </v>
      </c>
      <c r="E23" s="32" t="str">
        <f>IF(levypage9!$D$73&lt;&gt;0,levypage9!$D$73,"  ")</f>
        <v xml:space="preserve">  </v>
      </c>
      <c r="F23" s="235" t="str">
        <f>IF(inputOth!D22&gt;0,inputOth!D22,"  ")</f>
        <v xml:space="preserve">  </v>
      </c>
      <c r="G23" s="32" t="str">
        <f>IF(levypage9!$E$73&lt;&gt;0,levypage9!$E$73,"  ")</f>
        <v xml:space="preserve">  </v>
      </c>
      <c r="H23" s="32" t="str">
        <f>IF(levypage9!$E$80&lt;&gt;0,levypage9!$E$80,"  ")</f>
        <v xml:space="preserve">  </v>
      </c>
      <c r="I23" s="532" t="str">
        <f>IF(levypage9!E80&gt;0,ROUND(H23/$G$37*1000,3)," ")</f>
        <v xml:space="preserve"> </v>
      </c>
      <c r="K23" s="509" t="s">
        <v>717</v>
      </c>
      <c r="L23" s="510"/>
      <c r="M23" s="510"/>
      <c r="N23" s="511">
        <f>ROUND(G37/1000,0)</f>
        <v>682</v>
      </c>
    </row>
    <row r="24" spans="2:14" x14ac:dyDescent="0.25">
      <c r="B24" s="85" t="str">
        <f>IF(inputPrYr!$B22&gt;"  ",inputPrYr!$B22,"  ")</f>
        <v xml:space="preserve">  </v>
      </c>
      <c r="C24" s="32" t="str">
        <f>IF(levypage10!$C$33&lt;&gt;0,levypage10!$C$33,"  ")</f>
        <v xml:space="preserve">  </v>
      </c>
      <c r="D24" s="530" t="str">
        <f>IF(inputPrYr!D48&gt;0,inputPrYr!D48,"  ")</f>
        <v xml:space="preserve">  </v>
      </c>
      <c r="E24" s="32" t="str">
        <f>IF(levypage10!$D$33&lt;&gt;0,levypage10!$D$33,"  ")</f>
        <v xml:space="preserve">  </v>
      </c>
      <c r="F24" s="235" t="str">
        <f>IF(inputOth!D23&gt;0,inputOth!D23,"  ")</f>
        <v xml:space="preserve">  </v>
      </c>
      <c r="G24" s="32" t="str">
        <f>IF(levypage10!$E$33&lt;&gt;0,levypage10!$E$33,"  ")</f>
        <v xml:space="preserve">  </v>
      </c>
      <c r="H24" s="32" t="str">
        <f>IF(levypage10!$E$40&lt;&gt;0,levypage10!$E$40,"  ")</f>
        <v xml:space="preserve">  </v>
      </c>
      <c r="I24" s="532" t="str">
        <f>IF(levypage10!E40&gt;0,ROUND(H24/$G$37*1000,3)," ")</f>
        <v xml:space="preserve"> </v>
      </c>
    </row>
    <row r="25" spans="2:14" x14ac:dyDescent="0.25">
      <c r="B25" s="85" t="str">
        <f>IF(inputPrYr!$B23&gt;"  ",inputPrYr!$B23,"  ")</f>
        <v xml:space="preserve">  </v>
      </c>
      <c r="C25" s="32" t="str">
        <f>IF(levypage10!$C$73&lt;&gt;0,levypage10!$C$73,"  ")</f>
        <v xml:space="preserve">  </v>
      </c>
      <c r="D25" s="530" t="str">
        <f>IF(inputPrYr!D49&gt;0,inputPrYr!D49,"  ")</f>
        <v xml:space="preserve">  </v>
      </c>
      <c r="E25" s="32" t="str">
        <f>IF(levypage10!$D$73&lt;&gt;0,levypage10!$D$73,"  ")</f>
        <v xml:space="preserve">  </v>
      </c>
      <c r="F25" s="235" t="str">
        <f>IF(inputOth!D24&gt;0,inputOth!D24,"  ")</f>
        <v xml:space="preserve">  </v>
      </c>
      <c r="G25" s="32" t="str">
        <f>IF(levypage10!$E$73&lt;&gt;0,levypage10!$E$73,"  ")</f>
        <v xml:space="preserve">  </v>
      </c>
      <c r="H25" s="32" t="str">
        <f>IF(levypage10!$E$80&lt;&gt;0,levypage10!$E$80,"  ")</f>
        <v xml:space="preserve">  </v>
      </c>
      <c r="I25" s="532" t="str">
        <f>IF(levypage10!E80&gt;0,ROUND(H25/$G$37*1000,3)," ")</f>
        <v xml:space="preserve"> </v>
      </c>
      <c r="K25" s="835" t="str">
        <f>CONCATENATE("Want The Mill Rate The Same As For ",I1-1,"?")</f>
        <v>Want The Mill Rate The Same As For 2012?</v>
      </c>
      <c r="L25" s="838"/>
      <c r="M25" s="838"/>
      <c r="N25" s="839"/>
    </row>
    <row r="26" spans="2:14" x14ac:dyDescent="0.25">
      <c r="B26" s="85" t="str">
        <f>IF(inputPrYr!$B24&gt;"  ",inputPrYr!$B24,"  ")</f>
        <v xml:space="preserve">  </v>
      </c>
      <c r="C26" s="32" t="str">
        <f>IF(levypage11!$C$33&lt;&gt;0,levypage11!$C$33,"  ")</f>
        <v xml:space="preserve">  </v>
      </c>
      <c r="D26" s="530" t="str">
        <f>IF(inputPrYr!D50&gt;0,inputPrYr!D50,"  ")</f>
        <v xml:space="preserve">  </v>
      </c>
      <c r="E26" s="32" t="str">
        <f>IF(levypage11!$D$33&lt;&gt;0,levypage11!$D$33,"  ")</f>
        <v xml:space="preserve">  </v>
      </c>
      <c r="F26" s="235" t="str">
        <f>IF(inputOth!D25&gt;0,inputOth!D25,"  ")</f>
        <v xml:space="preserve">  </v>
      </c>
      <c r="G26" s="32" t="str">
        <f>IF(levypage11!$E$33&lt;&gt;0,levypage11!$E$33,"  ")</f>
        <v xml:space="preserve">  </v>
      </c>
      <c r="H26" s="32" t="str">
        <f>IF(levypage11!$E$40&lt;&gt;0,levypage11!$E$40,"  ")</f>
        <v xml:space="preserve">  </v>
      </c>
      <c r="I26" s="532" t="str">
        <f>IF(levypage11!E40&gt;0,ROUND(H26/$G$37*1000,3)," ")</f>
        <v xml:space="preserve"> </v>
      </c>
      <c r="K26" s="513"/>
      <c r="L26" s="507"/>
      <c r="M26" s="507"/>
      <c r="N26" s="514"/>
    </row>
    <row r="27" spans="2:14" x14ac:dyDescent="0.25">
      <c r="B27" s="85" t="str">
        <f>IF(inputPrYr!$B25&gt;"  ",inputPrYr!$B25,"  ")</f>
        <v xml:space="preserve">  </v>
      </c>
      <c r="C27" s="32" t="str">
        <f>IF(levypage11!$C$73&lt;&gt;0,levypage11!$C$73,"  ")</f>
        <v xml:space="preserve">  </v>
      </c>
      <c r="D27" s="530" t="str">
        <f>IF(inputPrYr!D51&gt;0,inputPrYr!D51,"  ")</f>
        <v xml:space="preserve">  </v>
      </c>
      <c r="E27" s="32" t="str">
        <f>IF(levypage11!$D$73&lt;&gt;0,levypage11!$D$73,"  ")</f>
        <v xml:space="preserve">  </v>
      </c>
      <c r="F27" s="235" t="str">
        <f>IF(inputOth!D26&gt;0,inputOth!D26,"  ")</f>
        <v xml:space="preserve">  </v>
      </c>
      <c r="G27" s="32" t="str">
        <f>IF(levypage11!$E$73&lt;&gt;0,levypage11!$E$73,"  ")</f>
        <v xml:space="preserve">  </v>
      </c>
      <c r="H27" s="32" t="str">
        <f>IF(levypage11!$E$80&lt;&gt;0,levypage11!$E$80,"  ")</f>
        <v xml:space="preserve">  </v>
      </c>
      <c r="I27" s="532" t="str">
        <f>IF(levypage11!E80&gt;0,ROUND(H27/$G$37*1000,3)," ")</f>
        <v xml:space="preserve"> </v>
      </c>
      <c r="K27" s="513" t="str">
        <f>CONCATENATE("",I1-1," Mill Rate Was:")</f>
        <v>2012 Mill Rate Was:</v>
      </c>
      <c r="L27" s="507"/>
      <c r="M27" s="507"/>
      <c r="N27" s="515">
        <f>F32</f>
        <v>20.238</v>
      </c>
    </row>
    <row r="28" spans="2:14" x14ac:dyDescent="0.25">
      <c r="B28" s="85" t="str">
        <f>IF(inputPrYr!$B29&gt;"  ",inputPrYr!$B29,"  ")</f>
        <v xml:space="preserve">  </v>
      </c>
      <c r="C28" s="32" t="str">
        <f>IF(nolevypage12!$C$28&lt;&gt;0,nolevypage12!$C$28,"  ")</f>
        <v xml:space="preserve">  </v>
      </c>
      <c r="D28" s="157"/>
      <c r="E28" s="32" t="str">
        <f>IF(nolevypage12!$D$28&lt;&gt;0,nolevypage12!$D$28,"  ")</f>
        <v xml:space="preserve">  </v>
      </c>
      <c r="F28" s="235"/>
      <c r="G28" s="32" t="str">
        <f>IF(nolevypage12!$E$28&lt;&gt;0,nolevypage12!$E$28,"  ")</f>
        <v xml:space="preserve">  </v>
      </c>
      <c r="H28" s="32"/>
      <c r="I28" s="235"/>
      <c r="K28" s="516" t="str">
        <f>CONCATENATE("",I1," Tax Levy Fund Expenditures Must Be")</f>
        <v>2013 Tax Levy Fund Expenditures Must Be</v>
      </c>
      <c r="L28" s="517"/>
      <c r="M28" s="517"/>
      <c r="N28" s="514"/>
    </row>
    <row r="29" spans="2:14" x14ac:dyDescent="0.25">
      <c r="B29" s="85" t="str">
        <f>IF(inputPrYr!$B30&gt;"  ",inputPrYr!$B30,"  ")</f>
        <v xml:space="preserve">  </v>
      </c>
      <c r="C29" s="32" t="str">
        <f>IF(nolevypage12!$C$59&lt;&gt;0,nolevypage12!$C$59,"  ")</f>
        <v xml:space="preserve">  </v>
      </c>
      <c r="D29" s="157"/>
      <c r="E29" s="32" t="str">
        <f>IF(nolevypage12!$D$59&lt;&gt;0,nolevypage12!$D$59,"  ")</f>
        <v xml:space="preserve">  </v>
      </c>
      <c r="F29" s="235"/>
      <c r="G29" s="32" t="str">
        <f>IF(nolevypage12!$E$59&lt;&gt;0,nolevypage12!$E$59,"  ")</f>
        <v xml:space="preserve">  </v>
      </c>
      <c r="H29" s="32"/>
      <c r="I29" s="235"/>
      <c r="K29" s="516" t="str">
        <f>IF(N29&gt;0,"Increased By:","")</f>
        <v>Increased By:</v>
      </c>
      <c r="L29" s="517"/>
      <c r="M29" s="517"/>
      <c r="N29" s="523">
        <f>IF(N36&lt;0,N36*-1,0)</f>
        <v>1117</v>
      </c>
    </row>
    <row r="30" spans="2:14" x14ac:dyDescent="0.25">
      <c r="B30" s="85" t="str">
        <f>IF((inputPrYr!$B34&gt;"  "),(nonbud!$A3),"  ")</f>
        <v xml:space="preserve">  </v>
      </c>
      <c r="C30" s="63" t="str">
        <f>IF((nonbud!$K$28)&lt;&gt;0,(nonbud!$K$28),"  ")</f>
        <v xml:space="preserve">  </v>
      </c>
      <c r="D30" s="157"/>
      <c r="E30" s="32"/>
      <c r="F30" s="157"/>
      <c r="G30" s="32"/>
      <c r="H30" s="32"/>
      <c r="I30" s="157"/>
      <c r="K30" s="524" t="str">
        <f>IF($N$30&lt;0,"Reduced By:","")</f>
        <v/>
      </c>
      <c r="L30" s="505"/>
      <c r="M30" s="505"/>
      <c r="N30" s="525">
        <f>IF(N36&gt;0,N36*-1,0)</f>
        <v>0</v>
      </c>
    </row>
    <row r="31" spans="2:14" ht="16.5" thickBot="1" x14ac:dyDescent="0.3">
      <c r="B31" s="72" t="s">
        <v>288</v>
      </c>
      <c r="C31" s="483">
        <f>IF(road!C64&lt;&gt;0,road!C64,"  ")</f>
        <v>804</v>
      </c>
      <c r="D31" s="484"/>
      <c r="E31" s="531"/>
      <c r="F31" s="484"/>
      <c r="G31" s="531"/>
      <c r="H31" s="531"/>
      <c r="I31" s="484"/>
      <c r="K31" s="520"/>
      <c r="L31" s="520"/>
      <c r="M31" s="520"/>
      <c r="N31" s="520"/>
    </row>
    <row r="32" spans="2:14" x14ac:dyDescent="0.25">
      <c r="B32" s="72" t="s">
        <v>289</v>
      </c>
      <c r="C32" s="533">
        <f t="shared" ref="C32:I32" si="0">SUM(C18:C31)</f>
        <v>18328</v>
      </c>
      <c r="D32" s="482">
        <f t="shared" si="0"/>
        <v>19.472999999999995</v>
      </c>
      <c r="E32" s="533">
        <f t="shared" si="0"/>
        <v>20296</v>
      </c>
      <c r="F32" s="482">
        <f t="shared" si="0"/>
        <v>20.238</v>
      </c>
      <c r="G32" s="533">
        <f t="shared" si="0"/>
        <v>21351</v>
      </c>
      <c r="H32" s="533">
        <f t="shared" si="0"/>
        <v>12685</v>
      </c>
      <c r="I32" s="536">
        <f t="shared" si="0"/>
        <v>18.600000000000001</v>
      </c>
      <c r="K32" s="835" t="str">
        <f>CONCATENATE("Impact On Keeping The Same Mill Rate As For ",I1-1,"")</f>
        <v>Impact On Keeping The Same Mill Rate As For 2012</v>
      </c>
      <c r="L32" s="836"/>
      <c r="M32" s="836"/>
      <c r="N32" s="837"/>
    </row>
    <row r="33" spans="2:14" x14ac:dyDescent="0.25">
      <c r="B33" s="274" t="s">
        <v>44</v>
      </c>
      <c r="C33" s="32">
        <f>transfer!C29</f>
        <v>0</v>
      </c>
      <c r="D33" s="14"/>
      <c r="E33" s="32">
        <f>transfer!D29</f>
        <v>0</v>
      </c>
      <c r="F33" s="61"/>
      <c r="G33" s="32">
        <f>transfer!E29</f>
        <v>0</v>
      </c>
      <c r="H33" s="14"/>
      <c r="I33" s="14"/>
      <c r="K33" s="513"/>
      <c r="L33" s="507"/>
      <c r="M33" s="507"/>
      <c r="N33" s="514"/>
    </row>
    <row r="34" spans="2:14" ht="16.5" thickBot="1" x14ac:dyDescent="0.3">
      <c r="B34" s="274" t="s">
        <v>45</v>
      </c>
      <c r="C34" s="534">
        <f>C32-C33</f>
        <v>18328</v>
      </c>
      <c r="D34" s="14"/>
      <c r="E34" s="534">
        <f>E32-E33</f>
        <v>20296</v>
      </c>
      <c r="F34" s="14"/>
      <c r="G34" s="534">
        <f>G32-G33</f>
        <v>21351</v>
      </c>
      <c r="H34" s="14"/>
      <c r="I34" s="14"/>
      <c r="K34" s="513" t="str">
        <f>CONCATENATE("",I1," Ad Valorem Tax Revenue:")</f>
        <v>2013 Ad Valorem Tax Revenue:</v>
      </c>
      <c r="L34" s="507"/>
      <c r="M34" s="507"/>
      <c r="N34" s="508">
        <f>H32</f>
        <v>12685</v>
      </c>
    </row>
    <row r="35" spans="2:14" ht="16.5" thickTop="1" x14ac:dyDescent="0.25">
      <c r="B35" s="274" t="s">
        <v>46</v>
      </c>
      <c r="C35" s="535">
        <f>inputPrYr!E54</f>
        <v>9790</v>
      </c>
      <c r="D35" s="61"/>
      <c r="E35" s="535">
        <f>inputPrYr!E26</f>
        <v>12685</v>
      </c>
      <c r="F35" s="14"/>
      <c r="G35" s="526" t="s">
        <v>290</v>
      </c>
      <c r="H35" s="14"/>
      <c r="I35" s="14"/>
      <c r="K35" s="513" t="str">
        <f>CONCATENATE("",I1-1," Ad Valorem Tax Revenue:")</f>
        <v>2012 Ad Valorem Tax Revenue:</v>
      </c>
      <c r="L35" s="507"/>
      <c r="M35" s="507"/>
      <c r="N35" s="521">
        <f>ROUND(G37*N27/1000,0)</f>
        <v>13802</v>
      </c>
    </row>
    <row r="36" spans="2:14" x14ac:dyDescent="0.25">
      <c r="B36" s="274" t="s">
        <v>47</v>
      </c>
      <c r="C36" s="55"/>
      <c r="D36" s="61"/>
      <c r="E36" s="55"/>
      <c r="F36" s="61"/>
      <c r="G36" s="14"/>
      <c r="H36" s="14"/>
      <c r="I36" s="14"/>
      <c r="K36" s="518" t="s">
        <v>718</v>
      </c>
      <c r="L36" s="519"/>
      <c r="M36" s="519"/>
      <c r="N36" s="511">
        <f>N34-N35</f>
        <v>-1117</v>
      </c>
    </row>
    <row r="37" spans="2:14" x14ac:dyDescent="0.25">
      <c r="B37" s="274" t="s">
        <v>48</v>
      </c>
      <c r="C37" s="32">
        <f>inputPrYr!E55</f>
        <v>502770</v>
      </c>
      <c r="D37" s="14"/>
      <c r="E37" s="32">
        <f>inputOth!E29</f>
        <v>628850</v>
      </c>
      <c r="F37" s="14"/>
      <c r="G37" s="32">
        <f>inputOth!E7</f>
        <v>682005</v>
      </c>
      <c r="H37" s="14"/>
      <c r="I37" s="14"/>
      <c r="K37" s="512"/>
      <c r="L37" s="512"/>
      <c r="M37" s="512"/>
      <c r="N37" s="520"/>
    </row>
    <row r="38" spans="2:14" x14ac:dyDescent="0.25">
      <c r="B38" s="22" t="s">
        <v>49</v>
      </c>
      <c r="C38" s="14"/>
      <c r="D38" s="14"/>
      <c r="E38" s="14"/>
      <c r="F38" s="14"/>
      <c r="G38" s="14"/>
      <c r="H38" s="14"/>
      <c r="I38" s="14"/>
      <c r="K38" s="835" t="s">
        <v>719</v>
      </c>
      <c r="L38" s="838"/>
      <c r="M38" s="838"/>
      <c r="N38" s="839"/>
    </row>
    <row r="39" spans="2:14" x14ac:dyDescent="0.25">
      <c r="B39" s="22" t="s">
        <v>50</v>
      </c>
      <c r="C39" s="160">
        <f>I1-3</f>
        <v>2010</v>
      </c>
      <c r="D39" s="14"/>
      <c r="E39" s="160">
        <f>I1-2</f>
        <v>2011</v>
      </c>
      <c r="F39" s="14"/>
      <c r="G39" s="160">
        <f>I1-1</f>
        <v>2012</v>
      </c>
      <c r="H39" s="14"/>
      <c r="I39" s="14"/>
      <c r="K39" s="513"/>
      <c r="L39" s="507"/>
      <c r="M39" s="507"/>
      <c r="N39" s="514"/>
    </row>
    <row r="40" spans="2:14" x14ac:dyDescent="0.25">
      <c r="B40" s="22" t="s">
        <v>51</v>
      </c>
      <c r="C40" s="161">
        <f>inputPrYr!D59</f>
        <v>0</v>
      </c>
      <c r="D40" s="59"/>
      <c r="E40" s="161">
        <f>inputPrYr!E59</f>
        <v>0</v>
      </c>
      <c r="F40" s="59"/>
      <c r="G40" s="161">
        <f>'debt-lease'!F11</f>
        <v>0</v>
      </c>
      <c r="H40" s="14"/>
      <c r="I40" s="14"/>
      <c r="K40" s="513" t="str">
        <f>CONCATENATE("Current ",I1," Estimated Mill Rate:")</f>
        <v>Current 2013 Estimated Mill Rate:</v>
      </c>
      <c r="L40" s="507"/>
      <c r="M40" s="507"/>
      <c r="N40" s="515">
        <f>I32</f>
        <v>18.600000000000001</v>
      </c>
    </row>
    <row r="41" spans="2:14" x14ac:dyDescent="0.25">
      <c r="B41" s="22" t="s">
        <v>21</v>
      </c>
      <c r="C41" s="161">
        <f>inputPrYr!D60</f>
        <v>0</v>
      </c>
      <c r="D41" s="59"/>
      <c r="E41" s="161">
        <f>inputPrYr!E60</f>
        <v>0</v>
      </c>
      <c r="F41" s="59"/>
      <c r="G41" s="161">
        <f>'debt-lease'!F15</f>
        <v>0</v>
      </c>
      <c r="H41" s="14"/>
      <c r="I41" s="14"/>
      <c r="K41" s="513" t="str">
        <f>CONCATENATE("Desired ",I1," Mill Rate:")</f>
        <v>Desired 2013 Mill Rate:</v>
      </c>
      <c r="L41" s="507"/>
      <c r="M41" s="507"/>
      <c r="N41" s="522">
        <v>0</v>
      </c>
    </row>
    <row r="42" spans="2:14" x14ac:dyDescent="0.25">
      <c r="B42" s="22" t="s">
        <v>745</v>
      </c>
      <c r="C42" s="161">
        <f>inputPrYr!D61</f>
        <v>0</v>
      </c>
      <c r="D42" s="59"/>
      <c r="E42" s="161">
        <f>inputPrYr!E61</f>
        <v>0</v>
      </c>
      <c r="F42" s="59"/>
      <c r="G42" s="161">
        <f>'debt-lease'!G36</f>
        <v>0</v>
      </c>
      <c r="H42" s="14"/>
      <c r="I42" s="14"/>
      <c r="K42" s="513" t="str">
        <f>CONCATENATE("",I1," Ad Valorem Tax:")</f>
        <v>2013 Ad Valorem Tax:</v>
      </c>
      <c r="L42" s="507"/>
      <c r="M42" s="507"/>
      <c r="N42" s="521">
        <f>ROUND(G37*N41/1000,0)</f>
        <v>0</v>
      </c>
    </row>
    <row r="43" spans="2:14" ht="16.5" thickBot="1" x14ac:dyDescent="0.3">
      <c r="B43" s="22" t="s">
        <v>52</v>
      </c>
      <c r="C43" s="162">
        <f>SUM(C40:C42)</f>
        <v>0</v>
      </c>
      <c r="D43" s="59"/>
      <c r="E43" s="162">
        <f>SUM(E40:E42)</f>
        <v>0</v>
      </c>
      <c r="F43" s="59"/>
      <c r="G43" s="162">
        <f>SUM(G40:G42)</f>
        <v>0</v>
      </c>
      <c r="H43" s="14"/>
      <c r="I43" s="14"/>
      <c r="K43" s="518" t="str">
        <f>CONCATENATE("",I1," Tax Levy Fund Exp. Changed By:")</f>
        <v>2013 Tax Levy Fund Exp. Changed By:</v>
      </c>
      <c r="L43" s="519"/>
      <c r="M43" s="519"/>
      <c r="N43" s="511">
        <f>IF(N41=0,0,(N42-H32))</f>
        <v>0</v>
      </c>
    </row>
    <row r="44" spans="2:14" ht="16.5" thickTop="1" x14ac:dyDescent="0.25">
      <c r="B44" s="22" t="s">
        <v>53</v>
      </c>
      <c r="C44" s="14"/>
      <c r="D44" s="14"/>
      <c r="E44" s="14"/>
      <c r="F44" s="14"/>
      <c r="G44" s="14"/>
      <c r="H44" s="14"/>
      <c r="I44" s="14"/>
    </row>
    <row r="45" spans="2:14" x14ac:dyDescent="0.25">
      <c r="B45" s="14"/>
      <c r="C45" s="14"/>
      <c r="D45" s="14"/>
      <c r="E45" s="14"/>
      <c r="F45" s="14"/>
      <c r="G45" s="14"/>
      <c r="H45" s="14"/>
      <c r="I45" s="14"/>
    </row>
    <row r="46" spans="2:14" x14ac:dyDescent="0.25">
      <c r="B46" s="834">
        <f>inputBudSum!B4</f>
        <v>0</v>
      </c>
      <c r="C46" s="834"/>
      <c r="D46" s="14"/>
      <c r="E46" s="14"/>
      <c r="F46" s="14"/>
      <c r="G46" s="14"/>
      <c r="H46" s="14"/>
      <c r="I46" s="14"/>
    </row>
    <row r="47" spans="2:14" x14ac:dyDescent="0.25">
      <c r="B47" s="832">
        <f>inputBudSum!B6</f>
        <v>0</v>
      </c>
      <c r="C47" s="833"/>
      <c r="D47" s="14"/>
      <c r="E47" s="14"/>
      <c r="F47" s="14"/>
      <c r="G47" s="14"/>
      <c r="H47" s="14"/>
      <c r="I47" s="14"/>
    </row>
    <row r="48" spans="2:14" x14ac:dyDescent="0.25">
      <c r="B48" s="14"/>
      <c r="C48" s="14"/>
      <c r="D48" s="14"/>
      <c r="E48" s="14"/>
      <c r="F48" s="14"/>
      <c r="G48" s="14"/>
      <c r="H48" s="14"/>
      <c r="I48" s="14"/>
    </row>
    <row r="49" spans="2:9" x14ac:dyDescent="0.25">
      <c r="B49" s="14"/>
      <c r="C49" s="52" t="s">
        <v>9</v>
      </c>
      <c r="D49" s="81"/>
      <c r="E49" s="14"/>
      <c r="F49" s="14"/>
      <c r="G49" s="14"/>
      <c r="H49" s="14"/>
      <c r="I49" s="14"/>
    </row>
    <row r="50" spans="2:9" x14ac:dyDescent="0.25">
      <c r="B50" s="80"/>
      <c r="C50" s="80"/>
      <c r="D50" s="80"/>
    </row>
    <row r="52" spans="2:9" x14ac:dyDescent="0.25">
      <c r="B52" s="80"/>
      <c r="C52" s="80"/>
      <c r="D52" s="80"/>
      <c r="E52" s="80"/>
      <c r="F52" s="80"/>
      <c r="G52" s="80"/>
      <c r="H52" s="80"/>
    </row>
    <row r="53" spans="2:9" x14ac:dyDescent="0.25">
      <c r="I53" s="80"/>
    </row>
    <row r="74" spans="2:7" x14ac:dyDescent="0.25">
      <c r="B74" s="80"/>
      <c r="C74" s="80"/>
      <c r="D74" s="80"/>
      <c r="E74" s="80"/>
      <c r="F74" s="80"/>
      <c r="G74" s="80"/>
    </row>
    <row r="81" spans="2:9" x14ac:dyDescent="0.25">
      <c r="B81" s="80"/>
      <c r="C81" s="80"/>
      <c r="D81" s="80"/>
      <c r="E81" s="80"/>
      <c r="F81" s="80"/>
      <c r="G81" s="80"/>
      <c r="H81" s="80"/>
    </row>
    <row r="82" spans="2:9" x14ac:dyDescent="0.25">
      <c r="I82" s="80"/>
    </row>
    <row r="87" spans="2:9" x14ac:dyDescent="0.25">
      <c r="B87" s="80"/>
      <c r="C87" s="80"/>
      <c r="D87" s="80"/>
      <c r="E87" s="80"/>
      <c r="F87" s="80"/>
      <c r="G87" s="80"/>
      <c r="H87" s="80"/>
    </row>
    <row r="88" spans="2:9" x14ac:dyDescent="0.25">
      <c r="I88" s="80"/>
    </row>
    <row r="108" spans="2:8" x14ac:dyDescent="0.25">
      <c r="B108" s="80"/>
      <c r="C108" s="80"/>
      <c r="D108" s="80"/>
      <c r="E108" s="80"/>
      <c r="F108" s="80"/>
      <c r="G108" s="80"/>
      <c r="H108" s="80"/>
    </row>
  </sheetData>
  <sheetProtection sheet="1"/>
  <mergeCells count="12">
    <mergeCell ref="B2:I2"/>
    <mergeCell ref="B47:C47"/>
    <mergeCell ref="B46:C46"/>
    <mergeCell ref="K32:N32"/>
    <mergeCell ref="K38:N38"/>
    <mergeCell ref="K21:N21"/>
    <mergeCell ref="K25:N25"/>
    <mergeCell ref="B4:I4"/>
    <mergeCell ref="H15:H17"/>
    <mergeCell ref="B7:I7"/>
    <mergeCell ref="B6:I6"/>
    <mergeCell ref="B5:I5"/>
  </mergeCells>
  <phoneticPr fontId="0" type="noConversion"/>
  <pageMargins left="0.9" right="0.9" top="0.96" bottom="0.5" header="0.41" footer="0.3"/>
  <pageSetup scale="67" orientation="portrait" blackAndWhite="1" horizontalDpi="1200" verticalDpi="1200" r:id="rId1"/>
  <headerFooter alignWithMargins="0">
    <oddHeader xml:space="preserve">&amp;RState of Kansas
Township
</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9"/>
  <sheetViews>
    <sheetView workbookViewId="0">
      <selection activeCell="A30" sqref="A30"/>
    </sheetView>
  </sheetViews>
  <sheetFormatPr defaultRowHeight="15.75" x14ac:dyDescent="0.25"/>
  <cols>
    <col min="1" max="1" width="10.59765625" style="12" customWidth="1"/>
    <col min="2" max="2" width="13.69921875" style="12" customWidth="1"/>
    <col min="3" max="5" width="12.69921875" style="12" customWidth="1"/>
    <col min="6" max="16384" width="8.796875" style="12"/>
  </cols>
  <sheetData>
    <row r="1" spans="1:6" x14ac:dyDescent="0.25">
      <c r="A1" s="13" t="str">
        <f>inputPrYr!D2</f>
        <v>Liberty Township</v>
      </c>
      <c r="B1" s="14"/>
      <c r="C1" s="14"/>
      <c r="D1" s="14"/>
      <c r="E1" s="14"/>
      <c r="F1" s="14">
        <f>inputPrYr!D5</f>
        <v>2013</v>
      </c>
    </row>
    <row r="2" spans="1:6" x14ac:dyDescent="0.25">
      <c r="A2" s="14"/>
      <c r="B2" s="14"/>
      <c r="C2" s="14"/>
      <c r="D2" s="14"/>
      <c r="E2" s="14"/>
      <c r="F2" s="14"/>
    </row>
    <row r="3" spans="1:6" x14ac:dyDescent="0.25">
      <c r="A3" s="14"/>
      <c r="B3" s="768" t="str">
        <f>CONCATENATE("",F1," Neighborhood Revitalization Rebate")</f>
        <v>2013 Neighborhood Revitalization Rebate</v>
      </c>
      <c r="C3" s="776"/>
      <c r="D3" s="776"/>
      <c r="E3" s="776"/>
      <c r="F3" s="14"/>
    </row>
    <row r="4" spans="1:6" x14ac:dyDescent="0.25">
      <c r="A4" s="14"/>
      <c r="B4" s="14"/>
      <c r="C4" s="14"/>
      <c r="D4" s="14"/>
      <c r="E4" s="14"/>
      <c r="F4" s="14"/>
    </row>
    <row r="5" spans="1:6" ht="51" customHeight="1" x14ac:dyDescent="0.25">
      <c r="A5" s="14"/>
      <c r="B5" s="126" t="str">
        <f>CONCATENATE("Budgeted Funds                            for ",F1,"")</f>
        <v>Budgeted Funds                            for 2013</v>
      </c>
      <c r="C5" s="126" t="str">
        <f>CONCATENATE("",F1-1," Ad Valorem before Rebate**")</f>
        <v>2012 Ad Valorem before Rebate**</v>
      </c>
      <c r="D5" s="127" t="str">
        <f>CONCATENATE("",F1-1," Mil Rate before Rebate")</f>
        <v>2012 Mil Rate before Rebate</v>
      </c>
      <c r="E5" s="128" t="str">
        <f>CONCATENATE("Estimate ",F1," NR Rebate")</f>
        <v>Estimate 2013 NR Rebate</v>
      </c>
      <c r="F5" s="129"/>
    </row>
    <row r="6" spans="1:6" x14ac:dyDescent="0.25">
      <c r="A6" s="14"/>
      <c r="B6" s="72" t="str">
        <f>inputPrYr!B16</f>
        <v>General</v>
      </c>
      <c r="C6" s="130"/>
      <c r="D6" s="131" t="str">
        <f t="shared" ref="D6:D15" si="0">IF(C6&gt;0,C6/$D$21,"")</f>
        <v/>
      </c>
      <c r="E6" s="132" t="str">
        <f t="shared" ref="E6:E15" si="1">IF(C6&gt;0,ROUND(D6*$D$25,0),"")</f>
        <v/>
      </c>
      <c r="F6" s="129"/>
    </row>
    <row r="7" spans="1:6" x14ac:dyDescent="0.25">
      <c r="A7" s="14"/>
      <c r="B7" s="72" t="str">
        <f>inputPrYr!B17</f>
        <v>Debt Service</v>
      </c>
      <c r="C7" s="130"/>
      <c r="D7" s="131" t="str">
        <f t="shared" si="0"/>
        <v/>
      </c>
      <c r="E7" s="132" t="str">
        <f t="shared" si="1"/>
        <v/>
      </c>
      <c r="F7" s="129"/>
    </row>
    <row r="8" spans="1:6" x14ac:dyDescent="0.25">
      <c r="A8" s="14"/>
      <c r="B8" s="72" t="str">
        <f>inputPrYr!B18</f>
        <v>Library</v>
      </c>
      <c r="C8" s="130"/>
      <c r="D8" s="131" t="str">
        <f>IF(C8&gt;0,C8/$D$21,"")</f>
        <v/>
      </c>
      <c r="E8" s="132" t="str">
        <f>IF(C8&gt;0,ROUND(D8*$D$25,0),"")</f>
        <v/>
      </c>
      <c r="F8" s="129"/>
    </row>
    <row r="9" spans="1:6" x14ac:dyDescent="0.25">
      <c r="A9" s="14"/>
      <c r="B9" s="72" t="str">
        <f>inputPrYr!B19</f>
        <v>Road</v>
      </c>
      <c r="C9" s="130"/>
      <c r="D9" s="131" t="str">
        <f t="shared" si="0"/>
        <v/>
      </c>
      <c r="E9" s="132" t="str">
        <f t="shared" si="1"/>
        <v/>
      </c>
      <c r="F9" s="129"/>
    </row>
    <row r="10" spans="1:6" x14ac:dyDescent="0.25">
      <c r="A10" s="14"/>
      <c r="B10" s="72" t="str">
        <f>inputPrYr!B20</f>
        <v>Weed</v>
      </c>
      <c r="C10" s="130"/>
      <c r="D10" s="131" t="str">
        <f t="shared" si="0"/>
        <v/>
      </c>
      <c r="E10" s="132" t="str">
        <f t="shared" si="1"/>
        <v/>
      </c>
      <c r="F10" s="129"/>
    </row>
    <row r="11" spans="1:6" x14ac:dyDescent="0.25">
      <c r="A11" s="14"/>
      <c r="B11" s="72">
        <f>inputPrYr!B21</f>
        <v>0</v>
      </c>
      <c r="C11" s="130"/>
      <c r="D11" s="131" t="str">
        <f t="shared" si="0"/>
        <v/>
      </c>
      <c r="E11" s="132" t="str">
        <f t="shared" si="1"/>
        <v/>
      </c>
      <c r="F11" s="129"/>
    </row>
    <row r="12" spans="1:6" x14ac:dyDescent="0.25">
      <c r="A12" s="14"/>
      <c r="B12" s="72">
        <f>inputPrYr!B22</f>
        <v>0</v>
      </c>
      <c r="C12" s="130"/>
      <c r="D12" s="131" t="str">
        <f t="shared" si="0"/>
        <v/>
      </c>
      <c r="E12" s="132" t="str">
        <f t="shared" si="1"/>
        <v/>
      </c>
      <c r="F12" s="129"/>
    </row>
    <row r="13" spans="1:6" x14ac:dyDescent="0.25">
      <c r="A13" s="14"/>
      <c r="B13" s="72">
        <f>inputPrYr!B23</f>
        <v>0</v>
      </c>
      <c r="C13" s="133"/>
      <c r="D13" s="131" t="str">
        <f t="shared" si="0"/>
        <v/>
      </c>
      <c r="E13" s="132" t="str">
        <f t="shared" si="1"/>
        <v/>
      </c>
      <c r="F13" s="129"/>
    </row>
    <row r="14" spans="1:6" x14ac:dyDescent="0.25">
      <c r="A14" s="14"/>
      <c r="B14" s="72">
        <f>inputPrYr!B24</f>
        <v>0</v>
      </c>
      <c r="C14" s="133"/>
      <c r="D14" s="131" t="str">
        <f t="shared" si="0"/>
        <v/>
      </c>
      <c r="E14" s="132" t="str">
        <f t="shared" si="1"/>
        <v/>
      </c>
      <c r="F14" s="129"/>
    </row>
    <row r="15" spans="1:6" x14ac:dyDescent="0.25">
      <c r="A15" s="14"/>
      <c r="B15" s="72">
        <f>inputPrYr!B25</f>
        <v>0</v>
      </c>
      <c r="C15" s="133"/>
      <c r="D15" s="131" t="str">
        <f t="shared" si="0"/>
        <v/>
      </c>
      <c r="E15" s="132" t="str">
        <f t="shared" si="1"/>
        <v/>
      </c>
      <c r="F15" s="129"/>
    </row>
    <row r="16" spans="1:6" ht="16.5" thickBot="1" x14ac:dyDescent="0.3">
      <c r="A16" s="14"/>
      <c r="B16" s="73" t="s">
        <v>212</v>
      </c>
      <c r="C16" s="134">
        <f>SUM(C6:C15)</f>
        <v>0</v>
      </c>
      <c r="D16" s="135">
        <f>SUM(D6:D15)</f>
        <v>0</v>
      </c>
      <c r="E16" s="134">
        <f>SUM(E6:E15)</f>
        <v>0</v>
      </c>
      <c r="F16" s="129"/>
    </row>
    <row r="17" spans="1:6" ht="16.5" thickTop="1" x14ac:dyDescent="0.25">
      <c r="A17" s="14"/>
      <c r="B17" s="14"/>
      <c r="C17" s="14"/>
      <c r="D17" s="14"/>
      <c r="E17" s="14"/>
      <c r="F17" s="129"/>
    </row>
    <row r="18" spans="1:6" x14ac:dyDescent="0.25">
      <c r="A18" s="14"/>
      <c r="B18" s="14"/>
      <c r="C18" s="14"/>
      <c r="D18" s="14"/>
      <c r="E18" s="14"/>
      <c r="F18" s="129"/>
    </row>
    <row r="19" spans="1:6" x14ac:dyDescent="0.25">
      <c r="A19" s="847" t="str">
        <f>CONCATENATE("",F1-1," July 1 Valuation:")</f>
        <v>2012 July 1 Valuation:</v>
      </c>
      <c r="B19" s="846"/>
      <c r="C19" s="847"/>
      <c r="D19" s="136">
        <f>inputOth!E7</f>
        <v>682005</v>
      </c>
      <c r="E19" s="14"/>
      <c r="F19" s="129"/>
    </row>
    <row r="20" spans="1:6" x14ac:dyDescent="0.25">
      <c r="A20" s="14"/>
      <c r="B20" s="14"/>
      <c r="C20" s="14"/>
      <c r="D20" s="14"/>
      <c r="E20" s="14"/>
      <c r="F20" s="129"/>
    </row>
    <row r="21" spans="1:6" x14ac:dyDescent="0.25">
      <c r="A21" s="14"/>
      <c r="B21" s="847" t="s">
        <v>366</v>
      </c>
      <c r="C21" s="847"/>
      <c r="D21" s="137">
        <f>IF(D19&gt;0,(D19*0.001),"")</f>
        <v>682.005</v>
      </c>
      <c r="E21" s="14"/>
      <c r="F21" s="129"/>
    </row>
    <row r="22" spans="1:6" x14ac:dyDescent="0.25">
      <c r="A22" s="14"/>
      <c r="B22" s="48"/>
      <c r="C22" s="48"/>
      <c r="D22" s="138"/>
      <c r="E22" s="14"/>
      <c r="F22" s="129"/>
    </row>
    <row r="23" spans="1:6" x14ac:dyDescent="0.25">
      <c r="A23" s="845" t="s">
        <v>368</v>
      </c>
      <c r="B23" s="782"/>
      <c r="C23" s="782"/>
      <c r="D23" s="139">
        <f>inputOth!E13</f>
        <v>0</v>
      </c>
      <c r="E23" s="140"/>
      <c r="F23" s="140"/>
    </row>
    <row r="24" spans="1:6" x14ac:dyDescent="0.25">
      <c r="A24" s="140"/>
      <c r="B24" s="140"/>
      <c r="C24" s="140"/>
      <c r="D24" s="141"/>
      <c r="E24" s="140"/>
      <c r="F24" s="140"/>
    </row>
    <row r="25" spans="1:6" x14ac:dyDescent="0.25">
      <c r="A25" s="140"/>
      <c r="B25" s="845" t="s">
        <v>369</v>
      </c>
      <c r="C25" s="846"/>
      <c r="D25" s="142" t="str">
        <f>IF(D23&gt;0,(D23*0.001),"")</f>
        <v/>
      </c>
      <c r="E25" s="140"/>
      <c r="F25" s="140"/>
    </row>
    <row r="26" spans="1:6" x14ac:dyDescent="0.25">
      <c r="A26" s="140"/>
      <c r="B26" s="140"/>
      <c r="C26" s="140"/>
      <c r="D26" s="140"/>
      <c r="E26" s="140"/>
      <c r="F26" s="140"/>
    </row>
    <row r="27" spans="1:6" x14ac:dyDescent="0.25">
      <c r="A27" s="140"/>
      <c r="B27" s="140"/>
      <c r="C27" s="140"/>
      <c r="D27" s="140"/>
      <c r="E27" s="140"/>
      <c r="F27" s="140"/>
    </row>
    <row r="28" spans="1:6" x14ac:dyDescent="0.25">
      <c r="A28" s="140"/>
      <c r="B28" s="140"/>
      <c r="C28" s="140"/>
      <c r="D28" s="140"/>
      <c r="E28" s="140"/>
      <c r="F28" s="140"/>
    </row>
    <row r="29" spans="1:6" x14ac:dyDescent="0.25">
      <c r="A29" s="375" t="str">
        <f>CONCATENATE("**This information comes from the ",F1," Budget Summary page.  See instructions tab #12 for completing")</f>
        <v>**This information comes from the 2013 Budget Summary page.  See instructions tab #12 for completing</v>
      </c>
      <c r="B29" s="140"/>
      <c r="C29" s="140"/>
      <c r="D29" s="140"/>
      <c r="E29" s="140"/>
      <c r="F29" s="140"/>
    </row>
    <row r="30" spans="1:6" x14ac:dyDescent="0.25">
      <c r="A30" s="375" t="s">
        <v>604</v>
      </c>
      <c r="B30" s="140"/>
      <c r="C30" s="140"/>
      <c r="D30" s="140"/>
      <c r="E30" s="140"/>
      <c r="F30" s="140"/>
    </row>
    <row r="31" spans="1:6" x14ac:dyDescent="0.25">
      <c r="A31" s="375"/>
      <c r="B31" s="140"/>
      <c r="C31" s="140"/>
      <c r="D31" s="140"/>
      <c r="E31" s="140"/>
      <c r="F31" s="140"/>
    </row>
    <row r="32" spans="1:6" x14ac:dyDescent="0.25">
      <c r="A32" s="375"/>
      <c r="B32" s="140"/>
      <c r="C32" s="140"/>
      <c r="D32" s="140"/>
      <c r="E32" s="140"/>
      <c r="F32" s="140"/>
    </row>
    <row r="33" spans="1:6" x14ac:dyDescent="0.25">
      <c r="A33" s="375"/>
      <c r="B33" s="140"/>
      <c r="C33" s="140"/>
      <c r="D33" s="140"/>
      <c r="E33" s="140"/>
      <c r="F33" s="140"/>
    </row>
    <row r="34" spans="1:6" x14ac:dyDescent="0.25">
      <c r="A34" s="375"/>
      <c r="B34" s="140"/>
      <c r="C34" s="140"/>
      <c r="D34" s="140"/>
      <c r="E34" s="140"/>
      <c r="F34" s="140"/>
    </row>
    <row r="35" spans="1:6" x14ac:dyDescent="0.25">
      <c r="A35" s="375"/>
      <c r="B35" s="140"/>
      <c r="C35" s="140"/>
      <c r="D35" s="140"/>
      <c r="E35" s="140"/>
      <c r="F35" s="140"/>
    </row>
    <row r="36" spans="1:6" x14ac:dyDescent="0.25">
      <c r="A36" s="375"/>
      <c r="B36" s="140"/>
      <c r="C36" s="140"/>
      <c r="D36" s="140"/>
      <c r="E36" s="140"/>
      <c r="F36" s="140"/>
    </row>
    <row r="37" spans="1:6" x14ac:dyDescent="0.25">
      <c r="A37" s="140"/>
      <c r="B37" s="140"/>
      <c r="C37" s="140"/>
      <c r="D37" s="140"/>
      <c r="E37" s="140"/>
      <c r="F37" s="140"/>
    </row>
    <row r="38" spans="1:6" x14ac:dyDescent="0.25">
      <c r="A38" s="140"/>
      <c r="B38" s="122" t="s">
        <v>9</v>
      </c>
      <c r="C38" s="65"/>
      <c r="D38" s="140"/>
      <c r="E38" s="140"/>
      <c r="F38" s="140"/>
    </row>
    <row r="39" spans="1:6" x14ac:dyDescent="0.25">
      <c r="A39" s="129"/>
      <c r="B39" s="14"/>
      <c r="C39" s="14"/>
      <c r="D39" s="143"/>
      <c r="E39" s="129"/>
      <c r="F39" s="129"/>
    </row>
  </sheetData>
  <sheetProtection sheet="1"/>
  <mergeCells count="5">
    <mergeCell ref="B25:C25"/>
    <mergeCell ref="B3:E3"/>
    <mergeCell ref="A19:C19"/>
    <mergeCell ref="B21:C21"/>
    <mergeCell ref="A23:C23"/>
  </mergeCells>
  <phoneticPr fontId="11" type="noConversion"/>
  <pageMargins left="0.75" right="0.75" top="1" bottom="1" header="0.5" footer="0.5"/>
  <pageSetup scale="98" orientation="portrait" blackAndWhite="1" r:id="rId1"/>
  <headerFooter alignWithMargins="0">
    <oddHeader>&amp;RState of Kansas
Township</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
  <sheetViews>
    <sheetView workbookViewId="0">
      <selection activeCell="D50" sqref="D50"/>
    </sheetView>
  </sheetViews>
  <sheetFormatPr defaultRowHeight="15.75" x14ac:dyDescent="0.25"/>
  <sheetData>
    <row r="1" spans="1:9" x14ac:dyDescent="0.25">
      <c r="A1" s="852" t="s">
        <v>129</v>
      </c>
      <c r="B1" s="852"/>
      <c r="C1" s="852"/>
      <c r="D1" s="852"/>
      <c r="E1" s="852"/>
      <c r="F1" s="852"/>
      <c r="G1" s="852"/>
    </row>
    <row r="2" spans="1:9" x14ac:dyDescent="0.25">
      <c r="A2" s="1"/>
    </row>
    <row r="3" spans="1:9" x14ac:dyDescent="0.25">
      <c r="A3" s="853" t="s">
        <v>130</v>
      </c>
      <c r="B3" s="853"/>
      <c r="C3" s="853"/>
      <c r="D3" s="853"/>
      <c r="E3" s="853"/>
      <c r="F3" s="853"/>
      <c r="G3" s="853"/>
    </row>
    <row r="4" spans="1:9" x14ac:dyDescent="0.25">
      <c r="A4" s="2"/>
    </row>
    <row r="5" spans="1:9" x14ac:dyDescent="0.25">
      <c r="A5" s="2"/>
    </row>
    <row r="6" spans="1:9" x14ac:dyDescent="0.25">
      <c r="A6" s="8" t="str">
        <f>CONCATENATE("A resolution expressing the property taxation policy of the Board of ",(inputPrYr!D2)," ")</f>
        <v xml:space="preserve">A resolution expressing the property taxation policy of the Board of Liberty Township </v>
      </c>
      <c r="I6" t="str">
        <f>CONCATENATE(I7)</f>
        <v/>
      </c>
    </row>
    <row r="7" spans="1:9" x14ac:dyDescent="0.25">
      <c r="A7" s="854" t="str">
        <f>CONCATENATE("   with respect to financing the ",inputPrYr!D5," annual budget for ",(inputPrYr!D2)," , ",(inputPrYr!D3)," , Kansas.")</f>
        <v xml:space="preserve">   with respect to financing the 2013 annual budget for Liberty Township , Osborne County , Kansas.</v>
      </c>
      <c r="B7" s="849"/>
      <c r="C7" s="849"/>
      <c r="D7" s="849"/>
      <c r="E7" s="849"/>
      <c r="F7" s="849"/>
      <c r="G7" s="849"/>
    </row>
    <row r="8" spans="1:9" x14ac:dyDescent="0.25">
      <c r="A8" s="849"/>
      <c r="B8" s="849"/>
      <c r="C8" s="849"/>
      <c r="D8" s="849"/>
      <c r="E8" s="849"/>
      <c r="F8" s="849"/>
      <c r="G8" s="849"/>
    </row>
    <row r="9" spans="1:9" x14ac:dyDescent="0.25">
      <c r="A9" s="1"/>
    </row>
    <row r="10" spans="1:9" x14ac:dyDescent="0.25">
      <c r="A10" s="9" t="s">
        <v>131</v>
      </c>
    </row>
    <row r="11" spans="1:9" x14ac:dyDescent="0.25">
      <c r="A11" s="7" t="str">
        <f>CONCATENATE("to finance the ",inputPrYr!D5," ",(inputPrYr!D2)," budget exceed the amount levied to finance the ",inputPrYr!D5-1,"")</f>
        <v>to finance the 2013 Liberty Township budget exceed the amount levied to finance the 2012</v>
      </c>
    </row>
    <row r="12" spans="1:9" x14ac:dyDescent="0.25">
      <c r="A12" s="850" t="str">
        <f>CONCATENATE((inputPrYr!D2)," Township budget, except with regard to revenue produced and attributable to the taxation of 1) new improvements to real property; 2) increased personal property valuation, other than increased")</f>
        <v>Liberty Township Township budget, except with regard to revenue produced and attributable to the taxation of 1) new improvements to real property; 2) increased personal property valuation, other than increased</v>
      </c>
      <c r="B12" s="849"/>
      <c r="C12" s="849"/>
      <c r="D12" s="849"/>
      <c r="E12" s="849"/>
      <c r="F12" s="849"/>
      <c r="G12" s="849"/>
    </row>
    <row r="13" spans="1:9" x14ac:dyDescent="0.25">
      <c r="A13" s="849"/>
      <c r="B13" s="849"/>
      <c r="C13" s="849"/>
      <c r="D13" s="849"/>
      <c r="E13" s="849"/>
      <c r="F13" s="849"/>
      <c r="G13" s="849"/>
    </row>
    <row r="14" spans="1:9" x14ac:dyDescent="0.25">
      <c r="A14" s="850" t="s">
        <v>136</v>
      </c>
      <c r="B14" s="849"/>
      <c r="C14" s="849"/>
      <c r="D14" s="849"/>
      <c r="E14" s="849"/>
      <c r="F14" s="849"/>
      <c r="G14" s="849"/>
    </row>
    <row r="15" spans="1:9" x14ac:dyDescent="0.25">
      <c r="A15" s="849"/>
      <c r="B15" s="849"/>
      <c r="C15" s="849"/>
      <c r="D15" s="849"/>
      <c r="E15" s="849"/>
      <c r="F15" s="849"/>
      <c r="G15" s="849"/>
    </row>
    <row r="16" spans="1:9" x14ac:dyDescent="0.25">
      <c r="A16" s="851"/>
      <c r="B16" s="851"/>
      <c r="C16" s="851"/>
      <c r="D16" s="851"/>
      <c r="E16" s="851"/>
      <c r="F16" s="851"/>
      <c r="G16" s="851"/>
    </row>
    <row r="17" spans="1:7" x14ac:dyDescent="0.25">
      <c r="A17" s="2"/>
    </row>
    <row r="18" spans="1:7" x14ac:dyDescent="0.25">
      <c r="A18" s="848" t="s">
        <v>132</v>
      </c>
      <c r="B18" s="849"/>
      <c r="C18" s="849"/>
      <c r="D18" s="849"/>
      <c r="E18" s="849"/>
      <c r="F18" s="849"/>
      <c r="G18" s="849"/>
    </row>
    <row r="19" spans="1:7" x14ac:dyDescent="0.25">
      <c r="A19" s="849"/>
      <c r="B19" s="849"/>
      <c r="C19" s="849"/>
      <c r="D19" s="849"/>
      <c r="E19" s="849"/>
      <c r="F19" s="849"/>
      <c r="G19" s="849"/>
    </row>
    <row r="20" spans="1:7" x14ac:dyDescent="0.25">
      <c r="A20" s="2"/>
    </row>
    <row r="21" spans="1:7" x14ac:dyDescent="0.25">
      <c r="A21" s="848" t="str">
        <f>CONCATENATE("Whereas, ",(inputPrYr!D2)," provides essential services to protect the safety and well being of the citizens of the township; and")</f>
        <v>Whereas, Liberty Township provides essential services to protect the safety and well being of the citizens of the township; and</v>
      </c>
      <c r="B21" s="849"/>
      <c r="C21" s="849"/>
      <c r="D21" s="849"/>
      <c r="E21" s="849"/>
      <c r="F21" s="849"/>
      <c r="G21" s="849"/>
    </row>
    <row r="22" spans="1:7" x14ac:dyDescent="0.25">
      <c r="A22" s="849"/>
      <c r="B22" s="849"/>
      <c r="C22" s="849"/>
      <c r="D22" s="849"/>
      <c r="E22" s="849"/>
      <c r="F22" s="849"/>
      <c r="G22" s="849"/>
    </row>
    <row r="23" spans="1:7" x14ac:dyDescent="0.25">
      <c r="A23" s="4"/>
    </row>
    <row r="24" spans="1:7" x14ac:dyDescent="0.25">
      <c r="A24" s="3" t="s">
        <v>133</v>
      </c>
    </row>
    <row r="25" spans="1:7" x14ac:dyDescent="0.25">
      <c r="A25" s="4"/>
    </row>
    <row r="26" spans="1:7" x14ac:dyDescent="0.25">
      <c r="A26" s="848" t="str">
        <f>CONCATENATE("NOW, THEREFORE, BE IT RESOLVED by the Board of ",(inputPrYr!D2)," of ",(inputPrYr!D3),", Kansas that is our desire to notify the public of increased property taxes to finance the ",inputPrYr!D5," ",(inputPrYr!D2),"  budget as defined above.")</f>
        <v>NOW, THEREFORE, BE IT RESOLVED by the Board of Liberty Township of Osborne County, Kansas that is our desire to notify the public of increased property taxes to finance the 2013 Liberty Township  budget as defined above.</v>
      </c>
      <c r="B26" s="849"/>
      <c r="C26" s="849"/>
      <c r="D26" s="849"/>
      <c r="E26" s="849"/>
      <c r="F26" s="849"/>
      <c r="G26" s="849"/>
    </row>
    <row r="27" spans="1:7" x14ac:dyDescent="0.25">
      <c r="A27" s="849"/>
      <c r="B27" s="849"/>
      <c r="C27" s="849"/>
      <c r="D27" s="849"/>
      <c r="E27" s="849"/>
      <c r="F27" s="849"/>
      <c r="G27" s="849"/>
    </row>
    <row r="28" spans="1:7" x14ac:dyDescent="0.25">
      <c r="A28" s="849"/>
      <c r="B28" s="849"/>
      <c r="C28" s="849"/>
      <c r="D28" s="849"/>
      <c r="E28" s="849"/>
      <c r="F28" s="849"/>
      <c r="G28" s="849"/>
    </row>
    <row r="29" spans="1:7" x14ac:dyDescent="0.25">
      <c r="A29" s="4"/>
    </row>
    <row r="30" spans="1:7" x14ac:dyDescent="0.25">
      <c r="A30" s="857" t="str">
        <f>CONCATENATE("Adopted this _________ day of ___________, ",inputPrYr!D5-1," by the ",(inputPrYr!D2)," Board, ",(inputPrYr!D3),", Kansas.")</f>
        <v>Adopted this _________ day of ___________, 2012 by the Liberty Township Board, Osborne County, Kansas.</v>
      </c>
      <c r="B30" s="849"/>
      <c r="C30" s="849"/>
      <c r="D30" s="849"/>
      <c r="E30" s="849"/>
      <c r="F30" s="849"/>
      <c r="G30" s="849"/>
    </row>
    <row r="31" spans="1:7" x14ac:dyDescent="0.25">
      <c r="A31" s="849"/>
      <c r="B31" s="849"/>
      <c r="C31" s="849"/>
      <c r="D31" s="849"/>
      <c r="E31" s="849"/>
      <c r="F31" s="849"/>
      <c r="G31" s="849"/>
    </row>
    <row r="32" spans="1:7" x14ac:dyDescent="0.25">
      <c r="A32" s="4"/>
    </row>
    <row r="33" spans="1:7" x14ac:dyDescent="0.25">
      <c r="D33" s="856" t="str">
        <f>CONCATENATE((inputPrYr!D2)," Board")</f>
        <v>Liberty Township Board</v>
      </c>
      <c r="E33" s="856"/>
      <c r="F33" s="856"/>
      <c r="G33" s="856"/>
    </row>
    <row r="35" spans="1:7" x14ac:dyDescent="0.25">
      <c r="D35" s="855" t="s">
        <v>134</v>
      </c>
      <c r="E35" s="855"/>
      <c r="F35" s="855"/>
      <c r="G35" s="855"/>
    </row>
    <row r="36" spans="1:7" x14ac:dyDescent="0.25">
      <c r="A36" s="5"/>
      <c r="D36" s="855" t="s">
        <v>138</v>
      </c>
      <c r="E36" s="855"/>
      <c r="F36" s="855"/>
      <c r="G36" s="855"/>
    </row>
    <row r="37" spans="1:7" x14ac:dyDescent="0.25">
      <c r="D37" s="855"/>
      <c r="E37" s="855"/>
      <c r="F37" s="855"/>
      <c r="G37" s="855"/>
    </row>
    <row r="38" spans="1:7" x14ac:dyDescent="0.25">
      <c r="D38" s="855" t="s">
        <v>134</v>
      </c>
      <c r="E38" s="855"/>
      <c r="F38" s="855"/>
      <c r="G38" s="855"/>
    </row>
    <row r="39" spans="1:7" x14ac:dyDescent="0.25">
      <c r="A39" s="4"/>
      <c r="D39" s="855" t="s">
        <v>139</v>
      </c>
      <c r="E39" s="855"/>
      <c r="F39" s="855"/>
      <c r="G39" s="855"/>
    </row>
    <row r="40" spans="1:7" x14ac:dyDescent="0.25">
      <c r="D40" s="855"/>
      <c r="E40" s="855"/>
      <c r="F40" s="855"/>
      <c r="G40" s="855"/>
    </row>
    <row r="41" spans="1:7" x14ac:dyDescent="0.25">
      <c r="D41" s="855" t="s">
        <v>137</v>
      </c>
      <c r="E41" s="855"/>
      <c r="F41" s="855"/>
      <c r="G41" s="855"/>
    </row>
    <row r="42" spans="1:7" x14ac:dyDescent="0.25">
      <c r="A42" s="4"/>
      <c r="D42" s="855" t="s">
        <v>140</v>
      </c>
      <c r="E42" s="855"/>
      <c r="F42" s="855"/>
      <c r="G42" s="855"/>
    </row>
    <row r="43" spans="1:7" x14ac:dyDescent="0.25">
      <c r="A43" s="6"/>
    </row>
    <row r="44" spans="1:7" x14ac:dyDescent="0.25">
      <c r="A44" s="6"/>
    </row>
    <row r="45" spans="1:7" x14ac:dyDescent="0.25">
      <c r="A45" s="6" t="s">
        <v>135</v>
      </c>
    </row>
    <row r="50" spans="3:4" x14ac:dyDescent="0.25">
      <c r="C50" s="10" t="s">
        <v>9</v>
      </c>
      <c r="D50" s="11"/>
    </row>
  </sheetData>
  <mergeCells count="18">
    <mergeCell ref="D42:G42"/>
    <mergeCell ref="D37:G37"/>
    <mergeCell ref="D38:G38"/>
    <mergeCell ref="D40:G40"/>
    <mergeCell ref="D41:G41"/>
    <mergeCell ref="D39:G39"/>
    <mergeCell ref="D35:G35"/>
    <mergeCell ref="A21:G22"/>
    <mergeCell ref="A26:G28"/>
    <mergeCell ref="D33:G33"/>
    <mergeCell ref="D36:G36"/>
    <mergeCell ref="A30:G31"/>
    <mergeCell ref="A18:G19"/>
    <mergeCell ref="A12:G13"/>
    <mergeCell ref="A14:G16"/>
    <mergeCell ref="A1:G1"/>
    <mergeCell ref="A3:G3"/>
    <mergeCell ref="A7:G8"/>
  </mergeCells>
  <phoneticPr fontId="11" type="noConversion"/>
  <pageMargins left="0.75" right="0.75" top="1" bottom="1" header="0.5" footer="0.5"/>
  <pageSetup scale="88" orientation="portrait" blackAndWhite="1"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L85"/>
  <sheetViews>
    <sheetView workbookViewId="0">
      <selection activeCell="B3" sqref="B3"/>
    </sheetView>
  </sheetViews>
  <sheetFormatPr defaultRowHeight="15.75" x14ac:dyDescent="0.25"/>
  <cols>
    <col min="1" max="1" width="64.19921875" customWidth="1"/>
  </cols>
  <sheetData>
    <row r="3" spans="1:12" x14ac:dyDescent="0.25">
      <c r="A3" s="353" t="s">
        <v>382</v>
      </c>
      <c r="B3" s="353"/>
      <c r="C3" s="353"/>
      <c r="D3" s="353"/>
      <c r="E3" s="353"/>
      <c r="F3" s="353"/>
      <c r="G3" s="353"/>
      <c r="H3" s="353"/>
      <c r="I3" s="353"/>
      <c r="J3" s="353"/>
      <c r="K3" s="353"/>
      <c r="L3" s="353"/>
    </row>
    <row r="5" spans="1:12" x14ac:dyDescent="0.25">
      <c r="A5" s="352" t="s">
        <v>383</v>
      </c>
    </row>
    <row r="6" spans="1:12" x14ac:dyDescent="0.25">
      <c r="A6" s="352" t="str">
        <f>CONCATENATE(inputPrYr!D5-2," 'total expenditures' exceed your ",inputPrYr!D5-2," 'budget authority.'")</f>
        <v>2011 'total expenditures' exceed your 2011 'budget authority.'</v>
      </c>
    </row>
    <row r="7" spans="1:12" x14ac:dyDescent="0.25">
      <c r="A7" s="352"/>
    </row>
    <row r="8" spans="1:12" x14ac:dyDescent="0.25">
      <c r="A8" s="352" t="s">
        <v>384</v>
      </c>
    </row>
    <row r="9" spans="1:12" x14ac:dyDescent="0.25">
      <c r="A9" s="352" t="s">
        <v>385</v>
      </c>
    </row>
    <row r="10" spans="1:12" x14ac:dyDescent="0.25">
      <c r="A10" s="352" t="s">
        <v>386</v>
      </c>
    </row>
    <row r="11" spans="1:12" x14ac:dyDescent="0.25">
      <c r="A11" s="352"/>
    </row>
    <row r="12" spans="1:12" x14ac:dyDescent="0.25">
      <c r="A12" s="352"/>
    </row>
    <row r="13" spans="1:12" x14ac:dyDescent="0.25">
      <c r="A13" s="351" t="s">
        <v>387</v>
      </c>
    </row>
    <row r="15" spans="1:12" x14ac:dyDescent="0.25">
      <c r="A15" s="352" t="s">
        <v>388</v>
      </c>
    </row>
    <row r="16" spans="1:12" x14ac:dyDescent="0.25">
      <c r="A16" s="352" t="str">
        <f>CONCATENATE("(i.e. an audit has not been completed, or the ",inputPrYr!D5," adopted")</f>
        <v>(i.e. an audit has not been completed, or the 2013 adopted</v>
      </c>
    </row>
    <row r="17" spans="1:1" x14ac:dyDescent="0.25">
      <c r="A17" s="352" t="s">
        <v>389</v>
      </c>
    </row>
    <row r="18" spans="1:1" x14ac:dyDescent="0.25">
      <c r="A18" s="352" t="s">
        <v>390</v>
      </c>
    </row>
    <row r="19" spans="1:1" x14ac:dyDescent="0.25">
      <c r="A19" s="352" t="s">
        <v>391</v>
      </c>
    </row>
    <row r="21" spans="1:1" x14ac:dyDescent="0.25">
      <c r="A21" s="351" t="s">
        <v>392</v>
      </c>
    </row>
    <row r="22" spans="1:1" x14ac:dyDescent="0.25">
      <c r="A22" s="351"/>
    </row>
    <row r="23" spans="1:1" x14ac:dyDescent="0.25">
      <c r="A23" s="352" t="s">
        <v>393</v>
      </c>
    </row>
    <row r="24" spans="1:1" x14ac:dyDescent="0.25">
      <c r="A24" s="352" t="s">
        <v>394</v>
      </c>
    </row>
    <row r="25" spans="1:1" x14ac:dyDescent="0.25">
      <c r="A25" s="352" t="str">
        <f>CONCATENATE("particular fund.  If your ",inputPrYr!D5-2," budget was amended, did you")</f>
        <v>particular fund.  If your 2011 budget was amended, did you</v>
      </c>
    </row>
    <row r="26" spans="1:1" x14ac:dyDescent="0.25">
      <c r="A26" s="352" t="s">
        <v>395</v>
      </c>
    </row>
    <row r="27" spans="1:1" x14ac:dyDescent="0.25">
      <c r="A27" s="352"/>
    </row>
    <row r="28" spans="1:1" x14ac:dyDescent="0.25">
      <c r="A28" s="352" t="str">
        <f>CONCATENATE("Next, look to see if any of your ",inputPrYr!D5-2," expenditures can be")</f>
        <v>Next, look to see if any of your 2011 expenditures can be</v>
      </c>
    </row>
    <row r="29" spans="1:1" x14ac:dyDescent="0.25">
      <c r="A29" s="352" t="s">
        <v>396</v>
      </c>
    </row>
    <row r="30" spans="1:1" x14ac:dyDescent="0.25">
      <c r="A30" s="352" t="s">
        <v>397</v>
      </c>
    </row>
    <row r="31" spans="1:1" x14ac:dyDescent="0.25">
      <c r="A31" s="352" t="s">
        <v>398</v>
      </c>
    </row>
    <row r="32" spans="1:1" x14ac:dyDescent="0.25">
      <c r="A32" s="352"/>
    </row>
    <row r="33" spans="1:1" x14ac:dyDescent="0.25">
      <c r="A33" s="352" t="str">
        <f>CONCATENATE("Additionally, do your ",inputPrYr!D5-2," receipts contain a reimbursement")</f>
        <v>Additionally, do your 2011 receipts contain a reimbursement</v>
      </c>
    </row>
    <row r="34" spans="1:1" x14ac:dyDescent="0.25">
      <c r="A34" s="352" t="s">
        <v>399</v>
      </c>
    </row>
    <row r="35" spans="1:1" x14ac:dyDescent="0.25">
      <c r="A35" s="352" t="s">
        <v>400</v>
      </c>
    </row>
    <row r="36" spans="1:1" x14ac:dyDescent="0.25">
      <c r="A36" s="352"/>
    </row>
    <row r="37" spans="1:1" x14ac:dyDescent="0.25">
      <c r="A37" s="352" t="s">
        <v>401</v>
      </c>
    </row>
    <row r="38" spans="1:1" x14ac:dyDescent="0.25">
      <c r="A38" s="352" t="s">
        <v>587</v>
      </c>
    </row>
    <row r="39" spans="1:1" x14ac:dyDescent="0.25">
      <c r="A39" s="352" t="s">
        <v>588</v>
      </c>
    </row>
    <row r="40" spans="1:1" x14ac:dyDescent="0.25">
      <c r="A40" s="352" t="s">
        <v>402</v>
      </c>
    </row>
    <row r="41" spans="1:1" x14ac:dyDescent="0.25">
      <c r="A41" s="352" t="s">
        <v>403</v>
      </c>
    </row>
    <row r="42" spans="1:1" x14ac:dyDescent="0.25">
      <c r="A42" s="352" t="s">
        <v>404</v>
      </c>
    </row>
    <row r="43" spans="1:1" x14ac:dyDescent="0.25">
      <c r="A43" s="352" t="s">
        <v>405</v>
      </c>
    </row>
    <row r="44" spans="1:1" x14ac:dyDescent="0.25">
      <c r="A44" s="352" t="s">
        <v>406</v>
      </c>
    </row>
    <row r="45" spans="1:1" x14ac:dyDescent="0.25">
      <c r="A45" s="352"/>
    </row>
    <row r="46" spans="1:1" x14ac:dyDescent="0.25">
      <c r="A46" s="352" t="s">
        <v>407</v>
      </c>
    </row>
    <row r="47" spans="1:1" x14ac:dyDescent="0.25">
      <c r="A47" s="352" t="s">
        <v>408</v>
      </c>
    </row>
    <row r="48" spans="1:1" x14ac:dyDescent="0.25">
      <c r="A48" s="352" t="s">
        <v>409</v>
      </c>
    </row>
    <row r="49" spans="1:1" x14ac:dyDescent="0.25">
      <c r="A49" s="352"/>
    </row>
    <row r="50" spans="1:1" x14ac:dyDescent="0.25">
      <c r="A50" s="352" t="s">
        <v>410</v>
      </c>
    </row>
    <row r="51" spans="1:1" x14ac:dyDescent="0.25">
      <c r="A51" s="352" t="s">
        <v>411</v>
      </c>
    </row>
    <row r="52" spans="1:1" x14ac:dyDescent="0.25">
      <c r="A52" s="352" t="s">
        <v>412</v>
      </c>
    </row>
    <row r="53" spans="1:1" x14ac:dyDescent="0.25">
      <c r="A53" s="352"/>
    </row>
    <row r="54" spans="1:1" x14ac:dyDescent="0.25">
      <c r="A54" s="351" t="s">
        <v>413</v>
      </c>
    </row>
    <row r="55" spans="1:1" x14ac:dyDescent="0.25">
      <c r="A55" s="352"/>
    </row>
    <row r="56" spans="1:1" x14ac:dyDescent="0.25">
      <c r="A56" s="352" t="s">
        <v>414</v>
      </c>
    </row>
    <row r="57" spans="1:1" x14ac:dyDescent="0.25">
      <c r="A57" s="352" t="s">
        <v>415</v>
      </c>
    </row>
    <row r="58" spans="1:1" x14ac:dyDescent="0.25">
      <c r="A58" s="352" t="s">
        <v>416</v>
      </c>
    </row>
    <row r="59" spans="1:1" x14ac:dyDescent="0.25">
      <c r="A59" s="352" t="s">
        <v>417</v>
      </c>
    </row>
    <row r="60" spans="1:1" x14ac:dyDescent="0.25">
      <c r="A60" s="352" t="s">
        <v>418</v>
      </c>
    </row>
    <row r="61" spans="1:1" x14ac:dyDescent="0.25">
      <c r="A61" s="352" t="s">
        <v>419</v>
      </c>
    </row>
    <row r="62" spans="1:1" x14ac:dyDescent="0.25">
      <c r="A62" s="352" t="s">
        <v>420</v>
      </c>
    </row>
    <row r="63" spans="1:1" x14ac:dyDescent="0.25">
      <c r="A63" s="352" t="s">
        <v>421</v>
      </c>
    </row>
    <row r="64" spans="1:1" x14ac:dyDescent="0.25">
      <c r="A64" s="352" t="s">
        <v>422</v>
      </c>
    </row>
    <row r="65" spans="1:1" x14ac:dyDescent="0.25">
      <c r="A65" s="352" t="s">
        <v>423</v>
      </c>
    </row>
    <row r="66" spans="1:1" x14ac:dyDescent="0.25">
      <c r="A66" s="352" t="s">
        <v>424</v>
      </c>
    </row>
    <row r="67" spans="1:1" x14ac:dyDescent="0.25">
      <c r="A67" s="352" t="s">
        <v>425</v>
      </c>
    </row>
    <row r="68" spans="1:1" x14ac:dyDescent="0.25">
      <c r="A68" s="352" t="s">
        <v>426</v>
      </c>
    </row>
    <row r="69" spans="1:1" x14ac:dyDescent="0.25">
      <c r="A69" s="352"/>
    </row>
    <row r="70" spans="1:1" x14ac:dyDescent="0.25">
      <c r="A70" s="352" t="s">
        <v>427</v>
      </c>
    </row>
    <row r="71" spans="1:1" x14ac:dyDescent="0.25">
      <c r="A71" s="352" t="s">
        <v>428</v>
      </c>
    </row>
    <row r="72" spans="1:1" x14ac:dyDescent="0.25">
      <c r="A72" s="352" t="s">
        <v>429</v>
      </c>
    </row>
    <row r="73" spans="1:1" x14ac:dyDescent="0.25">
      <c r="A73" s="352"/>
    </row>
    <row r="74" spans="1:1" x14ac:dyDescent="0.25">
      <c r="A74" s="351" t="str">
        <f>CONCATENATE("What if the ",inputPrYr!D5-2," financial records have been closed?")</f>
        <v>What if the 2011 financial records have been closed?</v>
      </c>
    </row>
    <row r="76" spans="1:1" x14ac:dyDescent="0.25">
      <c r="A76" s="352" t="s">
        <v>430</v>
      </c>
    </row>
    <row r="77" spans="1:1" x14ac:dyDescent="0.25">
      <c r="A77" s="352" t="str">
        <f>CONCATENATE("(i.e. an audit for ",inputPrYr!D5-2," has been completed, or the ",inputPrYr!D5)</f>
        <v>(i.e. an audit for 2011 has been completed, or the 2013</v>
      </c>
    </row>
    <row r="78" spans="1:1" x14ac:dyDescent="0.25">
      <c r="A78" s="352" t="s">
        <v>431</v>
      </c>
    </row>
    <row r="79" spans="1:1" x14ac:dyDescent="0.25">
      <c r="A79" s="352" t="s">
        <v>432</v>
      </c>
    </row>
    <row r="80" spans="1:1" x14ac:dyDescent="0.25">
      <c r="A80" s="352"/>
    </row>
    <row r="81" spans="1:1" x14ac:dyDescent="0.25">
      <c r="A81" s="352" t="s">
        <v>433</v>
      </c>
    </row>
    <row r="82" spans="1:1" x14ac:dyDescent="0.25">
      <c r="A82" s="352" t="s">
        <v>434</v>
      </c>
    </row>
    <row r="83" spans="1:1" x14ac:dyDescent="0.25">
      <c r="A83" s="352" t="s">
        <v>435</v>
      </c>
    </row>
    <row r="84" spans="1:1" x14ac:dyDescent="0.25">
      <c r="A84" s="352"/>
    </row>
    <row r="85" spans="1:1" x14ac:dyDescent="0.25">
      <c r="A85" s="352" t="s">
        <v>436</v>
      </c>
    </row>
  </sheetData>
  <sheetProtection sheet="1"/>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J109"/>
  <sheetViews>
    <sheetView workbookViewId="0">
      <selection activeCell="C6" sqref="C6"/>
    </sheetView>
  </sheetViews>
  <sheetFormatPr defaultRowHeight="15.75" x14ac:dyDescent="0.25"/>
  <cols>
    <col min="1" max="1" width="64.19921875" customWidth="1"/>
  </cols>
  <sheetData>
    <row r="3" spans="1:10" x14ac:dyDescent="0.25">
      <c r="A3" s="353" t="s">
        <v>437</v>
      </c>
      <c r="B3" s="353"/>
      <c r="C3" s="353"/>
      <c r="D3" s="353"/>
      <c r="E3" s="353"/>
      <c r="F3" s="353"/>
      <c r="G3" s="353"/>
      <c r="H3" s="350"/>
      <c r="I3" s="350"/>
      <c r="J3" s="350"/>
    </row>
    <row r="5" spans="1:10" x14ac:dyDescent="0.25">
      <c r="A5" s="352" t="s">
        <v>438</v>
      </c>
    </row>
    <row r="6" spans="1:10" x14ac:dyDescent="0.25">
      <c r="A6" t="str">
        <f>CONCATENATE(inputPrYr!D5-2," expenditures show that you finished the year with a ")</f>
        <v xml:space="preserve">2011 expenditures show that you finished the year with a </v>
      </c>
    </row>
    <row r="7" spans="1:10" x14ac:dyDescent="0.25">
      <c r="A7" t="s">
        <v>439</v>
      </c>
    </row>
    <row r="9" spans="1:10" x14ac:dyDescent="0.25">
      <c r="A9" t="s">
        <v>440</v>
      </c>
    </row>
    <row r="10" spans="1:10" x14ac:dyDescent="0.25">
      <c r="A10" t="s">
        <v>441</v>
      </c>
    </row>
    <row r="11" spans="1:10" x14ac:dyDescent="0.25">
      <c r="A11" t="s">
        <v>442</v>
      </c>
    </row>
    <row r="13" spans="1:10" x14ac:dyDescent="0.25">
      <c r="A13" s="351" t="s">
        <v>443</v>
      </c>
    </row>
    <row r="14" spans="1:10" x14ac:dyDescent="0.25">
      <c r="A14" s="351"/>
    </row>
    <row r="15" spans="1:10" x14ac:dyDescent="0.25">
      <c r="A15" s="352" t="s">
        <v>444</v>
      </c>
    </row>
    <row r="16" spans="1:10" x14ac:dyDescent="0.25">
      <c r="A16" s="352" t="s">
        <v>445</v>
      </c>
    </row>
    <row r="17" spans="1:1" x14ac:dyDescent="0.25">
      <c r="A17" s="352" t="s">
        <v>446</v>
      </c>
    </row>
    <row r="18" spans="1:1" x14ac:dyDescent="0.25">
      <c r="A18" s="352"/>
    </row>
    <row r="19" spans="1:1" x14ac:dyDescent="0.25">
      <c r="A19" s="351" t="s">
        <v>447</v>
      </c>
    </row>
    <row r="20" spans="1:1" x14ac:dyDescent="0.25">
      <c r="A20" s="351"/>
    </row>
    <row r="21" spans="1:1" x14ac:dyDescent="0.25">
      <c r="A21" s="352" t="s">
        <v>448</v>
      </c>
    </row>
    <row r="22" spans="1:1" x14ac:dyDescent="0.25">
      <c r="A22" s="352" t="s">
        <v>449</v>
      </c>
    </row>
    <row r="23" spans="1:1" x14ac:dyDescent="0.25">
      <c r="A23" s="352" t="s">
        <v>450</v>
      </c>
    </row>
    <row r="24" spans="1:1" x14ac:dyDescent="0.25">
      <c r="A24" s="352"/>
    </row>
    <row r="25" spans="1:1" x14ac:dyDescent="0.25">
      <c r="A25" s="351" t="s">
        <v>451</v>
      </c>
    </row>
    <row r="26" spans="1:1" x14ac:dyDescent="0.25">
      <c r="A26" s="351"/>
    </row>
    <row r="27" spans="1:1" x14ac:dyDescent="0.25">
      <c r="A27" s="352" t="s">
        <v>452</v>
      </c>
    </row>
    <row r="28" spans="1:1" x14ac:dyDescent="0.25">
      <c r="A28" s="352" t="s">
        <v>453</v>
      </c>
    </row>
    <row r="29" spans="1:1" x14ac:dyDescent="0.25">
      <c r="A29" s="352" t="s">
        <v>454</v>
      </c>
    </row>
    <row r="30" spans="1:1" x14ac:dyDescent="0.25">
      <c r="A30" s="352"/>
    </row>
    <row r="31" spans="1:1" x14ac:dyDescent="0.25">
      <c r="A31" s="351" t="s">
        <v>455</v>
      </c>
    </row>
    <row r="32" spans="1:1" x14ac:dyDescent="0.25">
      <c r="A32" s="351"/>
    </row>
    <row r="33" spans="1:8" x14ac:dyDescent="0.25">
      <c r="A33" s="352" t="str">
        <f>CONCATENATE("If your financial records for ",inputPrYr!D5-2," are not closed")</f>
        <v>If your financial records for 2011 are not closed</v>
      </c>
      <c r="B33" s="352"/>
      <c r="C33" s="352"/>
      <c r="D33" s="352"/>
      <c r="E33" s="352"/>
      <c r="F33" s="352"/>
      <c r="G33" s="352"/>
      <c r="H33" s="352"/>
    </row>
    <row r="34" spans="1:8" x14ac:dyDescent="0.25">
      <c r="A34" s="352" t="str">
        <f>CONCATENATE("(i.e. an audit has not been completed, or the ",inputPrYr!D5," adopted ")</f>
        <v xml:space="preserve">(i.e. an audit has not been completed, or the 2013 adopted </v>
      </c>
      <c r="B34" s="352"/>
      <c r="C34" s="352"/>
      <c r="D34" s="352"/>
      <c r="E34" s="352"/>
      <c r="F34" s="352"/>
      <c r="G34" s="352"/>
      <c r="H34" s="352"/>
    </row>
    <row r="35" spans="1:8" x14ac:dyDescent="0.25">
      <c r="A35" s="352" t="s">
        <v>456</v>
      </c>
      <c r="B35" s="352"/>
      <c r="C35" s="352"/>
      <c r="D35" s="352"/>
      <c r="E35" s="352"/>
      <c r="F35" s="352"/>
      <c r="G35" s="352"/>
      <c r="H35" s="352"/>
    </row>
    <row r="36" spans="1:8" x14ac:dyDescent="0.25">
      <c r="A36" s="352" t="s">
        <v>457</v>
      </c>
      <c r="B36" s="352"/>
      <c r="C36" s="352"/>
      <c r="D36" s="352"/>
      <c r="E36" s="352"/>
      <c r="F36" s="352"/>
      <c r="G36" s="352"/>
      <c r="H36" s="352"/>
    </row>
    <row r="37" spans="1:8" x14ac:dyDescent="0.25">
      <c r="A37" s="352" t="s">
        <v>458</v>
      </c>
      <c r="B37" s="352"/>
      <c r="C37" s="352"/>
      <c r="D37" s="352"/>
      <c r="E37" s="352"/>
      <c r="F37" s="352"/>
      <c r="G37" s="352"/>
      <c r="H37" s="352"/>
    </row>
    <row r="38" spans="1:8" x14ac:dyDescent="0.25">
      <c r="A38" s="352" t="s">
        <v>459</v>
      </c>
      <c r="B38" s="352"/>
      <c r="C38" s="352"/>
      <c r="D38" s="352"/>
      <c r="E38" s="352"/>
      <c r="F38" s="352"/>
      <c r="G38" s="352"/>
      <c r="H38" s="352"/>
    </row>
    <row r="39" spans="1:8" x14ac:dyDescent="0.25">
      <c r="A39" s="352" t="s">
        <v>460</v>
      </c>
      <c r="B39" s="352"/>
      <c r="C39" s="352"/>
      <c r="D39" s="352"/>
      <c r="E39" s="352"/>
      <c r="F39" s="352"/>
      <c r="G39" s="352"/>
      <c r="H39" s="352"/>
    </row>
    <row r="40" spans="1:8" x14ac:dyDescent="0.25">
      <c r="A40" s="352"/>
      <c r="B40" s="352"/>
      <c r="C40" s="352"/>
      <c r="D40" s="352"/>
      <c r="E40" s="352"/>
      <c r="F40" s="352"/>
      <c r="G40" s="352"/>
      <c r="H40" s="352"/>
    </row>
    <row r="41" spans="1:8" x14ac:dyDescent="0.25">
      <c r="A41" s="352" t="s">
        <v>461</v>
      </c>
      <c r="B41" s="352"/>
      <c r="C41" s="352"/>
      <c r="D41" s="352"/>
      <c r="E41" s="352"/>
      <c r="F41" s="352"/>
      <c r="G41" s="352"/>
      <c r="H41" s="352"/>
    </row>
    <row r="42" spans="1:8" x14ac:dyDescent="0.25">
      <c r="A42" s="352" t="s">
        <v>462</v>
      </c>
      <c r="B42" s="352"/>
      <c r="C42" s="352"/>
      <c r="D42" s="352"/>
      <c r="E42" s="352"/>
      <c r="F42" s="352"/>
      <c r="G42" s="352"/>
      <c r="H42" s="352"/>
    </row>
    <row r="43" spans="1:8" x14ac:dyDescent="0.25">
      <c r="A43" s="352" t="s">
        <v>463</v>
      </c>
      <c r="B43" s="352"/>
      <c r="C43" s="352"/>
      <c r="D43" s="352"/>
      <c r="E43" s="352"/>
      <c r="F43" s="352"/>
      <c r="G43" s="352"/>
      <c r="H43" s="352"/>
    </row>
    <row r="44" spans="1:8" x14ac:dyDescent="0.25">
      <c r="A44" s="352" t="s">
        <v>464</v>
      </c>
      <c r="B44" s="352"/>
      <c r="C44" s="352"/>
      <c r="D44" s="352"/>
      <c r="E44" s="352"/>
      <c r="F44" s="352"/>
      <c r="G44" s="352"/>
      <c r="H44" s="352"/>
    </row>
    <row r="45" spans="1:8" x14ac:dyDescent="0.25">
      <c r="A45" s="352"/>
      <c r="B45" s="352"/>
      <c r="C45" s="352"/>
      <c r="D45" s="352"/>
      <c r="E45" s="352"/>
      <c r="F45" s="352"/>
      <c r="G45" s="352"/>
      <c r="H45" s="352"/>
    </row>
    <row r="46" spans="1:8" x14ac:dyDescent="0.25">
      <c r="A46" s="352" t="s">
        <v>465</v>
      </c>
      <c r="B46" s="352"/>
      <c r="C46" s="352"/>
      <c r="D46" s="352"/>
      <c r="E46" s="352"/>
      <c r="F46" s="352"/>
      <c r="G46" s="352"/>
      <c r="H46" s="352"/>
    </row>
    <row r="47" spans="1:8" x14ac:dyDescent="0.25">
      <c r="A47" s="352" t="s">
        <v>466</v>
      </c>
      <c r="B47" s="352"/>
      <c r="C47" s="352"/>
      <c r="D47" s="352"/>
      <c r="E47" s="352"/>
      <c r="F47" s="352"/>
      <c r="G47" s="352"/>
      <c r="H47" s="352"/>
    </row>
    <row r="48" spans="1:8" x14ac:dyDescent="0.25">
      <c r="A48" s="352" t="s">
        <v>467</v>
      </c>
      <c r="B48" s="352"/>
      <c r="C48" s="352"/>
      <c r="D48" s="352"/>
      <c r="E48" s="352"/>
      <c r="F48" s="352"/>
      <c r="G48" s="352"/>
      <c r="H48" s="352"/>
    </row>
    <row r="49" spans="1:8" x14ac:dyDescent="0.25">
      <c r="A49" s="352" t="s">
        <v>468</v>
      </c>
      <c r="B49" s="352"/>
      <c r="C49" s="352"/>
      <c r="D49" s="352"/>
      <c r="E49" s="352"/>
      <c r="F49" s="352"/>
      <c r="G49" s="352"/>
      <c r="H49" s="352"/>
    </row>
    <row r="50" spans="1:8" x14ac:dyDescent="0.25">
      <c r="A50" s="352" t="s">
        <v>469</v>
      </c>
      <c r="B50" s="352"/>
      <c r="C50" s="352"/>
      <c r="D50" s="352"/>
      <c r="E50" s="352"/>
      <c r="F50" s="352"/>
      <c r="G50" s="352"/>
      <c r="H50" s="352"/>
    </row>
    <row r="51" spans="1:8" x14ac:dyDescent="0.25">
      <c r="A51" s="352"/>
      <c r="B51" s="352"/>
      <c r="C51" s="352"/>
      <c r="D51" s="352"/>
      <c r="E51" s="352"/>
      <c r="F51" s="352"/>
      <c r="G51" s="352"/>
      <c r="H51" s="352"/>
    </row>
    <row r="52" spans="1:8" x14ac:dyDescent="0.25">
      <c r="A52" s="351" t="s">
        <v>470</v>
      </c>
      <c r="B52" s="351"/>
      <c r="C52" s="351"/>
      <c r="D52" s="351"/>
      <c r="E52" s="351"/>
      <c r="F52" s="351"/>
      <c r="G52" s="351"/>
      <c r="H52" s="352"/>
    </row>
    <row r="53" spans="1:8" x14ac:dyDescent="0.25">
      <c r="A53" s="351" t="s">
        <v>471</v>
      </c>
      <c r="B53" s="351"/>
      <c r="C53" s="351"/>
      <c r="D53" s="351"/>
      <c r="E53" s="351"/>
      <c r="F53" s="351"/>
      <c r="G53" s="351"/>
      <c r="H53" s="352"/>
    </row>
    <row r="54" spans="1:8" x14ac:dyDescent="0.25">
      <c r="A54" s="352"/>
      <c r="B54" s="352"/>
      <c r="C54" s="352"/>
      <c r="D54" s="352"/>
      <c r="E54" s="352"/>
      <c r="F54" s="352"/>
      <c r="G54" s="352"/>
      <c r="H54" s="352"/>
    </row>
    <row r="55" spans="1:8" x14ac:dyDescent="0.25">
      <c r="A55" s="352" t="s">
        <v>472</v>
      </c>
      <c r="B55" s="352"/>
      <c r="C55" s="352"/>
      <c r="D55" s="352"/>
      <c r="E55" s="352"/>
      <c r="F55" s="352"/>
      <c r="G55" s="352"/>
      <c r="H55" s="352"/>
    </row>
    <row r="56" spans="1:8" x14ac:dyDescent="0.25">
      <c r="A56" s="352" t="s">
        <v>473</v>
      </c>
      <c r="B56" s="352"/>
      <c r="C56" s="352"/>
      <c r="D56" s="352"/>
      <c r="E56" s="352"/>
      <c r="F56" s="352"/>
      <c r="G56" s="352"/>
      <c r="H56" s="352"/>
    </row>
    <row r="57" spans="1:8" x14ac:dyDescent="0.25">
      <c r="A57" s="352" t="s">
        <v>474</v>
      </c>
      <c r="B57" s="352"/>
      <c r="C57" s="352"/>
      <c r="D57" s="352"/>
      <c r="E57" s="352"/>
      <c r="F57" s="352"/>
      <c r="G57" s="352"/>
      <c r="H57" s="352"/>
    </row>
    <row r="58" spans="1:8" x14ac:dyDescent="0.25">
      <c r="A58" s="352" t="s">
        <v>475</v>
      </c>
      <c r="B58" s="352"/>
      <c r="C58" s="352"/>
      <c r="D58" s="352"/>
      <c r="E58" s="352"/>
      <c r="F58" s="352"/>
      <c r="G58" s="352"/>
      <c r="H58" s="352"/>
    </row>
    <row r="59" spans="1:8" x14ac:dyDescent="0.25">
      <c r="A59" s="352"/>
      <c r="B59" s="352"/>
      <c r="C59" s="352"/>
      <c r="D59" s="352"/>
      <c r="E59" s="352"/>
      <c r="F59" s="352"/>
      <c r="G59" s="352"/>
      <c r="H59" s="352"/>
    </row>
    <row r="60" spans="1:8" x14ac:dyDescent="0.25">
      <c r="A60" s="352" t="s">
        <v>476</v>
      </c>
      <c r="B60" s="352"/>
      <c r="C60" s="352"/>
      <c r="D60" s="352"/>
      <c r="E60" s="352"/>
      <c r="F60" s="352"/>
      <c r="G60" s="352"/>
      <c r="H60" s="352"/>
    </row>
    <row r="61" spans="1:8" x14ac:dyDescent="0.25">
      <c r="A61" s="352" t="s">
        <v>477</v>
      </c>
      <c r="B61" s="352"/>
      <c r="C61" s="352"/>
      <c r="D61" s="352"/>
      <c r="E61" s="352"/>
      <c r="F61" s="352"/>
      <c r="G61" s="352"/>
      <c r="H61" s="352"/>
    </row>
    <row r="62" spans="1:8" x14ac:dyDescent="0.25">
      <c r="A62" s="352" t="s">
        <v>478</v>
      </c>
      <c r="B62" s="352"/>
      <c r="C62" s="352"/>
      <c r="D62" s="352"/>
      <c r="E62" s="352"/>
      <c r="F62" s="352"/>
      <c r="G62" s="352"/>
      <c r="H62" s="352"/>
    </row>
    <row r="63" spans="1:8" x14ac:dyDescent="0.25">
      <c r="A63" s="352" t="s">
        <v>479</v>
      </c>
      <c r="B63" s="352"/>
      <c r="C63" s="352"/>
      <c r="D63" s="352"/>
      <c r="E63" s="352"/>
      <c r="F63" s="352"/>
      <c r="G63" s="352"/>
      <c r="H63" s="352"/>
    </row>
    <row r="64" spans="1:8" x14ac:dyDescent="0.25">
      <c r="A64" s="352" t="s">
        <v>480</v>
      </c>
      <c r="B64" s="352"/>
      <c r="C64" s="352"/>
      <c r="D64" s="352"/>
      <c r="E64" s="352"/>
      <c r="F64" s="352"/>
      <c r="G64" s="352"/>
      <c r="H64" s="352"/>
    </row>
    <row r="65" spans="1:8" x14ac:dyDescent="0.25">
      <c r="A65" s="352" t="s">
        <v>481</v>
      </c>
      <c r="B65" s="352"/>
      <c r="C65" s="352"/>
      <c r="D65" s="352"/>
      <c r="E65" s="352"/>
      <c r="F65" s="352"/>
      <c r="G65" s="352"/>
      <c r="H65" s="352"/>
    </row>
    <row r="66" spans="1:8" x14ac:dyDescent="0.25">
      <c r="A66" s="352"/>
      <c r="B66" s="352"/>
      <c r="C66" s="352"/>
      <c r="D66" s="352"/>
      <c r="E66" s="352"/>
      <c r="F66" s="352"/>
      <c r="G66" s="352"/>
      <c r="H66" s="352"/>
    </row>
    <row r="67" spans="1:8" x14ac:dyDescent="0.25">
      <c r="A67" s="352" t="s">
        <v>482</v>
      </c>
      <c r="B67" s="352"/>
      <c r="C67" s="352"/>
      <c r="D67" s="352"/>
      <c r="E67" s="352"/>
      <c r="F67" s="352"/>
      <c r="G67" s="352"/>
      <c r="H67" s="352"/>
    </row>
    <row r="68" spans="1:8" x14ac:dyDescent="0.25">
      <c r="A68" s="352" t="s">
        <v>483</v>
      </c>
      <c r="B68" s="352"/>
      <c r="C68" s="352"/>
      <c r="D68" s="352"/>
      <c r="E68" s="352"/>
      <c r="F68" s="352"/>
      <c r="G68" s="352"/>
      <c r="H68" s="352"/>
    </row>
    <row r="69" spans="1:8" x14ac:dyDescent="0.25">
      <c r="A69" s="352" t="s">
        <v>484</v>
      </c>
      <c r="B69" s="352"/>
      <c r="C69" s="352"/>
      <c r="D69" s="352"/>
      <c r="E69" s="352"/>
      <c r="F69" s="352"/>
      <c r="G69" s="352"/>
      <c r="H69" s="352"/>
    </row>
    <row r="70" spans="1:8" x14ac:dyDescent="0.25">
      <c r="A70" s="352" t="s">
        <v>485</v>
      </c>
      <c r="B70" s="352"/>
      <c r="C70" s="352"/>
      <c r="D70" s="352"/>
      <c r="E70" s="352"/>
      <c r="F70" s="352"/>
      <c r="G70" s="352"/>
      <c r="H70" s="352"/>
    </row>
    <row r="71" spans="1:8" x14ac:dyDescent="0.25">
      <c r="A71" s="352" t="s">
        <v>486</v>
      </c>
      <c r="B71" s="352"/>
      <c r="C71" s="352"/>
      <c r="D71" s="352"/>
      <c r="E71" s="352"/>
      <c r="F71" s="352"/>
      <c r="G71" s="352"/>
      <c r="H71" s="352"/>
    </row>
    <row r="72" spans="1:8" x14ac:dyDescent="0.25">
      <c r="A72" s="352" t="s">
        <v>487</v>
      </c>
      <c r="B72" s="352"/>
      <c r="C72" s="352"/>
      <c r="D72" s="352"/>
      <c r="E72" s="352"/>
      <c r="F72" s="352"/>
      <c r="G72" s="352"/>
      <c r="H72" s="352"/>
    </row>
    <row r="73" spans="1:8" x14ac:dyDescent="0.25">
      <c r="A73" s="352" t="s">
        <v>488</v>
      </c>
      <c r="B73" s="352"/>
      <c r="C73" s="352"/>
      <c r="D73" s="352"/>
      <c r="E73" s="352"/>
      <c r="F73" s="352"/>
      <c r="G73" s="352"/>
      <c r="H73" s="352"/>
    </row>
    <row r="74" spans="1:8" x14ac:dyDescent="0.25">
      <c r="A74" s="352"/>
      <c r="B74" s="352"/>
      <c r="C74" s="352"/>
      <c r="D74" s="352"/>
      <c r="E74" s="352"/>
      <c r="F74" s="352"/>
      <c r="G74" s="352"/>
      <c r="H74" s="352"/>
    </row>
    <row r="75" spans="1:8" x14ac:dyDescent="0.25">
      <c r="A75" s="352" t="s">
        <v>489</v>
      </c>
      <c r="B75" s="352"/>
      <c r="C75" s="352"/>
      <c r="D75" s="352"/>
      <c r="E75" s="352"/>
      <c r="F75" s="352"/>
      <c r="G75" s="352"/>
      <c r="H75" s="352"/>
    </row>
    <row r="76" spans="1:8" x14ac:dyDescent="0.25">
      <c r="A76" s="352" t="s">
        <v>490</v>
      </c>
      <c r="B76" s="352"/>
      <c r="C76" s="352"/>
      <c r="D76" s="352"/>
      <c r="E76" s="352"/>
      <c r="F76" s="352"/>
      <c r="G76" s="352"/>
      <c r="H76" s="352"/>
    </row>
    <row r="77" spans="1:8" x14ac:dyDescent="0.25">
      <c r="A77" s="352" t="s">
        <v>491</v>
      </c>
      <c r="B77" s="352"/>
      <c r="C77" s="352"/>
      <c r="D77" s="352"/>
      <c r="E77" s="352"/>
      <c r="F77" s="352"/>
      <c r="G77" s="352"/>
      <c r="H77" s="352"/>
    </row>
    <row r="78" spans="1:8" x14ac:dyDescent="0.25">
      <c r="A78" s="352"/>
      <c r="B78" s="352"/>
      <c r="C78" s="352"/>
      <c r="D78" s="352"/>
      <c r="E78" s="352"/>
      <c r="F78" s="352"/>
      <c r="G78" s="352"/>
      <c r="H78" s="352"/>
    </row>
    <row r="79" spans="1:8" x14ac:dyDescent="0.25">
      <c r="A79" s="352" t="s">
        <v>436</v>
      </c>
    </row>
    <row r="80" spans="1:8" x14ac:dyDescent="0.25">
      <c r="A80" s="351"/>
    </row>
    <row r="81" spans="1:1" x14ac:dyDescent="0.25">
      <c r="A81" s="352"/>
    </row>
    <row r="82" spans="1:1" x14ac:dyDescent="0.25">
      <c r="A82" s="352"/>
    </row>
    <row r="83" spans="1:1" x14ac:dyDescent="0.25">
      <c r="A83" s="352"/>
    </row>
    <row r="84" spans="1:1" x14ac:dyDescent="0.25">
      <c r="A84" s="352"/>
    </row>
    <row r="85" spans="1:1" x14ac:dyDescent="0.25">
      <c r="A85" s="352"/>
    </row>
    <row r="86" spans="1:1" x14ac:dyDescent="0.25">
      <c r="A86" s="352"/>
    </row>
    <row r="87" spans="1:1" x14ac:dyDescent="0.25">
      <c r="A87" s="352"/>
    </row>
    <row r="88" spans="1:1" x14ac:dyDescent="0.25">
      <c r="A88" s="352"/>
    </row>
    <row r="89" spans="1:1" x14ac:dyDescent="0.25">
      <c r="A89" s="352"/>
    </row>
    <row r="90" spans="1:1" x14ac:dyDescent="0.25">
      <c r="A90" s="352"/>
    </row>
    <row r="91" spans="1:1" x14ac:dyDescent="0.25">
      <c r="A91" s="352"/>
    </row>
    <row r="92" spans="1:1" x14ac:dyDescent="0.25">
      <c r="A92" s="352"/>
    </row>
    <row r="93" spans="1:1" x14ac:dyDescent="0.25">
      <c r="A93" s="352"/>
    </row>
    <row r="94" spans="1:1" x14ac:dyDescent="0.25">
      <c r="A94" s="352"/>
    </row>
    <row r="95" spans="1:1" x14ac:dyDescent="0.25">
      <c r="A95" s="352"/>
    </row>
    <row r="96" spans="1:1" x14ac:dyDescent="0.25">
      <c r="A96" s="352"/>
    </row>
    <row r="97" spans="1:1" x14ac:dyDescent="0.25">
      <c r="A97" s="352"/>
    </row>
    <row r="98" spans="1:1" x14ac:dyDescent="0.25">
      <c r="A98" s="352"/>
    </row>
    <row r="99" spans="1:1" x14ac:dyDescent="0.25">
      <c r="A99" s="352"/>
    </row>
    <row r="100" spans="1:1" x14ac:dyDescent="0.25">
      <c r="A100" s="352"/>
    </row>
    <row r="101" spans="1:1" x14ac:dyDescent="0.25">
      <c r="A101" s="352"/>
    </row>
    <row r="103" spans="1:1" x14ac:dyDescent="0.25">
      <c r="A103" s="352"/>
    </row>
    <row r="104" spans="1:1" x14ac:dyDescent="0.25">
      <c r="A104" s="352"/>
    </row>
    <row r="105" spans="1:1" x14ac:dyDescent="0.25">
      <c r="A105" s="352"/>
    </row>
    <row r="107" spans="1:1" x14ac:dyDescent="0.25">
      <c r="A107" s="351"/>
    </row>
    <row r="108" spans="1:1" x14ac:dyDescent="0.25">
      <c r="A108" s="351"/>
    </row>
    <row r="109" spans="1:1" x14ac:dyDescent="0.25">
      <c r="A109" s="351"/>
    </row>
  </sheetData>
  <sheetProtection sheet="1"/>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L75"/>
  <sheetViews>
    <sheetView workbookViewId="0">
      <selection activeCell="B2" sqref="B2"/>
    </sheetView>
  </sheetViews>
  <sheetFormatPr defaultRowHeight="15.75" x14ac:dyDescent="0.25"/>
  <cols>
    <col min="1" max="1" width="64.19921875" customWidth="1"/>
  </cols>
  <sheetData>
    <row r="3" spans="1:12" x14ac:dyDescent="0.25">
      <c r="A3" s="353" t="s">
        <v>492</v>
      </c>
      <c r="B3" s="353"/>
      <c r="C3" s="353"/>
      <c r="D3" s="353"/>
      <c r="E3" s="353"/>
      <c r="F3" s="353"/>
      <c r="G3" s="353"/>
      <c r="H3" s="353"/>
      <c r="I3" s="353"/>
      <c r="J3" s="353"/>
      <c r="K3" s="353"/>
      <c r="L3" s="353"/>
    </row>
    <row r="4" spans="1:12" x14ac:dyDescent="0.25">
      <c r="A4" s="353"/>
      <c r="B4" s="353"/>
      <c r="C4" s="353"/>
      <c r="D4" s="353"/>
      <c r="E4" s="353"/>
      <c r="F4" s="353"/>
      <c r="G4" s="353"/>
      <c r="H4" s="353"/>
      <c r="I4" s="353"/>
      <c r="J4" s="353"/>
      <c r="K4" s="353"/>
      <c r="L4" s="353"/>
    </row>
    <row r="5" spans="1:12" x14ac:dyDescent="0.25">
      <c r="A5" s="352" t="s">
        <v>383</v>
      </c>
      <c r="I5" s="353"/>
      <c r="J5" s="353"/>
      <c r="K5" s="353"/>
      <c r="L5" s="353"/>
    </row>
    <row r="6" spans="1:12" x14ac:dyDescent="0.25">
      <c r="A6" s="352" t="str">
        <f>CONCATENATE("estimated ",inputPrYr!D5-1," 'total expenditures' exceed your ",inputPrYr!D5-1,"")</f>
        <v>estimated 2012 'total expenditures' exceed your 2012</v>
      </c>
      <c r="I6" s="353"/>
      <c r="J6" s="353"/>
      <c r="K6" s="353"/>
      <c r="L6" s="353"/>
    </row>
    <row r="7" spans="1:12" x14ac:dyDescent="0.25">
      <c r="A7" s="369" t="s">
        <v>493</v>
      </c>
      <c r="I7" s="353"/>
      <c r="J7" s="353"/>
      <c r="K7" s="353"/>
      <c r="L7" s="353"/>
    </row>
    <row r="8" spans="1:12" x14ac:dyDescent="0.25">
      <c r="A8" s="352"/>
      <c r="I8" s="353"/>
      <c r="J8" s="353"/>
      <c r="K8" s="353"/>
      <c r="L8" s="353"/>
    </row>
    <row r="9" spans="1:12" x14ac:dyDescent="0.25">
      <c r="A9" s="352" t="s">
        <v>494</v>
      </c>
      <c r="I9" s="353"/>
      <c r="J9" s="353"/>
      <c r="K9" s="353"/>
      <c r="L9" s="353"/>
    </row>
    <row r="10" spans="1:12" x14ac:dyDescent="0.25">
      <c r="A10" s="352" t="s">
        <v>495</v>
      </c>
      <c r="I10" s="353"/>
      <c r="J10" s="353"/>
      <c r="K10" s="353"/>
      <c r="L10" s="353"/>
    </row>
    <row r="11" spans="1:12" x14ac:dyDescent="0.25">
      <c r="A11" s="352" t="s">
        <v>496</v>
      </c>
      <c r="I11" s="353"/>
      <c r="J11" s="353"/>
      <c r="K11" s="353"/>
      <c r="L11" s="353"/>
    </row>
    <row r="12" spans="1:12" x14ac:dyDescent="0.25">
      <c r="A12" s="352" t="s">
        <v>497</v>
      </c>
      <c r="I12" s="353"/>
      <c r="J12" s="353"/>
      <c r="K12" s="353"/>
      <c r="L12" s="353"/>
    </row>
    <row r="13" spans="1:12" x14ac:dyDescent="0.25">
      <c r="A13" s="352" t="s">
        <v>498</v>
      </c>
      <c r="I13" s="353"/>
      <c r="J13" s="353"/>
      <c r="K13" s="353"/>
      <c r="L13" s="353"/>
    </row>
    <row r="14" spans="1:12" x14ac:dyDescent="0.25">
      <c r="A14" s="353"/>
      <c r="B14" s="353"/>
      <c r="C14" s="353"/>
      <c r="D14" s="353"/>
      <c r="E14" s="353"/>
      <c r="F14" s="353"/>
      <c r="G14" s="353"/>
      <c r="H14" s="353"/>
      <c r="I14" s="353"/>
      <c r="J14" s="353"/>
      <c r="K14" s="353"/>
      <c r="L14" s="353"/>
    </row>
    <row r="15" spans="1:12" x14ac:dyDescent="0.25">
      <c r="A15" s="351" t="s">
        <v>499</v>
      </c>
    </row>
    <row r="16" spans="1:12" x14ac:dyDescent="0.25">
      <c r="A16" s="351" t="s">
        <v>500</v>
      </c>
    </row>
    <row r="17" spans="1:7" x14ac:dyDescent="0.25">
      <c r="A17" s="351"/>
    </row>
    <row r="18" spans="1:7" x14ac:dyDescent="0.25">
      <c r="A18" s="352" t="s">
        <v>501</v>
      </c>
      <c r="B18" s="352"/>
      <c r="C18" s="352"/>
      <c r="D18" s="352"/>
      <c r="E18" s="352"/>
      <c r="F18" s="352"/>
      <c r="G18" s="352"/>
    </row>
    <row r="19" spans="1:7" x14ac:dyDescent="0.25">
      <c r="A19" s="352" t="str">
        <f>CONCATENATE("your ",inputPrYr!D5-1," numbers to see what steps might be necessary to")</f>
        <v>your 2012 numbers to see what steps might be necessary to</v>
      </c>
      <c r="B19" s="352"/>
      <c r="C19" s="352"/>
      <c r="D19" s="352"/>
      <c r="E19" s="352"/>
      <c r="F19" s="352"/>
      <c r="G19" s="352"/>
    </row>
    <row r="20" spans="1:7" x14ac:dyDescent="0.25">
      <c r="A20" s="352" t="s">
        <v>502</v>
      </c>
      <c r="B20" s="352"/>
      <c r="C20" s="352"/>
      <c r="D20" s="352"/>
      <c r="E20" s="352"/>
      <c r="F20" s="352"/>
      <c r="G20" s="352"/>
    </row>
    <row r="21" spans="1:7" x14ac:dyDescent="0.25">
      <c r="A21" s="352" t="s">
        <v>503</v>
      </c>
      <c r="B21" s="352"/>
      <c r="C21" s="352"/>
      <c r="D21" s="352"/>
      <c r="E21" s="352"/>
      <c r="F21" s="352"/>
      <c r="G21" s="352"/>
    </row>
    <row r="22" spans="1:7" x14ac:dyDescent="0.25">
      <c r="A22" s="352"/>
    </row>
    <row r="23" spans="1:7" x14ac:dyDescent="0.25">
      <c r="A23" s="351" t="s">
        <v>504</v>
      </c>
    </row>
    <row r="24" spans="1:7" x14ac:dyDescent="0.25">
      <c r="A24" s="351"/>
    </row>
    <row r="25" spans="1:7" x14ac:dyDescent="0.25">
      <c r="A25" s="352" t="s">
        <v>505</v>
      </c>
    </row>
    <row r="26" spans="1:7" x14ac:dyDescent="0.25">
      <c r="A26" s="352" t="s">
        <v>506</v>
      </c>
      <c r="B26" s="352"/>
      <c r="C26" s="352"/>
      <c r="D26" s="352"/>
      <c r="E26" s="352"/>
      <c r="F26" s="352"/>
    </row>
    <row r="27" spans="1:7" x14ac:dyDescent="0.25">
      <c r="A27" s="352" t="s">
        <v>507</v>
      </c>
      <c r="B27" s="352"/>
      <c r="C27" s="352"/>
      <c r="D27" s="352"/>
      <c r="E27" s="352"/>
      <c r="F27" s="352"/>
    </row>
    <row r="28" spans="1:7" x14ac:dyDescent="0.25">
      <c r="A28" s="352" t="s">
        <v>508</v>
      </c>
      <c r="B28" s="352"/>
      <c r="C28" s="352"/>
      <c r="D28" s="352"/>
      <c r="E28" s="352"/>
      <c r="F28" s="352"/>
    </row>
    <row r="29" spans="1:7" x14ac:dyDescent="0.25">
      <c r="A29" s="352"/>
      <c r="B29" s="352"/>
      <c r="C29" s="352"/>
      <c r="D29" s="352"/>
      <c r="E29" s="352"/>
      <c r="F29" s="352"/>
    </row>
    <row r="30" spans="1:7" x14ac:dyDescent="0.25">
      <c r="A30" s="351" t="s">
        <v>509</v>
      </c>
      <c r="B30" s="351"/>
      <c r="C30" s="351"/>
      <c r="D30" s="351"/>
      <c r="E30" s="351"/>
      <c r="F30" s="351"/>
      <c r="G30" s="351"/>
    </row>
    <row r="31" spans="1:7" x14ac:dyDescent="0.25">
      <c r="A31" s="351" t="s">
        <v>510</v>
      </c>
      <c r="B31" s="351"/>
      <c r="C31" s="351"/>
      <c r="D31" s="351"/>
      <c r="E31" s="351"/>
      <c r="F31" s="351"/>
      <c r="G31" s="351"/>
    </row>
    <row r="32" spans="1:7" x14ac:dyDescent="0.25">
      <c r="A32" s="352"/>
      <c r="B32" s="352"/>
      <c r="C32" s="352"/>
      <c r="D32" s="352"/>
      <c r="E32" s="352"/>
      <c r="F32" s="352"/>
    </row>
    <row r="33" spans="1:6" x14ac:dyDescent="0.25">
      <c r="A33" s="366" t="str">
        <f>CONCATENATE("Well, let's look to see if any of your ",inputPrYr!D5-1," expenditures can")</f>
        <v>Well, let's look to see if any of your 2012 expenditures can</v>
      </c>
      <c r="B33" s="352"/>
      <c r="C33" s="352"/>
      <c r="D33" s="352"/>
      <c r="E33" s="352"/>
      <c r="F33" s="352"/>
    </row>
    <row r="34" spans="1:6" x14ac:dyDescent="0.25">
      <c r="A34" s="366" t="s">
        <v>511</v>
      </c>
      <c r="B34" s="352"/>
      <c r="C34" s="352"/>
      <c r="D34" s="352"/>
      <c r="E34" s="352"/>
      <c r="F34" s="352"/>
    </row>
    <row r="35" spans="1:6" x14ac:dyDescent="0.25">
      <c r="A35" s="366" t="s">
        <v>397</v>
      </c>
      <c r="B35" s="352"/>
      <c r="C35" s="352"/>
      <c r="D35" s="352"/>
      <c r="E35" s="352"/>
      <c r="F35" s="352"/>
    </row>
    <row r="36" spans="1:6" x14ac:dyDescent="0.25">
      <c r="A36" s="366" t="s">
        <v>398</v>
      </c>
      <c r="B36" s="352"/>
      <c r="C36" s="352"/>
      <c r="D36" s="352"/>
      <c r="E36" s="352"/>
      <c r="F36" s="352"/>
    </row>
    <row r="37" spans="1:6" x14ac:dyDescent="0.25">
      <c r="A37" s="366"/>
      <c r="B37" s="352"/>
      <c r="C37" s="352"/>
      <c r="D37" s="352"/>
      <c r="E37" s="352"/>
      <c r="F37" s="352"/>
    </row>
    <row r="38" spans="1:6" x14ac:dyDescent="0.25">
      <c r="A38" s="366" t="str">
        <f>CONCATENATE("Additionally, do your ",inputPrYr!D5-1," receipts contain a reimbursement")</f>
        <v>Additionally, do your 2012 receipts contain a reimbursement</v>
      </c>
      <c r="B38" s="352"/>
      <c r="C38" s="352"/>
      <c r="D38" s="352"/>
      <c r="E38" s="352"/>
      <c r="F38" s="352"/>
    </row>
    <row r="39" spans="1:6" x14ac:dyDescent="0.25">
      <c r="A39" s="366" t="s">
        <v>399</v>
      </c>
      <c r="B39" s="352"/>
      <c r="C39" s="352"/>
      <c r="D39" s="352"/>
      <c r="E39" s="352"/>
      <c r="F39" s="352"/>
    </row>
    <row r="40" spans="1:6" x14ac:dyDescent="0.25">
      <c r="A40" s="366" t="s">
        <v>400</v>
      </c>
      <c r="B40" s="352"/>
      <c r="C40" s="352"/>
      <c r="D40" s="352"/>
      <c r="E40" s="352"/>
      <c r="F40" s="352"/>
    </row>
    <row r="41" spans="1:6" x14ac:dyDescent="0.25">
      <c r="A41" s="366"/>
      <c r="B41" s="352"/>
      <c r="C41" s="352"/>
      <c r="D41" s="352"/>
      <c r="E41" s="352"/>
      <c r="F41" s="352"/>
    </row>
    <row r="42" spans="1:6" x14ac:dyDescent="0.25">
      <c r="A42" s="366" t="s">
        <v>401</v>
      </c>
      <c r="B42" s="352"/>
      <c r="C42" s="352"/>
      <c r="D42" s="352"/>
      <c r="E42" s="352"/>
      <c r="F42" s="352"/>
    </row>
    <row r="43" spans="1:6" x14ac:dyDescent="0.25">
      <c r="A43" s="366" t="s">
        <v>587</v>
      </c>
      <c r="B43" s="352"/>
      <c r="C43" s="352"/>
      <c r="D43" s="352"/>
      <c r="E43" s="352"/>
      <c r="F43" s="352"/>
    </row>
    <row r="44" spans="1:6" x14ac:dyDescent="0.25">
      <c r="A44" s="366" t="s">
        <v>588</v>
      </c>
      <c r="B44" s="352"/>
      <c r="C44" s="352"/>
      <c r="D44" s="352"/>
      <c r="E44" s="352"/>
      <c r="F44" s="352"/>
    </row>
    <row r="45" spans="1:6" x14ac:dyDescent="0.25">
      <c r="A45" s="366" t="s">
        <v>512</v>
      </c>
      <c r="B45" s="352"/>
      <c r="C45" s="352"/>
      <c r="D45" s="352"/>
      <c r="E45" s="352"/>
      <c r="F45" s="352"/>
    </row>
    <row r="46" spans="1:6" x14ac:dyDescent="0.25">
      <c r="A46" s="366" t="s">
        <v>403</v>
      </c>
      <c r="B46" s="352"/>
      <c r="C46" s="352"/>
      <c r="D46" s="352"/>
      <c r="E46" s="352"/>
      <c r="F46" s="352"/>
    </row>
    <row r="47" spans="1:6" x14ac:dyDescent="0.25">
      <c r="A47" s="366" t="s">
        <v>513</v>
      </c>
      <c r="B47" s="352"/>
      <c r="C47" s="352"/>
      <c r="D47" s="352"/>
      <c r="E47" s="352"/>
      <c r="F47" s="352"/>
    </row>
    <row r="48" spans="1:6" x14ac:dyDescent="0.25">
      <c r="A48" s="366" t="s">
        <v>514</v>
      </c>
      <c r="B48" s="352"/>
      <c r="C48" s="352"/>
      <c r="D48" s="352"/>
      <c r="E48" s="352"/>
      <c r="F48" s="352"/>
    </row>
    <row r="49" spans="1:6" x14ac:dyDescent="0.25">
      <c r="A49" s="366" t="s">
        <v>406</v>
      </c>
      <c r="B49" s="352"/>
      <c r="C49" s="352"/>
      <c r="D49" s="352"/>
      <c r="E49" s="352"/>
      <c r="F49" s="352"/>
    </row>
    <row r="50" spans="1:6" x14ac:dyDescent="0.25">
      <c r="A50" s="366"/>
      <c r="B50" s="352"/>
      <c r="C50" s="352"/>
      <c r="D50" s="352"/>
      <c r="E50" s="352"/>
      <c r="F50" s="352"/>
    </row>
    <row r="51" spans="1:6" x14ac:dyDescent="0.25">
      <c r="A51" s="366" t="s">
        <v>407</v>
      </c>
      <c r="B51" s="352"/>
      <c r="C51" s="352"/>
      <c r="D51" s="352"/>
      <c r="E51" s="352"/>
      <c r="F51" s="352"/>
    </row>
    <row r="52" spans="1:6" x14ac:dyDescent="0.25">
      <c r="A52" s="366" t="s">
        <v>408</v>
      </c>
      <c r="B52" s="352"/>
      <c r="C52" s="352"/>
      <c r="D52" s="352"/>
      <c r="E52" s="352"/>
      <c r="F52" s="352"/>
    </row>
    <row r="53" spans="1:6" x14ac:dyDescent="0.25">
      <c r="A53" s="366" t="s">
        <v>409</v>
      </c>
      <c r="B53" s="352"/>
      <c r="C53" s="352"/>
      <c r="D53" s="352"/>
      <c r="E53" s="352"/>
      <c r="F53" s="352"/>
    </row>
    <row r="54" spans="1:6" x14ac:dyDescent="0.25">
      <c r="A54" s="366"/>
      <c r="B54" s="352"/>
      <c r="C54" s="352"/>
      <c r="D54" s="352"/>
      <c r="E54" s="352"/>
      <c r="F54" s="352"/>
    </row>
    <row r="55" spans="1:6" x14ac:dyDescent="0.25">
      <c r="A55" s="366" t="s">
        <v>515</v>
      </c>
      <c r="B55" s="352"/>
      <c r="C55" s="352"/>
      <c r="D55" s="352"/>
      <c r="E55" s="352"/>
      <c r="F55" s="352"/>
    </row>
    <row r="56" spans="1:6" x14ac:dyDescent="0.25">
      <c r="A56" s="366" t="s">
        <v>516</v>
      </c>
      <c r="B56" s="352"/>
      <c r="C56" s="352"/>
      <c r="D56" s="352"/>
      <c r="E56" s="352"/>
      <c r="F56" s="352"/>
    </row>
    <row r="57" spans="1:6" x14ac:dyDescent="0.25">
      <c r="A57" s="366" t="s">
        <v>517</v>
      </c>
      <c r="B57" s="352"/>
      <c r="C57" s="352"/>
      <c r="D57" s="352"/>
      <c r="E57" s="352"/>
      <c r="F57" s="352"/>
    </row>
    <row r="58" spans="1:6" x14ac:dyDescent="0.25">
      <c r="A58" s="366" t="s">
        <v>518</v>
      </c>
      <c r="B58" s="352"/>
      <c r="C58" s="352"/>
      <c r="D58" s="352"/>
      <c r="E58" s="352"/>
      <c r="F58" s="352"/>
    </row>
    <row r="59" spans="1:6" x14ac:dyDescent="0.25">
      <c r="A59" s="366" t="s">
        <v>519</v>
      </c>
      <c r="B59" s="352"/>
      <c r="C59" s="352"/>
      <c r="D59" s="352"/>
      <c r="E59" s="352"/>
      <c r="F59" s="352"/>
    </row>
    <row r="60" spans="1:6" x14ac:dyDescent="0.25">
      <c r="A60" s="366"/>
      <c r="B60" s="352"/>
      <c r="C60" s="352"/>
      <c r="D60" s="352"/>
      <c r="E60" s="352"/>
      <c r="F60" s="352"/>
    </row>
    <row r="61" spans="1:6" x14ac:dyDescent="0.25">
      <c r="A61" s="367" t="s">
        <v>520</v>
      </c>
      <c r="B61" s="352"/>
      <c r="C61" s="352"/>
      <c r="D61" s="352"/>
      <c r="E61" s="352"/>
      <c r="F61" s="352"/>
    </row>
    <row r="62" spans="1:6" x14ac:dyDescent="0.25">
      <c r="A62" s="367" t="s">
        <v>521</v>
      </c>
      <c r="B62" s="352"/>
      <c r="C62" s="352"/>
      <c r="D62" s="352"/>
      <c r="E62" s="352"/>
      <c r="F62" s="352"/>
    </row>
    <row r="63" spans="1:6" x14ac:dyDescent="0.25">
      <c r="A63" s="367" t="s">
        <v>522</v>
      </c>
      <c r="B63" s="352"/>
      <c r="C63" s="352"/>
      <c r="D63" s="352"/>
      <c r="E63" s="352"/>
      <c r="F63" s="352"/>
    </row>
    <row r="64" spans="1:6" x14ac:dyDescent="0.25">
      <c r="A64" s="367" t="s">
        <v>523</v>
      </c>
    </row>
    <row r="65" spans="1:1" x14ac:dyDescent="0.25">
      <c r="A65" s="367" t="s">
        <v>524</v>
      </c>
    </row>
    <row r="66" spans="1:1" x14ac:dyDescent="0.25">
      <c r="A66" s="367" t="s">
        <v>525</v>
      </c>
    </row>
    <row r="68" spans="1:1" x14ac:dyDescent="0.25">
      <c r="A68" s="352" t="s">
        <v>526</v>
      </c>
    </row>
    <row r="69" spans="1:1" x14ac:dyDescent="0.25">
      <c r="A69" s="352" t="s">
        <v>527</v>
      </c>
    </row>
    <row r="70" spans="1:1" x14ac:dyDescent="0.25">
      <c r="A70" s="352" t="s">
        <v>528</v>
      </c>
    </row>
    <row r="71" spans="1:1" x14ac:dyDescent="0.25">
      <c r="A71" s="352" t="s">
        <v>529</v>
      </c>
    </row>
    <row r="72" spans="1:1" x14ac:dyDescent="0.25">
      <c r="A72" s="352" t="s">
        <v>530</v>
      </c>
    </row>
    <row r="73" spans="1:1" x14ac:dyDescent="0.25">
      <c r="A73" s="352" t="s">
        <v>531</v>
      </c>
    </row>
    <row r="75" spans="1:1" x14ac:dyDescent="0.25">
      <c r="A75" s="352" t="s">
        <v>436</v>
      </c>
    </row>
  </sheetData>
  <sheetProtection sheet="1"/>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G106"/>
  <sheetViews>
    <sheetView workbookViewId="0">
      <selection activeCell="C6" sqref="C6"/>
    </sheetView>
  </sheetViews>
  <sheetFormatPr defaultRowHeight="15.75" x14ac:dyDescent="0.25"/>
  <cols>
    <col min="1" max="1" width="64.19921875" customWidth="1"/>
  </cols>
  <sheetData>
    <row r="3" spans="1:7" x14ac:dyDescent="0.25">
      <c r="A3" s="353" t="s">
        <v>532</v>
      </c>
      <c r="B3" s="353"/>
      <c r="C3" s="353"/>
      <c r="D3" s="353"/>
      <c r="E3" s="353"/>
      <c r="F3" s="353"/>
      <c r="G3" s="353"/>
    </row>
    <row r="4" spans="1:7" x14ac:dyDescent="0.25">
      <c r="A4" s="353"/>
      <c r="B4" s="353"/>
      <c r="C4" s="353"/>
      <c r="D4" s="353"/>
      <c r="E4" s="353"/>
      <c r="F4" s="353"/>
      <c r="G4" s="353"/>
    </row>
    <row r="5" spans="1:7" x14ac:dyDescent="0.25">
      <c r="A5" s="352" t="s">
        <v>438</v>
      </c>
    </row>
    <row r="6" spans="1:7" x14ac:dyDescent="0.25">
      <c r="A6" s="352" t="str">
        <f>CONCATENATE(inputPrYr!D5," estimated expenditures show that at the end of this year")</f>
        <v>2013 estimated expenditures show that at the end of this year</v>
      </c>
    </row>
    <row r="7" spans="1:7" x14ac:dyDescent="0.25">
      <c r="A7" s="352" t="s">
        <v>533</v>
      </c>
    </row>
    <row r="8" spans="1:7" x14ac:dyDescent="0.25">
      <c r="A8" s="352" t="s">
        <v>534</v>
      </c>
    </row>
    <row r="10" spans="1:7" x14ac:dyDescent="0.25">
      <c r="A10" t="s">
        <v>440</v>
      </c>
    </row>
    <row r="11" spans="1:7" x14ac:dyDescent="0.25">
      <c r="A11" t="s">
        <v>441</v>
      </c>
    </row>
    <row r="12" spans="1:7" x14ac:dyDescent="0.25">
      <c r="A12" t="s">
        <v>442</v>
      </c>
    </row>
    <row r="13" spans="1:7" x14ac:dyDescent="0.25">
      <c r="A13" s="353"/>
      <c r="B13" s="353"/>
      <c r="C13" s="353"/>
      <c r="D13" s="353"/>
      <c r="E13" s="353"/>
      <c r="F13" s="353"/>
      <c r="G13" s="353"/>
    </row>
    <row r="14" spans="1:7" x14ac:dyDescent="0.25">
      <c r="A14" s="351" t="s">
        <v>535</v>
      </c>
    </row>
    <row r="15" spans="1:7" x14ac:dyDescent="0.25">
      <c r="A15" s="352"/>
    </row>
    <row r="16" spans="1:7" x14ac:dyDescent="0.25">
      <c r="A16" s="352" t="s">
        <v>536</v>
      </c>
    </row>
    <row r="17" spans="1:7" x14ac:dyDescent="0.25">
      <c r="A17" s="352" t="s">
        <v>537</v>
      </c>
    </row>
    <row r="18" spans="1:7" x14ac:dyDescent="0.25">
      <c r="A18" s="352" t="s">
        <v>538</v>
      </c>
    </row>
    <row r="19" spans="1:7" x14ac:dyDescent="0.25">
      <c r="A19" s="352"/>
    </row>
    <row r="20" spans="1:7" x14ac:dyDescent="0.25">
      <c r="A20" s="352" t="s">
        <v>539</v>
      </c>
    </row>
    <row r="21" spans="1:7" x14ac:dyDescent="0.25">
      <c r="A21" s="352" t="s">
        <v>540</v>
      </c>
    </row>
    <row r="22" spans="1:7" x14ac:dyDescent="0.25">
      <c r="A22" s="352" t="s">
        <v>541</v>
      </c>
    </row>
    <row r="23" spans="1:7" x14ac:dyDescent="0.25">
      <c r="A23" s="352" t="s">
        <v>542</v>
      </c>
    </row>
    <row r="24" spans="1:7" x14ac:dyDescent="0.25">
      <c r="A24" s="352"/>
    </row>
    <row r="25" spans="1:7" x14ac:dyDescent="0.25">
      <c r="A25" s="351" t="s">
        <v>504</v>
      </c>
    </row>
    <row r="26" spans="1:7" x14ac:dyDescent="0.25">
      <c r="A26" s="351"/>
    </row>
    <row r="27" spans="1:7" x14ac:dyDescent="0.25">
      <c r="A27" s="352" t="s">
        <v>505</v>
      </c>
    </row>
    <row r="28" spans="1:7" x14ac:dyDescent="0.25">
      <c r="A28" s="352" t="s">
        <v>506</v>
      </c>
      <c r="B28" s="352"/>
      <c r="C28" s="352"/>
      <c r="D28" s="352"/>
      <c r="E28" s="352"/>
      <c r="F28" s="352"/>
    </row>
    <row r="29" spans="1:7" x14ac:dyDescent="0.25">
      <c r="A29" s="352" t="s">
        <v>507</v>
      </c>
      <c r="B29" s="352"/>
      <c r="C29" s="352"/>
      <c r="D29" s="352"/>
      <c r="E29" s="352"/>
      <c r="F29" s="352"/>
    </row>
    <row r="30" spans="1:7" x14ac:dyDescent="0.25">
      <c r="A30" s="352" t="s">
        <v>508</v>
      </c>
      <c r="B30" s="352"/>
      <c r="C30" s="352"/>
      <c r="D30" s="352"/>
      <c r="E30" s="352"/>
      <c r="F30" s="352"/>
    </row>
    <row r="31" spans="1:7" x14ac:dyDescent="0.25">
      <c r="A31" s="352"/>
    </row>
    <row r="32" spans="1:7" x14ac:dyDescent="0.25">
      <c r="A32" s="351" t="s">
        <v>509</v>
      </c>
      <c r="B32" s="351"/>
      <c r="C32" s="351"/>
      <c r="D32" s="351"/>
      <c r="E32" s="351"/>
      <c r="F32" s="351"/>
      <c r="G32" s="351"/>
    </row>
    <row r="33" spans="1:7" x14ac:dyDescent="0.25">
      <c r="A33" s="351" t="s">
        <v>510</v>
      </c>
      <c r="B33" s="351"/>
      <c r="C33" s="351"/>
      <c r="D33" s="351"/>
      <c r="E33" s="351"/>
      <c r="F33" s="351"/>
      <c r="G33" s="351"/>
    </row>
    <row r="34" spans="1:7" x14ac:dyDescent="0.25">
      <c r="A34" s="351"/>
      <c r="B34" s="351"/>
      <c r="C34" s="351"/>
      <c r="D34" s="351"/>
      <c r="E34" s="351"/>
      <c r="F34" s="351"/>
      <c r="G34" s="351"/>
    </row>
    <row r="35" spans="1:7" x14ac:dyDescent="0.25">
      <c r="A35" s="352" t="s">
        <v>543</v>
      </c>
      <c r="B35" s="352"/>
      <c r="C35" s="352"/>
      <c r="D35" s="352"/>
      <c r="E35" s="352"/>
      <c r="F35" s="352"/>
      <c r="G35" s="352"/>
    </row>
    <row r="36" spans="1:7" x14ac:dyDescent="0.25">
      <c r="A36" s="352" t="s">
        <v>544</v>
      </c>
      <c r="B36" s="352"/>
      <c r="C36" s="352"/>
      <c r="D36" s="352"/>
      <c r="E36" s="352"/>
      <c r="F36" s="352"/>
      <c r="G36" s="352"/>
    </row>
    <row r="37" spans="1:7" x14ac:dyDescent="0.25">
      <c r="A37" s="352" t="s">
        <v>545</v>
      </c>
      <c r="B37" s="352"/>
      <c r="C37" s="352"/>
      <c r="D37" s="352"/>
      <c r="E37" s="352"/>
      <c r="F37" s="352"/>
      <c r="G37" s="352"/>
    </row>
    <row r="38" spans="1:7" x14ac:dyDescent="0.25">
      <c r="A38" s="352" t="s">
        <v>546</v>
      </c>
      <c r="B38" s="352"/>
      <c r="C38" s="352"/>
      <c r="D38" s="352"/>
      <c r="E38" s="352"/>
      <c r="F38" s="352"/>
      <c r="G38" s="352"/>
    </row>
    <row r="39" spans="1:7" x14ac:dyDescent="0.25">
      <c r="A39" s="352" t="s">
        <v>547</v>
      </c>
      <c r="B39" s="352"/>
      <c r="C39" s="352"/>
      <c r="D39" s="352"/>
      <c r="E39" s="352"/>
      <c r="F39" s="352"/>
      <c r="G39" s="352"/>
    </row>
    <row r="40" spans="1:7" x14ac:dyDescent="0.25">
      <c r="A40" s="351"/>
      <c r="B40" s="351"/>
      <c r="C40" s="351"/>
      <c r="D40" s="351"/>
      <c r="E40" s="351"/>
      <c r="F40" s="351"/>
      <c r="G40" s="351"/>
    </row>
    <row r="41" spans="1:7" x14ac:dyDescent="0.25">
      <c r="A41" s="366" t="str">
        <f>CONCATENATE("So, let's look to see if any of your ",inputPrYr!D5-1," expenditures can")</f>
        <v>So, let's look to see if any of your 2012 expenditures can</v>
      </c>
      <c r="B41" s="352"/>
      <c r="C41" s="352"/>
      <c r="D41" s="352"/>
      <c r="E41" s="352"/>
      <c r="F41" s="352"/>
    </row>
    <row r="42" spans="1:7" x14ac:dyDescent="0.25">
      <c r="A42" s="366" t="s">
        <v>511</v>
      </c>
      <c r="B42" s="352"/>
      <c r="C42" s="352"/>
      <c r="D42" s="352"/>
      <c r="E42" s="352"/>
      <c r="F42" s="352"/>
    </row>
    <row r="43" spans="1:7" x14ac:dyDescent="0.25">
      <c r="A43" s="366" t="s">
        <v>397</v>
      </c>
      <c r="B43" s="352"/>
      <c r="C43" s="352"/>
      <c r="D43" s="352"/>
      <c r="E43" s="352"/>
      <c r="F43" s="352"/>
    </row>
    <row r="44" spans="1:7" x14ac:dyDescent="0.25">
      <c r="A44" s="366" t="s">
        <v>398</v>
      </c>
      <c r="B44" s="352"/>
      <c r="C44" s="352"/>
      <c r="D44" s="352"/>
      <c r="E44" s="352"/>
      <c r="F44" s="352"/>
    </row>
    <row r="45" spans="1:7" x14ac:dyDescent="0.25">
      <c r="A45" s="352"/>
    </row>
    <row r="46" spans="1:7" x14ac:dyDescent="0.25">
      <c r="A46" s="366" t="str">
        <f>CONCATENATE("Additionally, do your ",inputPrYr!D5-1," receipts contain a reimbursement")</f>
        <v>Additionally, do your 2012 receipts contain a reimbursement</v>
      </c>
      <c r="B46" s="352"/>
      <c r="C46" s="352"/>
      <c r="D46" s="352"/>
      <c r="E46" s="352"/>
      <c r="F46" s="352"/>
    </row>
    <row r="47" spans="1:7" x14ac:dyDescent="0.25">
      <c r="A47" s="366" t="s">
        <v>399</v>
      </c>
      <c r="B47" s="352"/>
      <c r="C47" s="352"/>
      <c r="D47" s="352"/>
      <c r="E47" s="352"/>
      <c r="F47" s="352"/>
    </row>
    <row r="48" spans="1:7" x14ac:dyDescent="0.25">
      <c r="A48" s="366" t="s">
        <v>400</v>
      </c>
      <c r="B48" s="352"/>
      <c r="C48" s="352"/>
      <c r="D48" s="352"/>
      <c r="E48" s="352"/>
      <c r="F48" s="352"/>
    </row>
    <row r="49" spans="1:7" x14ac:dyDescent="0.25">
      <c r="A49" s="352"/>
      <c r="B49" s="352"/>
      <c r="C49" s="352"/>
      <c r="D49" s="352"/>
      <c r="E49" s="352"/>
      <c r="F49" s="352"/>
      <c r="G49" s="352"/>
    </row>
    <row r="50" spans="1:7" x14ac:dyDescent="0.25">
      <c r="A50" s="352" t="s">
        <v>465</v>
      </c>
      <c r="B50" s="352"/>
      <c r="C50" s="352"/>
      <c r="D50" s="352"/>
      <c r="E50" s="352"/>
      <c r="F50" s="352"/>
      <c r="G50" s="352"/>
    </row>
    <row r="51" spans="1:7" x14ac:dyDescent="0.25">
      <c r="A51" s="352" t="s">
        <v>466</v>
      </c>
      <c r="B51" s="352"/>
      <c r="C51" s="352"/>
      <c r="D51" s="352"/>
      <c r="E51" s="352"/>
      <c r="F51" s="352"/>
      <c r="G51" s="352"/>
    </row>
    <row r="52" spans="1:7" x14ac:dyDescent="0.25">
      <c r="A52" s="352" t="s">
        <v>467</v>
      </c>
      <c r="B52" s="352"/>
      <c r="C52" s="352"/>
      <c r="D52" s="352"/>
      <c r="E52" s="352"/>
      <c r="F52" s="352"/>
      <c r="G52" s="352"/>
    </row>
    <row r="53" spans="1:7" x14ac:dyDescent="0.25">
      <c r="A53" s="352" t="s">
        <v>468</v>
      </c>
      <c r="B53" s="352"/>
      <c r="C53" s="352"/>
      <c r="D53" s="352"/>
      <c r="E53" s="352"/>
      <c r="F53" s="352"/>
      <c r="G53" s="352"/>
    </row>
    <row r="54" spans="1:7" x14ac:dyDescent="0.25">
      <c r="A54" s="352" t="s">
        <v>469</v>
      </c>
      <c r="B54" s="352"/>
      <c r="C54" s="352"/>
      <c r="D54" s="352"/>
      <c r="E54" s="352"/>
      <c r="F54" s="352"/>
      <c r="G54" s="352"/>
    </row>
    <row r="55" spans="1:7" x14ac:dyDescent="0.25">
      <c r="A55" s="352"/>
      <c r="B55" s="352"/>
      <c r="C55" s="352"/>
      <c r="D55" s="352"/>
      <c r="E55" s="352"/>
      <c r="F55" s="352"/>
      <c r="G55" s="352"/>
    </row>
    <row r="56" spans="1:7" x14ac:dyDescent="0.25">
      <c r="A56" s="366" t="s">
        <v>407</v>
      </c>
      <c r="B56" s="352"/>
      <c r="C56" s="352"/>
      <c r="D56" s="352"/>
      <c r="E56" s="352"/>
      <c r="F56" s="352"/>
    </row>
    <row r="57" spans="1:7" x14ac:dyDescent="0.25">
      <c r="A57" s="366" t="s">
        <v>408</v>
      </c>
      <c r="B57" s="352"/>
      <c r="C57" s="352"/>
      <c r="D57" s="352"/>
      <c r="E57" s="352"/>
      <c r="F57" s="352"/>
    </row>
    <row r="58" spans="1:7" x14ac:dyDescent="0.25">
      <c r="A58" s="366" t="s">
        <v>409</v>
      </c>
      <c r="B58" s="352"/>
      <c r="C58" s="352"/>
      <c r="D58" s="352"/>
      <c r="E58" s="352"/>
      <c r="F58" s="352"/>
    </row>
    <row r="59" spans="1:7" x14ac:dyDescent="0.25">
      <c r="A59" s="366"/>
      <c r="B59" s="352"/>
      <c r="C59" s="352"/>
      <c r="D59" s="352"/>
      <c r="E59" s="352"/>
      <c r="F59" s="352"/>
    </row>
    <row r="60" spans="1:7" x14ac:dyDescent="0.25">
      <c r="A60" s="352" t="s">
        <v>548</v>
      </c>
      <c r="B60" s="352"/>
      <c r="C60" s="352"/>
      <c r="D60" s="352"/>
      <c r="E60" s="352"/>
      <c r="F60" s="352"/>
      <c r="G60" s="352"/>
    </row>
    <row r="61" spans="1:7" x14ac:dyDescent="0.25">
      <c r="A61" s="352" t="s">
        <v>549</v>
      </c>
      <c r="B61" s="352"/>
      <c r="C61" s="352"/>
      <c r="D61" s="352"/>
      <c r="E61" s="352"/>
      <c r="F61" s="352"/>
      <c r="G61" s="352"/>
    </row>
    <row r="62" spans="1:7" x14ac:dyDescent="0.25">
      <c r="A62" s="352" t="s">
        <v>550</v>
      </c>
      <c r="B62" s="352"/>
      <c r="C62" s="352"/>
      <c r="D62" s="352"/>
      <c r="E62" s="352"/>
      <c r="F62" s="352"/>
      <c r="G62" s="352"/>
    </row>
    <row r="63" spans="1:7" x14ac:dyDescent="0.25">
      <c r="A63" s="352" t="s">
        <v>551</v>
      </c>
      <c r="B63" s="352"/>
      <c r="C63" s="352"/>
      <c r="D63" s="352"/>
      <c r="E63" s="352"/>
      <c r="F63" s="352"/>
      <c r="G63" s="352"/>
    </row>
    <row r="64" spans="1:7" x14ac:dyDescent="0.25">
      <c r="A64" s="352" t="s">
        <v>552</v>
      </c>
      <c r="B64" s="352"/>
      <c r="C64" s="352"/>
      <c r="D64" s="352"/>
      <c r="E64" s="352"/>
      <c r="F64" s="352"/>
      <c r="G64" s="352"/>
    </row>
    <row r="66" spans="1:6" x14ac:dyDescent="0.25">
      <c r="A66" s="366" t="s">
        <v>515</v>
      </c>
      <c r="B66" s="352"/>
      <c r="C66" s="352"/>
      <c r="D66" s="352"/>
      <c r="E66" s="352"/>
      <c r="F66" s="352"/>
    </row>
    <row r="67" spans="1:6" x14ac:dyDescent="0.25">
      <c r="A67" s="366" t="s">
        <v>516</v>
      </c>
      <c r="B67" s="352"/>
      <c r="C67" s="352"/>
      <c r="D67" s="352"/>
      <c r="E67" s="352"/>
      <c r="F67" s="352"/>
    </row>
    <row r="68" spans="1:6" x14ac:dyDescent="0.25">
      <c r="A68" s="366" t="s">
        <v>517</v>
      </c>
      <c r="B68" s="352"/>
      <c r="C68" s="352"/>
      <c r="D68" s="352"/>
      <c r="E68" s="352"/>
      <c r="F68" s="352"/>
    </row>
    <row r="69" spans="1:6" x14ac:dyDescent="0.25">
      <c r="A69" s="366" t="s">
        <v>518</v>
      </c>
      <c r="B69" s="352"/>
      <c r="C69" s="352"/>
      <c r="D69" s="352"/>
      <c r="E69" s="352"/>
      <c r="F69" s="352"/>
    </row>
    <row r="70" spans="1:6" x14ac:dyDescent="0.25">
      <c r="A70" s="366" t="s">
        <v>519</v>
      </c>
      <c r="B70" s="352"/>
      <c r="C70" s="352"/>
      <c r="D70" s="352"/>
      <c r="E70" s="352"/>
      <c r="F70" s="352"/>
    </row>
    <row r="71" spans="1:6" x14ac:dyDescent="0.25">
      <c r="A71" s="352"/>
    </row>
    <row r="72" spans="1:6" x14ac:dyDescent="0.25">
      <c r="A72" s="352" t="s">
        <v>436</v>
      </c>
    </row>
    <row r="73" spans="1:6" x14ac:dyDescent="0.25">
      <c r="A73" s="352"/>
    </row>
    <row r="74" spans="1:6" x14ac:dyDescent="0.25">
      <c r="A74" s="352"/>
    </row>
    <row r="75" spans="1:6" x14ac:dyDescent="0.25">
      <c r="A75" s="352"/>
    </row>
    <row r="78" spans="1:6" x14ac:dyDescent="0.25">
      <c r="A78" s="351"/>
    </row>
    <row r="80" spans="1:6" x14ac:dyDescent="0.25">
      <c r="A80" s="352"/>
    </row>
    <row r="81" spans="1:1" x14ac:dyDescent="0.25">
      <c r="A81" s="352"/>
    </row>
    <row r="82" spans="1:1" x14ac:dyDescent="0.25">
      <c r="A82" s="352"/>
    </row>
    <row r="83" spans="1:1" x14ac:dyDescent="0.25">
      <c r="A83" s="352"/>
    </row>
    <row r="84" spans="1:1" x14ac:dyDescent="0.25">
      <c r="A84" s="352"/>
    </row>
    <row r="85" spans="1:1" x14ac:dyDescent="0.25">
      <c r="A85" s="352"/>
    </row>
    <row r="86" spans="1:1" x14ac:dyDescent="0.25">
      <c r="A86" s="352"/>
    </row>
    <row r="87" spans="1:1" x14ac:dyDescent="0.25">
      <c r="A87" s="352"/>
    </row>
    <row r="88" spans="1:1" x14ac:dyDescent="0.25">
      <c r="A88" s="352"/>
    </row>
    <row r="89" spans="1:1" x14ac:dyDescent="0.25">
      <c r="A89" s="352"/>
    </row>
    <row r="90" spans="1:1" x14ac:dyDescent="0.25">
      <c r="A90" s="352"/>
    </row>
    <row r="92" spans="1:1" x14ac:dyDescent="0.25">
      <c r="A92" s="352"/>
    </row>
    <row r="93" spans="1:1" x14ac:dyDescent="0.25">
      <c r="A93" s="352"/>
    </row>
    <row r="94" spans="1:1" x14ac:dyDescent="0.25">
      <c r="A94" s="352"/>
    </row>
    <row r="95" spans="1:1" x14ac:dyDescent="0.25">
      <c r="A95" s="352"/>
    </row>
    <row r="96" spans="1:1" x14ac:dyDescent="0.25">
      <c r="A96" s="352"/>
    </row>
    <row r="97" spans="1:1" x14ac:dyDescent="0.25">
      <c r="A97" s="352"/>
    </row>
    <row r="98" spans="1:1" x14ac:dyDescent="0.25">
      <c r="A98" s="352"/>
    </row>
    <row r="99" spans="1:1" x14ac:dyDescent="0.25">
      <c r="A99" s="352"/>
    </row>
    <row r="100" spans="1:1" x14ac:dyDescent="0.25">
      <c r="A100" s="352"/>
    </row>
    <row r="101" spans="1:1" x14ac:dyDescent="0.25">
      <c r="A101" s="352"/>
    </row>
    <row r="102" spans="1:1" x14ac:dyDescent="0.25">
      <c r="A102" s="352"/>
    </row>
    <row r="103" spans="1:1" x14ac:dyDescent="0.25">
      <c r="A103" s="352"/>
    </row>
    <row r="104" spans="1:1" x14ac:dyDescent="0.25">
      <c r="A104" s="352"/>
    </row>
    <row r="105" spans="1:1" x14ac:dyDescent="0.25">
      <c r="A105" s="352"/>
    </row>
    <row r="106" spans="1:1" x14ac:dyDescent="0.25">
      <c r="A106" s="352"/>
    </row>
  </sheetData>
  <sheetProtection sheet="1"/>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H52"/>
  <sheetViews>
    <sheetView workbookViewId="0">
      <selection activeCell="C11" sqref="C11"/>
    </sheetView>
  </sheetViews>
  <sheetFormatPr defaultRowHeight="15.75" x14ac:dyDescent="0.25"/>
  <cols>
    <col min="1" max="1" width="64.19921875" customWidth="1"/>
  </cols>
  <sheetData>
    <row r="3" spans="1:7" x14ac:dyDescent="0.25">
      <c r="A3" s="353" t="s">
        <v>553</v>
      </c>
      <c r="B3" s="353"/>
      <c r="C3" s="353"/>
      <c r="D3" s="353"/>
      <c r="E3" s="353"/>
      <c r="F3" s="353"/>
      <c r="G3" s="353"/>
    </row>
    <row r="4" spans="1:7" x14ac:dyDescent="0.25">
      <c r="A4" s="353" t="s">
        <v>554</v>
      </c>
      <c r="B4" s="353"/>
      <c r="C4" s="353"/>
      <c r="D4" s="353"/>
      <c r="E4" s="353"/>
      <c r="F4" s="353"/>
      <c r="G4" s="353"/>
    </row>
    <row r="5" spans="1:7" x14ac:dyDescent="0.25">
      <c r="A5" s="353"/>
      <c r="B5" s="353"/>
      <c r="C5" s="353"/>
      <c r="D5" s="353"/>
      <c r="E5" s="353"/>
      <c r="F5" s="353"/>
      <c r="G5" s="353"/>
    </row>
    <row r="6" spans="1:7" x14ac:dyDescent="0.25">
      <c r="A6" s="353"/>
      <c r="B6" s="353"/>
      <c r="C6" s="353"/>
      <c r="D6" s="353"/>
      <c r="E6" s="353"/>
      <c r="F6" s="353"/>
      <c r="G6" s="353"/>
    </row>
    <row r="7" spans="1:7" x14ac:dyDescent="0.25">
      <c r="A7" s="352" t="s">
        <v>383</v>
      </c>
    </row>
    <row r="8" spans="1:7" x14ac:dyDescent="0.25">
      <c r="A8" s="352" t="str">
        <f>CONCATENATE("estimated ",inputPrYr!D5," 'total expenditures' exceed your ",inputPrYr!D5,"")</f>
        <v>estimated 2013 'total expenditures' exceed your 2013</v>
      </c>
    </row>
    <row r="9" spans="1:7" x14ac:dyDescent="0.25">
      <c r="A9" s="369" t="s">
        <v>555</v>
      </c>
    </row>
    <row r="10" spans="1:7" x14ac:dyDescent="0.25">
      <c r="A10" s="352"/>
    </row>
    <row r="11" spans="1:7" x14ac:dyDescent="0.25">
      <c r="A11" s="352" t="s">
        <v>556</v>
      </c>
    </row>
    <row r="12" spans="1:7" x14ac:dyDescent="0.25">
      <c r="A12" s="352" t="s">
        <v>557</v>
      </c>
    </row>
    <row r="13" spans="1:7" x14ac:dyDescent="0.25">
      <c r="A13" s="352" t="s">
        <v>558</v>
      </c>
    </row>
    <row r="14" spans="1:7" x14ac:dyDescent="0.25">
      <c r="A14" s="352"/>
    </row>
    <row r="15" spans="1:7" x14ac:dyDescent="0.25">
      <c r="A15" s="351" t="s">
        <v>559</v>
      </c>
    </row>
    <row r="16" spans="1:7" x14ac:dyDescent="0.25">
      <c r="A16" s="353"/>
      <c r="B16" s="353"/>
      <c r="C16" s="353"/>
      <c r="D16" s="353"/>
      <c r="E16" s="353"/>
      <c r="F16" s="353"/>
      <c r="G16" s="353"/>
    </row>
    <row r="17" spans="1:8" x14ac:dyDescent="0.25">
      <c r="A17" s="370" t="s">
        <v>560</v>
      </c>
      <c r="B17" s="347"/>
      <c r="C17" s="347"/>
      <c r="D17" s="347"/>
      <c r="E17" s="347"/>
      <c r="F17" s="347"/>
      <c r="G17" s="347"/>
      <c r="H17" s="347"/>
    </row>
    <row r="18" spans="1:8" x14ac:dyDescent="0.25">
      <c r="A18" s="352" t="s">
        <v>561</v>
      </c>
      <c r="B18" s="371"/>
      <c r="C18" s="371"/>
      <c r="D18" s="371"/>
      <c r="E18" s="371"/>
      <c r="F18" s="371"/>
      <c r="G18" s="371"/>
    </row>
    <row r="19" spans="1:8" x14ac:dyDescent="0.25">
      <c r="A19" s="352" t="s">
        <v>562</v>
      </c>
    </row>
    <row r="20" spans="1:8" x14ac:dyDescent="0.25">
      <c r="A20" s="352" t="s">
        <v>563</v>
      </c>
    </row>
    <row r="22" spans="1:8" x14ac:dyDescent="0.25">
      <c r="A22" s="351" t="s">
        <v>564</v>
      </c>
    </row>
    <row r="24" spans="1:8" x14ac:dyDescent="0.25">
      <c r="A24" s="352" t="s">
        <v>565</v>
      </c>
    </row>
    <row r="25" spans="1:8" x14ac:dyDescent="0.25">
      <c r="A25" s="352" t="s">
        <v>566</v>
      </c>
    </row>
    <row r="26" spans="1:8" x14ac:dyDescent="0.25">
      <c r="A26" s="352" t="s">
        <v>567</v>
      </c>
    </row>
    <row r="28" spans="1:8" x14ac:dyDescent="0.25">
      <c r="A28" s="351" t="s">
        <v>568</v>
      </c>
    </row>
    <row r="30" spans="1:8" x14ac:dyDescent="0.25">
      <c r="A30" t="s">
        <v>569</v>
      </c>
    </row>
    <row r="31" spans="1:8" x14ac:dyDescent="0.25">
      <c r="A31" t="s">
        <v>570</v>
      </c>
    </row>
    <row r="32" spans="1:8" x14ac:dyDescent="0.25">
      <c r="A32" t="s">
        <v>571</v>
      </c>
    </row>
    <row r="33" spans="1:1" x14ac:dyDescent="0.25">
      <c r="A33" s="352" t="s">
        <v>572</v>
      </c>
    </row>
    <row r="35" spans="1:1" x14ac:dyDescent="0.25">
      <c r="A35" t="s">
        <v>573</v>
      </c>
    </row>
    <row r="36" spans="1:1" x14ac:dyDescent="0.25">
      <c r="A36" t="s">
        <v>574</v>
      </c>
    </row>
    <row r="37" spans="1:1" x14ac:dyDescent="0.25">
      <c r="A37" t="s">
        <v>575</v>
      </c>
    </row>
    <row r="38" spans="1:1" x14ac:dyDescent="0.25">
      <c r="A38" t="s">
        <v>576</v>
      </c>
    </row>
    <row r="40" spans="1:1" x14ac:dyDescent="0.25">
      <c r="A40" t="s">
        <v>577</v>
      </c>
    </row>
    <row r="41" spans="1:1" x14ac:dyDescent="0.25">
      <c r="A41" t="s">
        <v>578</v>
      </c>
    </row>
    <row r="42" spans="1:1" x14ac:dyDescent="0.25">
      <c r="A42" t="s">
        <v>579</v>
      </c>
    </row>
    <row r="43" spans="1:1" x14ac:dyDescent="0.25">
      <c r="A43" t="s">
        <v>580</v>
      </c>
    </row>
    <row r="44" spans="1:1" x14ac:dyDescent="0.25">
      <c r="A44" t="s">
        <v>581</v>
      </c>
    </row>
    <row r="45" spans="1:1" x14ac:dyDescent="0.25">
      <c r="A45" t="s">
        <v>582</v>
      </c>
    </row>
    <row r="47" spans="1:1" x14ac:dyDescent="0.25">
      <c r="A47" t="s">
        <v>583</v>
      </c>
    </row>
    <row r="48" spans="1:1" x14ac:dyDescent="0.25">
      <c r="A48" t="s">
        <v>584</v>
      </c>
    </row>
    <row r="49" spans="1:1" x14ac:dyDescent="0.25">
      <c r="A49" s="352" t="s">
        <v>585</v>
      </c>
    </row>
    <row r="50" spans="1:1" x14ac:dyDescent="0.25">
      <c r="A50" s="352" t="s">
        <v>586</v>
      </c>
    </row>
    <row r="52" spans="1:1" x14ac:dyDescent="0.25">
      <c r="A52" t="s">
        <v>436</v>
      </c>
    </row>
  </sheetData>
  <sheetProtection sheet="1"/>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54"/>
  <sheetViews>
    <sheetView workbookViewId="0">
      <selection activeCell="L3" sqref="L3"/>
    </sheetView>
  </sheetViews>
  <sheetFormatPr defaultRowHeight="14.25" x14ac:dyDescent="0.2"/>
  <cols>
    <col min="1" max="1" width="6.796875" style="407" customWidth="1"/>
    <col min="2" max="2" width="10.09765625" style="408" customWidth="1"/>
    <col min="3" max="3" width="6.69921875" style="408" customWidth="1"/>
    <col min="4" max="4" width="8.796875" style="408"/>
    <col min="5" max="5" width="1.3984375" style="408" customWidth="1"/>
    <col min="6" max="6" width="12.8984375" style="408" customWidth="1"/>
    <col min="7" max="7" width="2.296875" style="408" customWidth="1"/>
    <col min="8" max="8" width="8.796875" style="408" customWidth="1"/>
    <col min="9" max="9" width="1.796875" style="408" customWidth="1"/>
    <col min="10" max="10" width="7.69921875" style="408" customWidth="1"/>
    <col min="11" max="11" width="10.5" style="408" customWidth="1"/>
    <col min="12" max="12" width="6.796875" style="407" customWidth="1"/>
    <col min="13" max="14" width="8.796875" style="407"/>
    <col min="15" max="15" width="8.8984375" style="407" bestFit="1" customWidth="1"/>
    <col min="16" max="16384" width="8.796875" style="407"/>
  </cols>
  <sheetData>
    <row r="1" spans="1:12" x14ac:dyDescent="0.2">
      <c r="A1" s="406"/>
      <c r="B1" s="406"/>
      <c r="C1" s="406"/>
      <c r="D1" s="406"/>
      <c r="E1" s="406"/>
      <c r="F1" s="406"/>
      <c r="G1" s="406"/>
      <c r="H1" s="406"/>
      <c r="I1" s="406"/>
      <c r="J1" s="406"/>
      <c r="K1" s="406"/>
      <c r="L1" s="406"/>
    </row>
    <row r="2" spans="1:12" x14ac:dyDescent="0.2">
      <c r="A2" s="406"/>
      <c r="B2" s="406"/>
      <c r="C2" s="406"/>
      <c r="D2" s="406"/>
      <c r="E2" s="406"/>
      <c r="F2" s="406"/>
      <c r="G2" s="406"/>
      <c r="H2" s="406"/>
      <c r="I2" s="406"/>
      <c r="J2" s="406"/>
      <c r="K2" s="406"/>
      <c r="L2" s="406"/>
    </row>
    <row r="3" spans="1:12" x14ac:dyDescent="0.2">
      <c r="A3" s="406"/>
      <c r="B3" s="406"/>
      <c r="C3" s="406"/>
      <c r="D3" s="406"/>
      <c r="E3" s="406"/>
      <c r="F3" s="406"/>
      <c r="G3" s="406"/>
      <c r="H3" s="406"/>
      <c r="I3" s="406"/>
      <c r="J3" s="406"/>
      <c r="K3" s="406"/>
      <c r="L3" s="406"/>
    </row>
    <row r="4" spans="1:12" x14ac:dyDescent="0.2">
      <c r="A4" s="406"/>
      <c r="L4" s="406"/>
    </row>
    <row r="5" spans="1:12" ht="15" customHeight="1" x14ac:dyDescent="0.2">
      <c r="A5" s="406"/>
      <c r="L5" s="406"/>
    </row>
    <row r="6" spans="1:12" ht="33" customHeight="1" x14ac:dyDescent="0.2">
      <c r="A6" s="406"/>
      <c r="B6" s="859" t="s">
        <v>627</v>
      </c>
      <c r="C6" s="860"/>
      <c r="D6" s="860"/>
      <c r="E6" s="860"/>
      <c r="F6" s="860"/>
      <c r="G6" s="860"/>
      <c r="H6" s="860"/>
      <c r="I6" s="860"/>
      <c r="J6" s="860"/>
      <c r="K6" s="860"/>
      <c r="L6" s="409"/>
    </row>
    <row r="7" spans="1:12" ht="40.5" customHeight="1" x14ac:dyDescent="0.2">
      <c r="A7" s="406"/>
      <c r="B7" s="861" t="s">
        <v>628</v>
      </c>
      <c r="C7" s="862"/>
      <c r="D7" s="862"/>
      <c r="E7" s="862"/>
      <c r="F7" s="862"/>
      <c r="G7" s="862"/>
      <c r="H7" s="862"/>
      <c r="I7" s="862"/>
      <c r="J7" s="862"/>
      <c r="K7" s="862"/>
      <c r="L7" s="406"/>
    </row>
    <row r="8" spans="1:12" x14ac:dyDescent="0.2">
      <c r="A8" s="406"/>
      <c r="B8" s="863" t="s">
        <v>629</v>
      </c>
      <c r="C8" s="863"/>
      <c r="D8" s="863"/>
      <c r="E8" s="863"/>
      <c r="F8" s="863"/>
      <c r="G8" s="863"/>
      <c r="H8" s="863"/>
      <c r="I8" s="863"/>
      <c r="J8" s="863"/>
      <c r="K8" s="863"/>
      <c r="L8" s="406"/>
    </row>
    <row r="9" spans="1:12" x14ac:dyDescent="0.2">
      <c r="A9" s="406"/>
      <c r="L9" s="406"/>
    </row>
    <row r="10" spans="1:12" x14ac:dyDescent="0.2">
      <c r="A10" s="406"/>
      <c r="B10" s="863" t="s">
        <v>630</v>
      </c>
      <c r="C10" s="863"/>
      <c r="D10" s="863"/>
      <c r="E10" s="863"/>
      <c r="F10" s="863"/>
      <c r="G10" s="863"/>
      <c r="H10" s="863"/>
      <c r="I10" s="863"/>
      <c r="J10" s="863"/>
      <c r="K10" s="863"/>
      <c r="L10" s="406"/>
    </row>
    <row r="11" spans="1:12" x14ac:dyDescent="0.2">
      <c r="A11" s="406"/>
      <c r="B11" s="550"/>
      <c r="C11" s="550"/>
      <c r="D11" s="550"/>
      <c r="E11" s="550"/>
      <c r="F11" s="550"/>
      <c r="G11" s="550"/>
      <c r="H11" s="550"/>
      <c r="I11" s="550"/>
      <c r="J11" s="550"/>
      <c r="K11" s="550"/>
      <c r="L11" s="406"/>
    </row>
    <row r="12" spans="1:12" ht="32.25" customHeight="1" x14ac:dyDescent="0.2">
      <c r="A12" s="406"/>
      <c r="B12" s="864" t="s">
        <v>631</v>
      </c>
      <c r="C12" s="864"/>
      <c r="D12" s="864"/>
      <c r="E12" s="864"/>
      <c r="F12" s="864"/>
      <c r="G12" s="864"/>
      <c r="H12" s="864"/>
      <c r="I12" s="864"/>
      <c r="J12" s="864"/>
      <c r="K12" s="864"/>
      <c r="L12" s="406"/>
    </row>
    <row r="13" spans="1:12" x14ac:dyDescent="0.2">
      <c r="A13" s="406"/>
      <c r="L13" s="406"/>
    </row>
    <row r="14" spans="1:12" x14ac:dyDescent="0.2">
      <c r="A14" s="406"/>
      <c r="B14" s="410" t="s">
        <v>632</v>
      </c>
      <c r="L14" s="406"/>
    </row>
    <row r="15" spans="1:12" x14ac:dyDescent="0.2">
      <c r="A15" s="406"/>
      <c r="L15" s="406"/>
    </row>
    <row r="16" spans="1:12" x14ac:dyDescent="0.2">
      <c r="A16" s="406"/>
      <c r="B16" s="408" t="s">
        <v>633</v>
      </c>
      <c r="L16" s="406"/>
    </row>
    <row r="17" spans="1:12" x14ac:dyDescent="0.2">
      <c r="A17" s="406"/>
      <c r="B17" s="408" t="s">
        <v>634</v>
      </c>
      <c r="L17" s="406"/>
    </row>
    <row r="18" spans="1:12" x14ac:dyDescent="0.2">
      <c r="A18" s="406"/>
      <c r="L18" s="406"/>
    </row>
    <row r="19" spans="1:12" x14ac:dyDescent="0.2">
      <c r="A19" s="406"/>
      <c r="B19" s="410" t="s">
        <v>760</v>
      </c>
      <c r="L19" s="406"/>
    </row>
    <row r="20" spans="1:12" x14ac:dyDescent="0.2">
      <c r="A20" s="406"/>
      <c r="B20" s="410"/>
      <c r="L20" s="406"/>
    </row>
    <row r="21" spans="1:12" x14ac:dyDescent="0.2">
      <c r="A21" s="406"/>
      <c r="B21" s="408" t="s">
        <v>761</v>
      </c>
      <c r="L21" s="406"/>
    </row>
    <row r="22" spans="1:12" x14ac:dyDescent="0.2">
      <c r="A22" s="406"/>
      <c r="L22" s="406"/>
    </row>
    <row r="23" spans="1:12" x14ac:dyDescent="0.2">
      <c r="A23" s="406"/>
      <c r="B23" s="408" t="s">
        <v>635</v>
      </c>
      <c r="E23" s="408" t="s">
        <v>636</v>
      </c>
      <c r="F23" s="858">
        <v>312000000</v>
      </c>
      <c r="G23" s="858"/>
      <c r="L23" s="406"/>
    </row>
    <row r="24" spans="1:12" x14ac:dyDescent="0.2">
      <c r="A24" s="406"/>
      <c r="L24" s="406"/>
    </row>
    <row r="25" spans="1:12" x14ac:dyDescent="0.2">
      <c r="A25" s="406"/>
      <c r="C25" s="865">
        <f>F23</f>
        <v>312000000</v>
      </c>
      <c r="D25" s="865"/>
      <c r="E25" s="408" t="s">
        <v>637</v>
      </c>
      <c r="F25" s="411">
        <v>1000</v>
      </c>
      <c r="G25" s="411" t="s">
        <v>636</v>
      </c>
      <c r="H25" s="552">
        <f>F23/F25</f>
        <v>312000</v>
      </c>
      <c r="L25" s="406"/>
    </row>
    <row r="26" spans="1:12" ht="15" thickBot="1" x14ac:dyDescent="0.25">
      <c r="A26" s="406"/>
      <c r="L26" s="406"/>
    </row>
    <row r="27" spans="1:12" x14ac:dyDescent="0.2">
      <c r="A27" s="406"/>
      <c r="B27" s="412" t="s">
        <v>632</v>
      </c>
      <c r="C27" s="413"/>
      <c r="D27" s="413"/>
      <c r="E27" s="413"/>
      <c r="F27" s="413"/>
      <c r="G27" s="413"/>
      <c r="H27" s="413"/>
      <c r="I27" s="413"/>
      <c r="J27" s="413"/>
      <c r="K27" s="414"/>
      <c r="L27" s="406"/>
    </row>
    <row r="28" spans="1:12" x14ac:dyDescent="0.2">
      <c r="A28" s="406"/>
      <c r="B28" s="415">
        <f>F23</f>
        <v>312000000</v>
      </c>
      <c r="C28" s="416" t="s">
        <v>638</v>
      </c>
      <c r="D28" s="416"/>
      <c r="E28" s="416" t="s">
        <v>637</v>
      </c>
      <c r="F28" s="555">
        <v>1000</v>
      </c>
      <c r="G28" s="555" t="s">
        <v>636</v>
      </c>
      <c r="H28" s="417">
        <f>B28/F28</f>
        <v>312000</v>
      </c>
      <c r="I28" s="416" t="s">
        <v>639</v>
      </c>
      <c r="J28" s="416"/>
      <c r="K28" s="418"/>
      <c r="L28" s="406"/>
    </row>
    <row r="29" spans="1:12" ht="15" thickBot="1" x14ac:dyDescent="0.25">
      <c r="A29" s="406"/>
      <c r="B29" s="419"/>
      <c r="C29" s="420"/>
      <c r="D29" s="420"/>
      <c r="E29" s="420"/>
      <c r="F29" s="420"/>
      <c r="G29" s="420"/>
      <c r="H29" s="420"/>
      <c r="I29" s="420"/>
      <c r="J29" s="420"/>
      <c r="K29" s="421"/>
      <c r="L29" s="406"/>
    </row>
    <row r="30" spans="1:12" ht="40.5" customHeight="1" x14ac:dyDescent="0.2">
      <c r="A30" s="406"/>
      <c r="B30" s="866" t="s">
        <v>628</v>
      </c>
      <c r="C30" s="866"/>
      <c r="D30" s="866"/>
      <c r="E30" s="866"/>
      <c r="F30" s="866"/>
      <c r="G30" s="866"/>
      <c r="H30" s="866"/>
      <c r="I30" s="866"/>
      <c r="J30" s="866"/>
      <c r="K30" s="866"/>
      <c r="L30" s="406"/>
    </row>
    <row r="31" spans="1:12" x14ac:dyDescent="0.2">
      <c r="A31" s="406"/>
      <c r="B31" s="863" t="s">
        <v>640</v>
      </c>
      <c r="C31" s="863"/>
      <c r="D31" s="863"/>
      <c r="E31" s="863"/>
      <c r="F31" s="863"/>
      <c r="G31" s="863"/>
      <c r="H31" s="863"/>
      <c r="I31" s="863"/>
      <c r="J31" s="863"/>
      <c r="K31" s="863"/>
      <c r="L31" s="406"/>
    </row>
    <row r="32" spans="1:12" x14ac:dyDescent="0.2">
      <c r="A32" s="406"/>
      <c r="L32" s="406"/>
    </row>
    <row r="33" spans="1:12" x14ac:dyDescent="0.2">
      <c r="A33" s="406"/>
      <c r="B33" s="863" t="s">
        <v>641</v>
      </c>
      <c r="C33" s="863"/>
      <c r="D33" s="863"/>
      <c r="E33" s="863"/>
      <c r="F33" s="863"/>
      <c r="G33" s="863"/>
      <c r="H33" s="863"/>
      <c r="I33" s="863"/>
      <c r="J33" s="863"/>
      <c r="K33" s="863"/>
      <c r="L33" s="406"/>
    </row>
    <row r="34" spans="1:12" x14ac:dyDescent="0.2">
      <c r="A34" s="406"/>
      <c r="L34" s="406"/>
    </row>
    <row r="35" spans="1:12" ht="89.25" customHeight="1" x14ac:dyDescent="0.2">
      <c r="A35" s="406"/>
      <c r="B35" s="864" t="s">
        <v>642</v>
      </c>
      <c r="C35" s="867"/>
      <c r="D35" s="867"/>
      <c r="E35" s="867"/>
      <c r="F35" s="867"/>
      <c r="G35" s="867"/>
      <c r="H35" s="867"/>
      <c r="I35" s="867"/>
      <c r="J35" s="867"/>
      <c r="K35" s="867"/>
      <c r="L35" s="406"/>
    </row>
    <row r="36" spans="1:12" x14ac:dyDescent="0.2">
      <c r="A36" s="406"/>
      <c r="L36" s="406"/>
    </row>
    <row r="37" spans="1:12" x14ac:dyDescent="0.2">
      <c r="A37" s="406"/>
      <c r="B37" s="410" t="s">
        <v>643</v>
      </c>
      <c r="L37" s="406"/>
    </row>
    <row r="38" spans="1:12" x14ac:dyDescent="0.2">
      <c r="A38" s="406"/>
      <c r="L38" s="406"/>
    </row>
    <row r="39" spans="1:12" x14ac:dyDescent="0.2">
      <c r="A39" s="406"/>
      <c r="B39" s="408" t="s">
        <v>644</v>
      </c>
      <c r="L39" s="406"/>
    </row>
    <row r="40" spans="1:12" x14ac:dyDescent="0.2">
      <c r="A40" s="406"/>
      <c r="L40" s="406"/>
    </row>
    <row r="41" spans="1:12" x14ac:dyDescent="0.2">
      <c r="A41" s="406"/>
      <c r="C41" s="868">
        <v>312000000</v>
      </c>
      <c r="D41" s="868"/>
      <c r="E41" s="408" t="s">
        <v>637</v>
      </c>
      <c r="F41" s="411">
        <v>1000</v>
      </c>
      <c r="G41" s="411" t="s">
        <v>636</v>
      </c>
      <c r="H41" s="422">
        <f>C41/F41</f>
        <v>312000</v>
      </c>
      <c r="L41" s="406"/>
    </row>
    <row r="42" spans="1:12" x14ac:dyDescent="0.2">
      <c r="A42" s="406"/>
      <c r="L42" s="406"/>
    </row>
    <row r="43" spans="1:12" x14ac:dyDescent="0.2">
      <c r="A43" s="406"/>
      <c r="B43" s="408" t="s">
        <v>645</v>
      </c>
      <c r="L43" s="406"/>
    </row>
    <row r="44" spans="1:12" x14ac:dyDescent="0.2">
      <c r="A44" s="406"/>
      <c r="L44" s="406"/>
    </row>
    <row r="45" spans="1:12" x14ac:dyDescent="0.2">
      <c r="A45" s="406"/>
      <c r="B45" s="408" t="s">
        <v>646</v>
      </c>
      <c r="L45" s="406"/>
    </row>
    <row r="46" spans="1:12" ht="15" thickBot="1" x14ac:dyDescent="0.25">
      <c r="A46" s="406"/>
      <c r="L46" s="406"/>
    </row>
    <row r="47" spans="1:12" x14ac:dyDescent="0.2">
      <c r="A47" s="406"/>
      <c r="B47" s="423" t="s">
        <v>632</v>
      </c>
      <c r="C47" s="413"/>
      <c r="D47" s="413"/>
      <c r="E47" s="413"/>
      <c r="F47" s="413"/>
      <c r="G47" s="413"/>
      <c r="H47" s="413"/>
      <c r="I47" s="413"/>
      <c r="J47" s="413"/>
      <c r="K47" s="414"/>
      <c r="L47" s="406"/>
    </row>
    <row r="48" spans="1:12" x14ac:dyDescent="0.2">
      <c r="A48" s="406"/>
      <c r="B48" s="869">
        <v>312000000</v>
      </c>
      <c r="C48" s="858"/>
      <c r="D48" s="416" t="s">
        <v>647</v>
      </c>
      <c r="E48" s="416" t="s">
        <v>637</v>
      </c>
      <c r="F48" s="555">
        <v>1000</v>
      </c>
      <c r="G48" s="555" t="s">
        <v>636</v>
      </c>
      <c r="H48" s="417">
        <f>B48/F48</f>
        <v>312000</v>
      </c>
      <c r="I48" s="416" t="s">
        <v>648</v>
      </c>
      <c r="J48" s="416"/>
      <c r="K48" s="418"/>
      <c r="L48" s="406"/>
    </row>
    <row r="49" spans="1:24" x14ac:dyDescent="0.2">
      <c r="A49" s="406"/>
      <c r="B49" s="424"/>
      <c r="C49" s="416"/>
      <c r="D49" s="416"/>
      <c r="E49" s="416"/>
      <c r="F49" s="416"/>
      <c r="G49" s="416"/>
      <c r="H49" s="416"/>
      <c r="I49" s="416"/>
      <c r="J49" s="416"/>
      <c r="K49" s="418"/>
      <c r="L49" s="406"/>
    </row>
    <row r="50" spans="1:24" x14ac:dyDescent="0.2">
      <c r="A50" s="406"/>
      <c r="B50" s="425">
        <v>50000</v>
      </c>
      <c r="C50" s="416" t="s">
        <v>649</v>
      </c>
      <c r="D50" s="416"/>
      <c r="E50" s="416" t="s">
        <v>637</v>
      </c>
      <c r="F50" s="417">
        <f>H48</f>
        <v>312000</v>
      </c>
      <c r="G50" s="870" t="s">
        <v>650</v>
      </c>
      <c r="H50" s="871"/>
      <c r="I50" s="555" t="s">
        <v>636</v>
      </c>
      <c r="J50" s="426">
        <f>B50/F50</f>
        <v>0.16025641025641027</v>
      </c>
      <c r="K50" s="418"/>
      <c r="L50" s="406"/>
    </row>
    <row r="51" spans="1:24" ht="15" thickBot="1" x14ac:dyDescent="0.25">
      <c r="A51" s="406"/>
      <c r="B51" s="419"/>
      <c r="C51" s="420"/>
      <c r="D51" s="420"/>
      <c r="E51" s="420"/>
      <c r="F51" s="420"/>
      <c r="G51" s="420"/>
      <c r="H51" s="420"/>
      <c r="I51" s="872" t="s">
        <v>651</v>
      </c>
      <c r="J51" s="872"/>
      <c r="K51" s="873"/>
      <c r="L51" s="406"/>
      <c r="O51" s="427"/>
    </row>
    <row r="52" spans="1:24" ht="40.5" customHeight="1" x14ac:dyDescent="0.2">
      <c r="A52" s="406"/>
      <c r="B52" s="866" t="s">
        <v>628</v>
      </c>
      <c r="C52" s="866"/>
      <c r="D52" s="866"/>
      <c r="E52" s="866"/>
      <c r="F52" s="866"/>
      <c r="G52" s="866"/>
      <c r="H52" s="866"/>
      <c r="I52" s="866"/>
      <c r="J52" s="866"/>
      <c r="K52" s="866"/>
      <c r="L52" s="406"/>
    </row>
    <row r="53" spans="1:24" x14ac:dyDescent="0.2">
      <c r="A53" s="406"/>
      <c r="B53" s="863" t="s">
        <v>652</v>
      </c>
      <c r="C53" s="863"/>
      <c r="D53" s="863"/>
      <c r="E53" s="863"/>
      <c r="F53" s="863"/>
      <c r="G53" s="863"/>
      <c r="H53" s="863"/>
      <c r="I53" s="863"/>
      <c r="J53" s="863"/>
      <c r="K53" s="863"/>
      <c r="L53" s="406"/>
    </row>
    <row r="54" spans="1:24" x14ac:dyDescent="0.2">
      <c r="A54" s="406"/>
      <c r="B54" s="550"/>
      <c r="C54" s="550"/>
      <c r="D54" s="550"/>
      <c r="E54" s="550"/>
      <c r="F54" s="550"/>
      <c r="G54" s="550"/>
      <c r="H54" s="550"/>
      <c r="I54" s="550"/>
      <c r="J54" s="550"/>
      <c r="K54" s="550"/>
      <c r="L54" s="406"/>
    </row>
    <row r="55" spans="1:24" x14ac:dyDescent="0.2">
      <c r="A55" s="406"/>
      <c r="B55" s="859" t="s">
        <v>653</v>
      </c>
      <c r="C55" s="859"/>
      <c r="D55" s="859"/>
      <c r="E55" s="859"/>
      <c r="F55" s="859"/>
      <c r="G55" s="859"/>
      <c r="H55" s="859"/>
      <c r="I55" s="859"/>
      <c r="J55" s="859"/>
      <c r="K55" s="859"/>
      <c r="L55" s="406"/>
    </row>
    <row r="56" spans="1:24" ht="15" customHeight="1" x14ac:dyDescent="0.2">
      <c r="A56" s="406"/>
      <c r="L56" s="406"/>
    </row>
    <row r="57" spans="1:24" ht="74.25" customHeight="1" x14ac:dyDescent="0.2">
      <c r="A57" s="406"/>
      <c r="B57" s="864" t="s">
        <v>654</v>
      </c>
      <c r="C57" s="867"/>
      <c r="D57" s="867"/>
      <c r="E57" s="867"/>
      <c r="F57" s="867"/>
      <c r="G57" s="867"/>
      <c r="H57" s="867"/>
      <c r="I57" s="867"/>
      <c r="J57" s="867"/>
      <c r="K57" s="867"/>
      <c r="L57" s="406"/>
      <c r="M57" s="428"/>
      <c r="N57" s="429"/>
      <c r="O57" s="429"/>
      <c r="P57" s="429"/>
      <c r="Q57" s="429"/>
      <c r="R57" s="429"/>
      <c r="S57" s="429"/>
      <c r="T57" s="429"/>
      <c r="U57" s="429"/>
      <c r="V57" s="429"/>
      <c r="W57" s="429"/>
      <c r="X57" s="429"/>
    </row>
    <row r="58" spans="1:24" ht="15" customHeight="1" x14ac:dyDescent="0.2">
      <c r="A58" s="406"/>
      <c r="B58" s="864"/>
      <c r="C58" s="867"/>
      <c r="D58" s="867"/>
      <c r="E58" s="867"/>
      <c r="F58" s="867"/>
      <c r="G58" s="867"/>
      <c r="H58" s="867"/>
      <c r="I58" s="867"/>
      <c r="J58" s="867"/>
      <c r="K58" s="867"/>
      <c r="L58" s="406"/>
      <c r="M58" s="428"/>
      <c r="N58" s="429"/>
      <c r="O58" s="429"/>
      <c r="P58" s="429"/>
      <c r="Q58" s="429"/>
      <c r="R58" s="429"/>
      <c r="S58" s="429"/>
      <c r="T58" s="429"/>
      <c r="U58" s="429"/>
      <c r="V58" s="429"/>
      <c r="W58" s="429"/>
      <c r="X58" s="429"/>
    </row>
    <row r="59" spans="1:24" x14ac:dyDescent="0.2">
      <c r="A59" s="406"/>
      <c r="B59" s="410" t="s">
        <v>643</v>
      </c>
      <c r="L59" s="406"/>
      <c r="M59" s="429"/>
      <c r="N59" s="429"/>
      <c r="O59" s="429"/>
      <c r="P59" s="429"/>
      <c r="Q59" s="429"/>
      <c r="R59" s="429"/>
      <c r="S59" s="429"/>
      <c r="T59" s="429"/>
      <c r="U59" s="429"/>
      <c r="V59" s="429"/>
      <c r="W59" s="429"/>
      <c r="X59" s="429"/>
    </row>
    <row r="60" spans="1:24" x14ac:dyDescent="0.2">
      <c r="A60" s="406"/>
      <c r="L60" s="406"/>
      <c r="M60" s="429"/>
      <c r="N60" s="429"/>
      <c r="O60" s="429"/>
      <c r="P60" s="429"/>
      <c r="Q60" s="429"/>
      <c r="R60" s="429"/>
      <c r="S60" s="429"/>
      <c r="T60" s="429"/>
      <c r="U60" s="429"/>
      <c r="V60" s="429"/>
      <c r="W60" s="429"/>
      <c r="X60" s="429"/>
    </row>
    <row r="61" spans="1:24" x14ac:dyDescent="0.2">
      <c r="A61" s="406"/>
      <c r="B61" s="408" t="s">
        <v>655</v>
      </c>
      <c r="L61" s="406"/>
      <c r="M61" s="429"/>
      <c r="N61" s="429"/>
      <c r="O61" s="429"/>
      <c r="P61" s="429"/>
      <c r="Q61" s="429"/>
      <c r="R61" s="429"/>
      <c r="S61" s="429"/>
      <c r="T61" s="429"/>
      <c r="U61" s="429"/>
      <c r="V61" s="429"/>
      <c r="W61" s="429"/>
      <c r="X61" s="429"/>
    </row>
    <row r="62" spans="1:24" x14ac:dyDescent="0.2">
      <c r="A62" s="406"/>
      <c r="B62" s="408" t="s">
        <v>762</v>
      </c>
      <c r="L62" s="406"/>
      <c r="M62" s="429"/>
      <c r="N62" s="429"/>
      <c r="O62" s="429"/>
      <c r="P62" s="429"/>
      <c r="Q62" s="429"/>
      <c r="R62" s="429"/>
      <c r="S62" s="429"/>
      <c r="T62" s="429"/>
      <c r="U62" s="429"/>
      <c r="V62" s="429"/>
      <c r="W62" s="429"/>
      <c r="X62" s="429"/>
    </row>
    <row r="63" spans="1:24" x14ac:dyDescent="0.2">
      <c r="A63" s="406"/>
      <c r="B63" s="408" t="s">
        <v>763</v>
      </c>
      <c r="L63" s="406"/>
      <c r="M63" s="429"/>
      <c r="N63" s="429"/>
      <c r="O63" s="429"/>
      <c r="P63" s="429"/>
      <c r="Q63" s="429"/>
      <c r="R63" s="429"/>
      <c r="S63" s="429"/>
      <c r="T63" s="429"/>
      <c r="U63" s="429"/>
      <c r="V63" s="429"/>
      <c r="W63" s="429"/>
      <c r="X63" s="429"/>
    </row>
    <row r="64" spans="1:24" x14ac:dyDescent="0.2">
      <c r="A64" s="406"/>
      <c r="L64" s="406"/>
      <c r="M64" s="429"/>
      <c r="N64" s="429"/>
      <c r="O64" s="429"/>
      <c r="P64" s="429"/>
      <c r="Q64" s="429"/>
      <c r="R64" s="429"/>
      <c r="S64" s="429"/>
      <c r="T64" s="429"/>
      <c r="U64" s="429"/>
      <c r="V64" s="429"/>
      <c r="W64" s="429"/>
      <c r="X64" s="429"/>
    </row>
    <row r="65" spans="1:24" x14ac:dyDescent="0.2">
      <c r="A65" s="406"/>
      <c r="B65" s="408" t="s">
        <v>656</v>
      </c>
      <c r="L65" s="406"/>
      <c r="M65" s="429"/>
      <c r="N65" s="429"/>
      <c r="O65" s="429"/>
      <c r="P65" s="429"/>
      <c r="Q65" s="429"/>
      <c r="R65" s="429"/>
      <c r="S65" s="429"/>
      <c r="T65" s="429"/>
      <c r="U65" s="429"/>
      <c r="V65" s="429"/>
      <c r="W65" s="429"/>
      <c r="X65" s="429"/>
    </row>
    <row r="66" spans="1:24" x14ac:dyDescent="0.2">
      <c r="A66" s="406"/>
      <c r="B66" s="408" t="s">
        <v>657</v>
      </c>
      <c r="L66" s="406"/>
      <c r="M66" s="429"/>
      <c r="N66" s="429"/>
      <c r="O66" s="429"/>
      <c r="P66" s="429"/>
      <c r="Q66" s="429"/>
      <c r="R66" s="429"/>
      <c r="S66" s="429"/>
      <c r="T66" s="429"/>
      <c r="U66" s="429"/>
      <c r="V66" s="429"/>
      <c r="W66" s="429"/>
      <c r="X66" s="429"/>
    </row>
    <row r="67" spans="1:24" x14ac:dyDescent="0.2">
      <c r="A67" s="406"/>
      <c r="L67" s="406"/>
      <c r="M67" s="429"/>
      <c r="N67" s="429"/>
      <c r="O67" s="429"/>
      <c r="P67" s="429"/>
      <c r="Q67" s="429"/>
      <c r="R67" s="429"/>
      <c r="S67" s="429"/>
      <c r="T67" s="429"/>
      <c r="U67" s="429"/>
      <c r="V67" s="429"/>
      <c r="W67" s="429"/>
      <c r="X67" s="429"/>
    </row>
    <row r="68" spans="1:24" x14ac:dyDescent="0.2">
      <c r="A68" s="406"/>
      <c r="B68" s="408" t="s">
        <v>658</v>
      </c>
      <c r="L68" s="406"/>
      <c r="M68" s="430"/>
      <c r="N68" s="431"/>
      <c r="O68" s="431"/>
      <c r="P68" s="431"/>
      <c r="Q68" s="431"/>
      <c r="R68" s="431"/>
      <c r="S68" s="431"/>
      <c r="T68" s="431"/>
      <c r="U68" s="431"/>
      <c r="V68" s="431"/>
      <c r="W68" s="431"/>
      <c r="X68" s="429"/>
    </row>
    <row r="69" spans="1:24" x14ac:dyDescent="0.2">
      <c r="A69" s="406"/>
      <c r="B69" s="408" t="s">
        <v>764</v>
      </c>
      <c r="L69" s="406"/>
      <c r="M69" s="429"/>
      <c r="N69" s="429"/>
      <c r="O69" s="429"/>
      <c r="P69" s="429"/>
      <c r="Q69" s="429"/>
      <c r="R69" s="429"/>
      <c r="S69" s="429"/>
      <c r="T69" s="429"/>
      <c r="U69" s="429"/>
      <c r="V69" s="429"/>
      <c r="W69" s="429"/>
      <c r="X69" s="429"/>
    </row>
    <row r="70" spans="1:24" x14ac:dyDescent="0.2">
      <c r="A70" s="406"/>
      <c r="B70" s="408" t="s">
        <v>765</v>
      </c>
      <c r="L70" s="406"/>
      <c r="M70" s="429"/>
      <c r="N70" s="429"/>
      <c r="O70" s="429"/>
      <c r="P70" s="429"/>
      <c r="Q70" s="429"/>
      <c r="R70" s="429"/>
      <c r="S70" s="429"/>
      <c r="T70" s="429"/>
      <c r="U70" s="429"/>
      <c r="V70" s="429"/>
      <c r="W70" s="429"/>
      <c r="X70" s="429"/>
    </row>
    <row r="71" spans="1:24" ht="15" thickBot="1" x14ac:dyDescent="0.25">
      <c r="A71" s="406"/>
      <c r="B71" s="416"/>
      <c r="C71" s="416"/>
      <c r="D71" s="416"/>
      <c r="E71" s="416"/>
      <c r="F71" s="416"/>
      <c r="G71" s="416"/>
      <c r="H71" s="416"/>
      <c r="I71" s="416"/>
      <c r="J71" s="416"/>
      <c r="K71" s="416"/>
      <c r="L71" s="406"/>
    </row>
    <row r="72" spans="1:24" x14ac:dyDescent="0.2">
      <c r="A72" s="406"/>
      <c r="B72" s="412" t="s">
        <v>632</v>
      </c>
      <c r="C72" s="413"/>
      <c r="D72" s="413"/>
      <c r="E72" s="413"/>
      <c r="F72" s="413"/>
      <c r="G72" s="413"/>
      <c r="H72" s="413"/>
      <c r="I72" s="413"/>
      <c r="J72" s="413"/>
      <c r="K72" s="414"/>
      <c r="L72" s="432"/>
    </row>
    <row r="73" spans="1:24" x14ac:dyDescent="0.2">
      <c r="A73" s="406"/>
      <c r="B73" s="424"/>
      <c r="C73" s="416" t="s">
        <v>638</v>
      </c>
      <c r="D73" s="416"/>
      <c r="E73" s="416"/>
      <c r="F73" s="416"/>
      <c r="G73" s="416"/>
      <c r="H73" s="416"/>
      <c r="I73" s="416"/>
      <c r="J73" s="416"/>
      <c r="K73" s="418"/>
      <c r="L73" s="432"/>
    </row>
    <row r="74" spans="1:24" x14ac:dyDescent="0.2">
      <c r="A74" s="406"/>
      <c r="B74" s="424" t="s">
        <v>659</v>
      </c>
      <c r="C74" s="858">
        <v>312000000</v>
      </c>
      <c r="D74" s="858"/>
      <c r="E74" s="555" t="s">
        <v>637</v>
      </c>
      <c r="F74" s="555">
        <v>1000</v>
      </c>
      <c r="G74" s="555" t="s">
        <v>636</v>
      </c>
      <c r="H74" s="556">
        <f>C74/F74</f>
        <v>312000</v>
      </c>
      <c r="I74" s="416" t="s">
        <v>660</v>
      </c>
      <c r="J74" s="416"/>
      <c r="K74" s="418"/>
      <c r="L74" s="432"/>
    </row>
    <row r="75" spans="1:24" x14ac:dyDescent="0.2">
      <c r="A75" s="406"/>
      <c r="B75" s="424"/>
      <c r="C75" s="416"/>
      <c r="D75" s="416"/>
      <c r="E75" s="555"/>
      <c r="F75" s="416"/>
      <c r="G75" s="416"/>
      <c r="H75" s="416"/>
      <c r="I75" s="416"/>
      <c r="J75" s="416"/>
      <c r="K75" s="418"/>
      <c r="L75" s="432"/>
    </row>
    <row r="76" spans="1:24" x14ac:dyDescent="0.2">
      <c r="A76" s="406"/>
      <c r="B76" s="424"/>
      <c r="C76" s="416" t="s">
        <v>661</v>
      </c>
      <c r="D76" s="416"/>
      <c r="E76" s="555"/>
      <c r="F76" s="416" t="s">
        <v>660</v>
      </c>
      <c r="G76" s="416"/>
      <c r="H76" s="416"/>
      <c r="I76" s="416"/>
      <c r="J76" s="416"/>
      <c r="K76" s="418"/>
      <c r="L76" s="432"/>
    </row>
    <row r="77" spans="1:24" x14ac:dyDescent="0.2">
      <c r="A77" s="406"/>
      <c r="B77" s="424" t="s">
        <v>662</v>
      </c>
      <c r="C77" s="858">
        <v>50000</v>
      </c>
      <c r="D77" s="858"/>
      <c r="E77" s="555" t="s">
        <v>637</v>
      </c>
      <c r="F77" s="556">
        <f>H74</f>
        <v>312000</v>
      </c>
      <c r="G77" s="555" t="s">
        <v>636</v>
      </c>
      <c r="H77" s="426">
        <f>C77/F77</f>
        <v>0.16025641025641027</v>
      </c>
      <c r="I77" s="416" t="s">
        <v>663</v>
      </c>
      <c r="J77" s="416"/>
      <c r="K77" s="418"/>
      <c r="L77" s="432"/>
    </row>
    <row r="78" spans="1:24" x14ac:dyDescent="0.2">
      <c r="A78" s="406"/>
      <c r="B78" s="424"/>
      <c r="C78" s="416"/>
      <c r="D78" s="416"/>
      <c r="E78" s="555"/>
      <c r="F78" s="416"/>
      <c r="G78" s="416"/>
      <c r="H78" s="416"/>
      <c r="I78" s="416"/>
      <c r="J78" s="416"/>
      <c r="K78" s="418"/>
      <c r="L78" s="432"/>
    </row>
    <row r="79" spans="1:24" x14ac:dyDescent="0.2">
      <c r="A79" s="406"/>
      <c r="B79" s="433"/>
      <c r="C79" s="434" t="s">
        <v>664</v>
      </c>
      <c r="D79" s="434"/>
      <c r="E79" s="557"/>
      <c r="F79" s="434"/>
      <c r="G79" s="434"/>
      <c r="H79" s="434"/>
      <c r="I79" s="434"/>
      <c r="J79" s="434"/>
      <c r="K79" s="435"/>
      <c r="L79" s="432"/>
    </row>
    <row r="80" spans="1:24" x14ac:dyDescent="0.2">
      <c r="A80" s="406"/>
      <c r="B80" s="424" t="s">
        <v>665</v>
      </c>
      <c r="C80" s="858">
        <v>100000</v>
      </c>
      <c r="D80" s="858"/>
      <c r="E80" s="555" t="s">
        <v>290</v>
      </c>
      <c r="F80" s="555">
        <v>0.115</v>
      </c>
      <c r="G80" s="555" t="s">
        <v>636</v>
      </c>
      <c r="H80" s="556">
        <f>C80*F80</f>
        <v>11500</v>
      </c>
      <c r="I80" s="416" t="s">
        <v>666</v>
      </c>
      <c r="J80" s="416"/>
      <c r="K80" s="418"/>
      <c r="L80" s="432"/>
    </row>
    <row r="81" spans="1:12" x14ac:dyDescent="0.2">
      <c r="A81" s="406"/>
      <c r="B81" s="424"/>
      <c r="C81" s="416"/>
      <c r="D81" s="416"/>
      <c r="E81" s="555"/>
      <c r="F81" s="416"/>
      <c r="G81" s="416"/>
      <c r="H81" s="416"/>
      <c r="I81" s="416"/>
      <c r="J81" s="416"/>
      <c r="K81" s="418"/>
      <c r="L81" s="432"/>
    </row>
    <row r="82" spans="1:12" x14ac:dyDescent="0.2">
      <c r="A82" s="406"/>
      <c r="B82" s="433"/>
      <c r="C82" s="434" t="s">
        <v>667</v>
      </c>
      <c r="D82" s="434"/>
      <c r="E82" s="557"/>
      <c r="F82" s="434" t="s">
        <v>663</v>
      </c>
      <c r="G82" s="434"/>
      <c r="H82" s="434"/>
      <c r="I82" s="434"/>
      <c r="J82" s="434" t="s">
        <v>668</v>
      </c>
      <c r="K82" s="435"/>
      <c r="L82" s="432"/>
    </row>
    <row r="83" spans="1:12" x14ac:dyDescent="0.2">
      <c r="A83" s="406"/>
      <c r="B83" s="424" t="s">
        <v>669</v>
      </c>
      <c r="C83" s="874">
        <f>H80</f>
        <v>11500</v>
      </c>
      <c r="D83" s="874"/>
      <c r="E83" s="555" t="s">
        <v>290</v>
      </c>
      <c r="F83" s="426">
        <f>H77</f>
        <v>0.16025641025641027</v>
      </c>
      <c r="G83" s="555" t="s">
        <v>637</v>
      </c>
      <c r="H83" s="555">
        <v>1000</v>
      </c>
      <c r="I83" s="555" t="s">
        <v>636</v>
      </c>
      <c r="J83" s="558">
        <f>C83*F83/H83</f>
        <v>1.8429487179487181</v>
      </c>
      <c r="K83" s="418"/>
      <c r="L83" s="432"/>
    </row>
    <row r="84" spans="1:12" ht="15" thickBot="1" x14ac:dyDescent="0.25">
      <c r="A84" s="406"/>
      <c r="B84" s="419"/>
      <c r="C84" s="436"/>
      <c r="D84" s="436"/>
      <c r="E84" s="437"/>
      <c r="F84" s="438"/>
      <c r="G84" s="437"/>
      <c r="H84" s="437"/>
      <c r="I84" s="437"/>
      <c r="J84" s="439"/>
      <c r="K84" s="421"/>
      <c r="L84" s="432"/>
    </row>
    <row r="85" spans="1:12" ht="40.5" customHeight="1" x14ac:dyDescent="0.2">
      <c r="A85" s="406"/>
      <c r="B85" s="866" t="s">
        <v>628</v>
      </c>
      <c r="C85" s="866"/>
      <c r="D85" s="866"/>
      <c r="E85" s="866"/>
      <c r="F85" s="866"/>
      <c r="G85" s="866"/>
      <c r="H85" s="866"/>
      <c r="I85" s="866"/>
      <c r="J85" s="866"/>
      <c r="K85" s="866"/>
      <c r="L85" s="406"/>
    </row>
    <row r="86" spans="1:12" x14ac:dyDescent="0.2">
      <c r="A86" s="406"/>
      <c r="B86" s="859" t="s">
        <v>670</v>
      </c>
      <c r="C86" s="859"/>
      <c r="D86" s="859"/>
      <c r="E86" s="859"/>
      <c r="F86" s="859"/>
      <c r="G86" s="859"/>
      <c r="H86" s="859"/>
      <c r="I86" s="859"/>
      <c r="J86" s="859"/>
      <c r="K86" s="859"/>
      <c r="L86" s="406"/>
    </row>
    <row r="87" spans="1:12" x14ac:dyDescent="0.2">
      <c r="A87" s="406"/>
      <c r="B87" s="440"/>
      <c r="C87" s="440"/>
      <c r="D87" s="440"/>
      <c r="E87" s="440"/>
      <c r="F87" s="440"/>
      <c r="G87" s="440"/>
      <c r="H87" s="440"/>
      <c r="I87" s="440"/>
      <c r="J87" s="440"/>
      <c r="K87" s="440"/>
      <c r="L87" s="406"/>
    </row>
    <row r="88" spans="1:12" x14ac:dyDescent="0.2">
      <c r="A88" s="406"/>
      <c r="B88" s="859" t="s">
        <v>671</v>
      </c>
      <c r="C88" s="859"/>
      <c r="D88" s="859"/>
      <c r="E88" s="859"/>
      <c r="F88" s="859"/>
      <c r="G88" s="859"/>
      <c r="H88" s="859"/>
      <c r="I88" s="859"/>
      <c r="J88" s="859"/>
      <c r="K88" s="859"/>
      <c r="L88" s="406"/>
    </row>
    <row r="89" spans="1:12" x14ac:dyDescent="0.2">
      <c r="A89" s="406"/>
      <c r="B89" s="549"/>
      <c r="C89" s="549"/>
      <c r="D89" s="549"/>
      <c r="E89" s="549"/>
      <c r="F89" s="549"/>
      <c r="G89" s="549"/>
      <c r="H89" s="549"/>
      <c r="I89" s="549"/>
      <c r="J89" s="549"/>
      <c r="K89" s="549"/>
      <c r="L89" s="406"/>
    </row>
    <row r="90" spans="1:12" ht="45" customHeight="1" x14ac:dyDescent="0.2">
      <c r="A90" s="406"/>
      <c r="B90" s="864" t="s">
        <v>672</v>
      </c>
      <c r="C90" s="864"/>
      <c r="D90" s="864"/>
      <c r="E90" s="864"/>
      <c r="F90" s="864"/>
      <c r="G90" s="864"/>
      <c r="H90" s="864"/>
      <c r="I90" s="864"/>
      <c r="J90" s="864"/>
      <c r="K90" s="864"/>
      <c r="L90" s="406"/>
    </row>
    <row r="91" spans="1:12" ht="15" customHeight="1" thickBot="1" x14ac:dyDescent="0.25">
      <c r="A91" s="406"/>
      <c r="L91" s="406"/>
    </row>
    <row r="92" spans="1:12" ht="15" customHeight="1" x14ac:dyDescent="0.2">
      <c r="A92" s="406"/>
      <c r="B92" s="441" t="s">
        <v>632</v>
      </c>
      <c r="C92" s="442"/>
      <c r="D92" s="442"/>
      <c r="E92" s="442"/>
      <c r="F92" s="442"/>
      <c r="G92" s="442"/>
      <c r="H92" s="442"/>
      <c r="I92" s="442"/>
      <c r="J92" s="442"/>
      <c r="K92" s="443"/>
      <c r="L92" s="406"/>
    </row>
    <row r="93" spans="1:12" ht="15" customHeight="1" x14ac:dyDescent="0.2">
      <c r="A93" s="406"/>
      <c r="B93" s="444"/>
      <c r="C93" s="553" t="s">
        <v>638</v>
      </c>
      <c r="D93" s="553"/>
      <c r="E93" s="553"/>
      <c r="F93" s="553"/>
      <c r="G93" s="553"/>
      <c r="H93" s="553"/>
      <c r="I93" s="553"/>
      <c r="J93" s="553"/>
      <c r="K93" s="445"/>
      <c r="L93" s="406"/>
    </row>
    <row r="94" spans="1:12" ht="15" customHeight="1" x14ac:dyDescent="0.2">
      <c r="A94" s="406"/>
      <c r="B94" s="444" t="s">
        <v>659</v>
      </c>
      <c r="C94" s="858">
        <v>312000000</v>
      </c>
      <c r="D94" s="858"/>
      <c r="E94" s="555" t="s">
        <v>637</v>
      </c>
      <c r="F94" s="555">
        <v>1000</v>
      </c>
      <c r="G94" s="555" t="s">
        <v>636</v>
      </c>
      <c r="H94" s="556">
        <f>C94/F94</f>
        <v>312000</v>
      </c>
      <c r="I94" s="553" t="s">
        <v>660</v>
      </c>
      <c r="J94" s="553"/>
      <c r="K94" s="445"/>
      <c r="L94" s="406"/>
    </row>
    <row r="95" spans="1:12" ht="15" customHeight="1" x14ac:dyDescent="0.2">
      <c r="A95" s="406"/>
      <c r="B95" s="444"/>
      <c r="C95" s="553"/>
      <c r="D95" s="553"/>
      <c r="E95" s="555"/>
      <c r="F95" s="553"/>
      <c r="G95" s="553"/>
      <c r="H95" s="553"/>
      <c r="I95" s="553"/>
      <c r="J95" s="553"/>
      <c r="K95" s="445"/>
      <c r="L95" s="406"/>
    </row>
    <row r="96" spans="1:12" ht="15" customHeight="1" x14ac:dyDescent="0.2">
      <c r="A96" s="406"/>
      <c r="B96" s="444"/>
      <c r="C96" s="553" t="s">
        <v>661</v>
      </c>
      <c r="D96" s="553"/>
      <c r="E96" s="555"/>
      <c r="F96" s="553" t="s">
        <v>660</v>
      </c>
      <c r="G96" s="553"/>
      <c r="H96" s="553"/>
      <c r="I96" s="553"/>
      <c r="J96" s="553"/>
      <c r="K96" s="445"/>
      <c r="L96" s="406"/>
    </row>
    <row r="97" spans="1:12" ht="15" customHeight="1" x14ac:dyDescent="0.2">
      <c r="A97" s="406"/>
      <c r="B97" s="444" t="s">
        <v>662</v>
      </c>
      <c r="C97" s="858">
        <v>50000</v>
      </c>
      <c r="D97" s="858"/>
      <c r="E97" s="555" t="s">
        <v>637</v>
      </c>
      <c r="F97" s="556">
        <f>H94</f>
        <v>312000</v>
      </c>
      <c r="G97" s="555" t="s">
        <v>636</v>
      </c>
      <c r="H97" s="426">
        <f>C97/F97</f>
        <v>0.16025641025641027</v>
      </c>
      <c r="I97" s="553" t="s">
        <v>663</v>
      </c>
      <c r="J97" s="553"/>
      <c r="K97" s="445"/>
      <c r="L97" s="406"/>
    </row>
    <row r="98" spans="1:12" ht="15" customHeight="1" x14ac:dyDescent="0.2">
      <c r="A98" s="406"/>
      <c r="B98" s="444"/>
      <c r="C98" s="553"/>
      <c r="D98" s="553"/>
      <c r="E98" s="555"/>
      <c r="F98" s="553"/>
      <c r="G98" s="553"/>
      <c r="H98" s="553"/>
      <c r="I98" s="553"/>
      <c r="J98" s="553"/>
      <c r="K98" s="445"/>
      <c r="L98" s="406"/>
    </row>
    <row r="99" spans="1:12" ht="15" customHeight="1" x14ac:dyDescent="0.2">
      <c r="A99" s="406"/>
      <c r="B99" s="446"/>
      <c r="C99" s="447" t="s">
        <v>673</v>
      </c>
      <c r="D99" s="447"/>
      <c r="E99" s="557"/>
      <c r="F99" s="447"/>
      <c r="G99" s="447"/>
      <c r="H99" s="447"/>
      <c r="I99" s="447"/>
      <c r="J99" s="447"/>
      <c r="K99" s="448"/>
      <c r="L99" s="406"/>
    </row>
    <row r="100" spans="1:12" ht="15" customHeight="1" x14ac:dyDescent="0.2">
      <c r="A100" s="406"/>
      <c r="B100" s="444" t="s">
        <v>665</v>
      </c>
      <c r="C100" s="858">
        <v>2500000</v>
      </c>
      <c r="D100" s="858"/>
      <c r="E100" s="555" t="s">
        <v>290</v>
      </c>
      <c r="F100" s="449">
        <v>0.3</v>
      </c>
      <c r="G100" s="555" t="s">
        <v>636</v>
      </c>
      <c r="H100" s="556">
        <f>C100*F100</f>
        <v>750000</v>
      </c>
      <c r="I100" s="553" t="s">
        <v>666</v>
      </c>
      <c r="J100" s="553"/>
      <c r="K100" s="445"/>
      <c r="L100" s="406"/>
    </row>
    <row r="101" spans="1:12" ht="15" customHeight="1" x14ac:dyDescent="0.2">
      <c r="A101" s="406"/>
      <c r="B101" s="444"/>
      <c r="C101" s="553"/>
      <c r="D101" s="553"/>
      <c r="E101" s="555"/>
      <c r="F101" s="553"/>
      <c r="G101" s="553"/>
      <c r="H101" s="553"/>
      <c r="I101" s="553"/>
      <c r="J101" s="553"/>
      <c r="K101" s="445"/>
      <c r="L101" s="406"/>
    </row>
    <row r="102" spans="1:12" ht="15" customHeight="1" x14ac:dyDescent="0.2">
      <c r="A102" s="406"/>
      <c r="B102" s="446"/>
      <c r="C102" s="447" t="s">
        <v>667</v>
      </c>
      <c r="D102" s="447"/>
      <c r="E102" s="557"/>
      <c r="F102" s="447" t="s">
        <v>663</v>
      </c>
      <c r="G102" s="447"/>
      <c r="H102" s="447"/>
      <c r="I102" s="447"/>
      <c r="J102" s="447" t="s">
        <v>668</v>
      </c>
      <c r="K102" s="448"/>
      <c r="L102" s="406"/>
    </row>
    <row r="103" spans="1:12" ht="15" customHeight="1" x14ac:dyDescent="0.2">
      <c r="A103" s="406"/>
      <c r="B103" s="444" t="s">
        <v>669</v>
      </c>
      <c r="C103" s="874">
        <f>H100</f>
        <v>750000</v>
      </c>
      <c r="D103" s="874"/>
      <c r="E103" s="555" t="s">
        <v>290</v>
      </c>
      <c r="F103" s="426">
        <f>H97</f>
        <v>0.16025641025641027</v>
      </c>
      <c r="G103" s="555" t="s">
        <v>637</v>
      </c>
      <c r="H103" s="555">
        <v>1000</v>
      </c>
      <c r="I103" s="555" t="s">
        <v>636</v>
      </c>
      <c r="J103" s="558">
        <f>C103*F103/H103</f>
        <v>120.19230769230771</v>
      </c>
      <c r="K103" s="445"/>
      <c r="L103" s="406"/>
    </row>
    <row r="104" spans="1:12" ht="15" customHeight="1" thickBot="1" x14ac:dyDescent="0.25">
      <c r="A104" s="406"/>
      <c r="B104" s="450"/>
      <c r="C104" s="436"/>
      <c r="D104" s="436"/>
      <c r="E104" s="437"/>
      <c r="F104" s="438"/>
      <c r="G104" s="437"/>
      <c r="H104" s="437"/>
      <c r="I104" s="437"/>
      <c r="J104" s="439"/>
      <c r="K104" s="554"/>
      <c r="L104" s="406"/>
    </row>
    <row r="105" spans="1:12" ht="40.5" customHeight="1" x14ac:dyDescent="0.2">
      <c r="A105" s="406"/>
      <c r="B105" s="866" t="s">
        <v>628</v>
      </c>
      <c r="C105" s="875"/>
      <c r="D105" s="875"/>
      <c r="E105" s="875"/>
      <c r="F105" s="875"/>
      <c r="G105" s="875"/>
      <c r="H105" s="875"/>
      <c r="I105" s="875"/>
      <c r="J105" s="875"/>
      <c r="K105" s="875"/>
      <c r="L105" s="406"/>
    </row>
    <row r="106" spans="1:12" ht="15" customHeight="1" x14ac:dyDescent="0.2">
      <c r="A106" s="406"/>
      <c r="B106" s="876" t="s">
        <v>674</v>
      </c>
      <c r="C106" s="860"/>
      <c r="D106" s="860"/>
      <c r="E106" s="860"/>
      <c r="F106" s="860"/>
      <c r="G106" s="860"/>
      <c r="H106" s="860"/>
      <c r="I106" s="860"/>
      <c r="J106" s="860"/>
      <c r="K106" s="860"/>
      <c r="L106" s="406"/>
    </row>
    <row r="107" spans="1:12" ht="15" customHeight="1" x14ac:dyDescent="0.2">
      <c r="A107" s="406"/>
      <c r="B107" s="553"/>
      <c r="C107" s="451"/>
      <c r="D107" s="451"/>
      <c r="E107" s="555"/>
      <c r="F107" s="426"/>
      <c r="G107" s="555"/>
      <c r="H107" s="555"/>
      <c r="I107" s="555"/>
      <c r="J107" s="558"/>
      <c r="K107" s="553"/>
      <c r="L107" s="406"/>
    </row>
    <row r="108" spans="1:12" ht="15" customHeight="1" x14ac:dyDescent="0.2">
      <c r="A108" s="406"/>
      <c r="B108" s="876" t="s">
        <v>675</v>
      </c>
      <c r="C108" s="877"/>
      <c r="D108" s="877"/>
      <c r="E108" s="877"/>
      <c r="F108" s="877"/>
      <c r="G108" s="877"/>
      <c r="H108" s="877"/>
      <c r="I108" s="877"/>
      <c r="J108" s="877"/>
      <c r="K108" s="877"/>
      <c r="L108" s="406"/>
    </row>
    <row r="109" spans="1:12" ht="15" customHeight="1" x14ac:dyDescent="0.2">
      <c r="A109" s="406"/>
      <c r="B109" s="553"/>
      <c r="C109" s="451"/>
      <c r="D109" s="451"/>
      <c r="E109" s="555"/>
      <c r="F109" s="426"/>
      <c r="G109" s="555"/>
      <c r="H109" s="555"/>
      <c r="I109" s="555"/>
      <c r="J109" s="558"/>
      <c r="K109" s="553"/>
      <c r="L109" s="406"/>
    </row>
    <row r="110" spans="1:12" ht="59.25" customHeight="1" x14ac:dyDescent="0.2">
      <c r="A110" s="406"/>
      <c r="B110" s="878" t="s">
        <v>676</v>
      </c>
      <c r="C110" s="867"/>
      <c r="D110" s="867"/>
      <c r="E110" s="867"/>
      <c r="F110" s="867"/>
      <c r="G110" s="867"/>
      <c r="H110" s="867"/>
      <c r="I110" s="867"/>
      <c r="J110" s="867"/>
      <c r="K110" s="867"/>
      <c r="L110" s="406"/>
    </row>
    <row r="111" spans="1:12" ht="15" thickBot="1" x14ac:dyDescent="0.25">
      <c r="A111" s="406"/>
      <c r="B111" s="550"/>
      <c r="C111" s="550"/>
      <c r="D111" s="550"/>
      <c r="E111" s="550"/>
      <c r="F111" s="550"/>
      <c r="G111" s="550"/>
      <c r="H111" s="550"/>
      <c r="I111" s="550"/>
      <c r="J111" s="550"/>
      <c r="K111" s="550"/>
      <c r="L111" s="452"/>
    </row>
    <row r="112" spans="1:12" x14ac:dyDescent="0.2">
      <c r="A112" s="406"/>
      <c r="B112" s="412" t="s">
        <v>632</v>
      </c>
      <c r="C112" s="413"/>
      <c r="D112" s="413"/>
      <c r="E112" s="413"/>
      <c r="F112" s="413"/>
      <c r="G112" s="413"/>
      <c r="H112" s="413"/>
      <c r="I112" s="413"/>
      <c r="J112" s="413"/>
      <c r="K112" s="414"/>
      <c r="L112" s="406"/>
    </row>
    <row r="113" spans="1:12" x14ac:dyDescent="0.2">
      <c r="A113" s="406"/>
      <c r="B113" s="424"/>
      <c r="C113" s="416" t="s">
        <v>638</v>
      </c>
      <c r="D113" s="416"/>
      <c r="E113" s="416"/>
      <c r="F113" s="416"/>
      <c r="G113" s="416"/>
      <c r="H113" s="416"/>
      <c r="I113" s="416"/>
      <c r="J113" s="416"/>
      <c r="K113" s="418"/>
      <c r="L113" s="406"/>
    </row>
    <row r="114" spans="1:12" x14ac:dyDescent="0.2">
      <c r="A114" s="406"/>
      <c r="B114" s="424" t="s">
        <v>659</v>
      </c>
      <c r="C114" s="858">
        <v>312000000</v>
      </c>
      <c r="D114" s="858"/>
      <c r="E114" s="555" t="s">
        <v>637</v>
      </c>
      <c r="F114" s="555">
        <v>1000</v>
      </c>
      <c r="G114" s="555" t="s">
        <v>636</v>
      </c>
      <c r="H114" s="556">
        <f>C114/F114</f>
        <v>312000</v>
      </c>
      <c r="I114" s="416" t="s">
        <v>660</v>
      </c>
      <c r="J114" s="416"/>
      <c r="K114" s="418"/>
      <c r="L114" s="406"/>
    </row>
    <row r="115" spans="1:12" x14ac:dyDescent="0.2">
      <c r="A115" s="406"/>
      <c r="B115" s="424"/>
      <c r="C115" s="416"/>
      <c r="D115" s="416"/>
      <c r="E115" s="555"/>
      <c r="F115" s="416"/>
      <c r="G115" s="416"/>
      <c r="H115" s="416"/>
      <c r="I115" s="416"/>
      <c r="J115" s="416"/>
      <c r="K115" s="418"/>
      <c r="L115" s="406"/>
    </row>
    <row r="116" spans="1:12" x14ac:dyDescent="0.2">
      <c r="A116" s="406"/>
      <c r="B116" s="424"/>
      <c r="C116" s="416" t="s">
        <v>661</v>
      </c>
      <c r="D116" s="416"/>
      <c r="E116" s="555"/>
      <c r="F116" s="416" t="s">
        <v>660</v>
      </c>
      <c r="G116" s="416"/>
      <c r="H116" s="416"/>
      <c r="I116" s="416"/>
      <c r="J116" s="416"/>
      <c r="K116" s="418"/>
      <c r="L116" s="406"/>
    </row>
    <row r="117" spans="1:12" x14ac:dyDescent="0.2">
      <c r="A117" s="406"/>
      <c r="B117" s="424" t="s">
        <v>662</v>
      </c>
      <c r="C117" s="858">
        <v>50000</v>
      </c>
      <c r="D117" s="858"/>
      <c r="E117" s="555" t="s">
        <v>637</v>
      </c>
      <c r="F117" s="556">
        <f>H114</f>
        <v>312000</v>
      </c>
      <c r="G117" s="555" t="s">
        <v>636</v>
      </c>
      <c r="H117" s="426">
        <f>C117/F117</f>
        <v>0.16025641025641027</v>
      </c>
      <c r="I117" s="416" t="s">
        <v>663</v>
      </c>
      <c r="J117" s="416"/>
      <c r="K117" s="418"/>
      <c r="L117" s="406"/>
    </row>
    <row r="118" spans="1:12" x14ac:dyDescent="0.2">
      <c r="A118" s="406"/>
      <c r="B118" s="424"/>
      <c r="C118" s="416"/>
      <c r="D118" s="416"/>
      <c r="E118" s="555"/>
      <c r="F118" s="416"/>
      <c r="G118" s="416"/>
      <c r="H118" s="416"/>
      <c r="I118" s="416"/>
      <c r="J118" s="416"/>
      <c r="K118" s="418"/>
      <c r="L118" s="406"/>
    </row>
    <row r="119" spans="1:12" x14ac:dyDescent="0.2">
      <c r="A119" s="406"/>
      <c r="B119" s="433"/>
      <c r="C119" s="434" t="s">
        <v>673</v>
      </c>
      <c r="D119" s="434"/>
      <c r="E119" s="557"/>
      <c r="F119" s="434"/>
      <c r="G119" s="434"/>
      <c r="H119" s="434"/>
      <c r="I119" s="434"/>
      <c r="J119" s="434"/>
      <c r="K119" s="435"/>
      <c r="L119" s="406"/>
    </row>
    <row r="120" spans="1:12" x14ac:dyDescent="0.2">
      <c r="A120" s="406"/>
      <c r="B120" s="424" t="s">
        <v>665</v>
      </c>
      <c r="C120" s="858">
        <v>2500000</v>
      </c>
      <c r="D120" s="858"/>
      <c r="E120" s="555" t="s">
        <v>290</v>
      </c>
      <c r="F120" s="449">
        <v>0.25</v>
      </c>
      <c r="G120" s="555" t="s">
        <v>636</v>
      </c>
      <c r="H120" s="556">
        <f>C120*F120</f>
        <v>625000</v>
      </c>
      <c r="I120" s="416" t="s">
        <v>666</v>
      </c>
      <c r="J120" s="416"/>
      <c r="K120" s="418"/>
      <c r="L120" s="406"/>
    </row>
    <row r="121" spans="1:12" x14ac:dyDescent="0.2">
      <c r="A121" s="406"/>
      <c r="B121" s="424"/>
      <c r="C121" s="416"/>
      <c r="D121" s="416"/>
      <c r="E121" s="555"/>
      <c r="F121" s="416"/>
      <c r="G121" s="416"/>
      <c r="H121" s="416"/>
      <c r="I121" s="416"/>
      <c r="J121" s="416"/>
      <c r="K121" s="418"/>
      <c r="L121" s="406"/>
    </row>
    <row r="122" spans="1:12" x14ac:dyDescent="0.2">
      <c r="A122" s="406"/>
      <c r="B122" s="433"/>
      <c r="C122" s="434" t="s">
        <v>667</v>
      </c>
      <c r="D122" s="434"/>
      <c r="E122" s="557"/>
      <c r="F122" s="434" t="s">
        <v>663</v>
      </c>
      <c r="G122" s="434"/>
      <c r="H122" s="434"/>
      <c r="I122" s="434"/>
      <c r="J122" s="434" t="s">
        <v>668</v>
      </c>
      <c r="K122" s="435"/>
      <c r="L122" s="406"/>
    </row>
    <row r="123" spans="1:12" x14ac:dyDescent="0.2">
      <c r="A123" s="406"/>
      <c r="B123" s="424" t="s">
        <v>669</v>
      </c>
      <c r="C123" s="874">
        <f>H120</f>
        <v>625000</v>
      </c>
      <c r="D123" s="874"/>
      <c r="E123" s="555" t="s">
        <v>290</v>
      </c>
      <c r="F123" s="426">
        <f>H117</f>
        <v>0.16025641025641027</v>
      </c>
      <c r="G123" s="555" t="s">
        <v>637</v>
      </c>
      <c r="H123" s="555">
        <v>1000</v>
      </c>
      <c r="I123" s="555" t="s">
        <v>636</v>
      </c>
      <c r="J123" s="558">
        <f>C123*F123/H123</f>
        <v>100.16025641025642</v>
      </c>
      <c r="K123" s="418"/>
      <c r="L123" s="406"/>
    </row>
    <row r="124" spans="1:12" ht="15" thickBot="1" x14ac:dyDescent="0.25">
      <c r="A124" s="406"/>
      <c r="B124" s="419"/>
      <c r="C124" s="436"/>
      <c r="D124" s="436"/>
      <c r="E124" s="437"/>
      <c r="F124" s="438"/>
      <c r="G124" s="437"/>
      <c r="H124" s="437"/>
      <c r="I124" s="437"/>
      <c r="J124" s="439"/>
      <c r="K124" s="421"/>
      <c r="L124" s="406"/>
    </row>
    <row r="125" spans="1:12" ht="40.5" customHeight="1" x14ac:dyDescent="0.2">
      <c r="A125" s="406"/>
      <c r="B125" s="866" t="s">
        <v>628</v>
      </c>
      <c r="C125" s="866"/>
      <c r="D125" s="866"/>
      <c r="E125" s="866"/>
      <c r="F125" s="866"/>
      <c r="G125" s="866"/>
      <c r="H125" s="866"/>
      <c r="I125" s="866"/>
      <c r="J125" s="866"/>
      <c r="K125" s="866"/>
      <c r="L125" s="452"/>
    </row>
    <row r="126" spans="1:12" x14ac:dyDescent="0.2">
      <c r="A126" s="406"/>
      <c r="B126" s="859" t="s">
        <v>677</v>
      </c>
      <c r="C126" s="859"/>
      <c r="D126" s="859"/>
      <c r="E126" s="859"/>
      <c r="F126" s="859"/>
      <c r="G126" s="859"/>
      <c r="H126" s="859"/>
      <c r="I126" s="859"/>
      <c r="J126" s="859"/>
      <c r="K126" s="859"/>
      <c r="L126" s="452"/>
    </row>
    <row r="127" spans="1:12" x14ac:dyDescent="0.2">
      <c r="A127" s="406"/>
      <c r="B127" s="550"/>
      <c r="C127" s="550"/>
      <c r="D127" s="550"/>
      <c r="E127" s="550"/>
      <c r="F127" s="550"/>
      <c r="G127" s="550"/>
      <c r="H127" s="550"/>
      <c r="I127" s="550"/>
      <c r="J127" s="550"/>
      <c r="K127" s="550"/>
      <c r="L127" s="452"/>
    </row>
    <row r="128" spans="1:12" x14ac:dyDescent="0.2">
      <c r="A128" s="406"/>
      <c r="B128" s="859" t="s">
        <v>678</v>
      </c>
      <c r="C128" s="859"/>
      <c r="D128" s="859"/>
      <c r="E128" s="859"/>
      <c r="F128" s="859"/>
      <c r="G128" s="859"/>
      <c r="H128" s="859"/>
      <c r="I128" s="859"/>
      <c r="J128" s="859"/>
      <c r="K128" s="859"/>
      <c r="L128" s="452"/>
    </row>
    <row r="129" spans="1:12" x14ac:dyDescent="0.2">
      <c r="A129" s="406"/>
      <c r="B129" s="549"/>
      <c r="C129" s="549"/>
      <c r="D129" s="549"/>
      <c r="E129" s="549"/>
      <c r="F129" s="549"/>
      <c r="G129" s="549"/>
      <c r="H129" s="549"/>
      <c r="I129" s="549"/>
      <c r="J129" s="549"/>
      <c r="K129" s="549"/>
      <c r="L129" s="452"/>
    </row>
    <row r="130" spans="1:12" ht="74.25" customHeight="1" x14ac:dyDescent="0.2">
      <c r="A130" s="406"/>
      <c r="B130" s="864" t="s">
        <v>679</v>
      </c>
      <c r="C130" s="864"/>
      <c r="D130" s="864"/>
      <c r="E130" s="864"/>
      <c r="F130" s="864"/>
      <c r="G130" s="864"/>
      <c r="H130" s="864"/>
      <c r="I130" s="864"/>
      <c r="J130" s="864"/>
      <c r="K130" s="864"/>
      <c r="L130" s="452"/>
    </row>
    <row r="131" spans="1:12" ht="15" thickBot="1" x14ac:dyDescent="0.25">
      <c r="A131" s="406"/>
      <c r="L131" s="406"/>
    </row>
    <row r="132" spans="1:12" x14ac:dyDescent="0.2">
      <c r="A132" s="406"/>
      <c r="B132" s="412" t="s">
        <v>632</v>
      </c>
      <c r="C132" s="413"/>
      <c r="D132" s="413"/>
      <c r="E132" s="413"/>
      <c r="F132" s="413"/>
      <c r="G132" s="413"/>
      <c r="H132" s="413"/>
      <c r="I132" s="413"/>
      <c r="J132" s="413"/>
      <c r="K132" s="414"/>
      <c r="L132" s="406"/>
    </row>
    <row r="133" spans="1:12" x14ac:dyDescent="0.2">
      <c r="A133" s="406"/>
      <c r="B133" s="424"/>
      <c r="C133" s="882" t="s">
        <v>680</v>
      </c>
      <c r="D133" s="882"/>
      <c r="E133" s="416"/>
      <c r="F133" s="555" t="s">
        <v>681</v>
      </c>
      <c r="G133" s="416"/>
      <c r="H133" s="882" t="s">
        <v>666</v>
      </c>
      <c r="I133" s="882"/>
      <c r="J133" s="416"/>
      <c r="K133" s="418"/>
      <c r="L133" s="406"/>
    </row>
    <row r="134" spans="1:12" x14ac:dyDescent="0.2">
      <c r="A134" s="406"/>
      <c r="B134" s="424" t="s">
        <v>659</v>
      </c>
      <c r="C134" s="858">
        <v>100000</v>
      </c>
      <c r="D134" s="858"/>
      <c r="E134" s="555" t="s">
        <v>290</v>
      </c>
      <c r="F134" s="555">
        <v>0.115</v>
      </c>
      <c r="G134" s="555" t="s">
        <v>636</v>
      </c>
      <c r="H134" s="883">
        <f>C134*F134</f>
        <v>11500</v>
      </c>
      <c r="I134" s="883"/>
      <c r="J134" s="416"/>
      <c r="K134" s="418"/>
      <c r="L134" s="406"/>
    </row>
    <row r="135" spans="1:12" x14ac:dyDescent="0.2">
      <c r="A135" s="406"/>
      <c r="B135" s="424"/>
      <c r="C135" s="416"/>
      <c r="D135" s="416"/>
      <c r="E135" s="416"/>
      <c r="F135" s="416"/>
      <c r="G135" s="416"/>
      <c r="H135" s="416"/>
      <c r="I135" s="416"/>
      <c r="J135" s="416"/>
      <c r="K135" s="418"/>
      <c r="L135" s="406"/>
    </row>
    <row r="136" spans="1:12" x14ac:dyDescent="0.2">
      <c r="A136" s="406"/>
      <c r="B136" s="433"/>
      <c r="C136" s="884" t="s">
        <v>666</v>
      </c>
      <c r="D136" s="884"/>
      <c r="E136" s="434"/>
      <c r="F136" s="557" t="s">
        <v>682</v>
      </c>
      <c r="G136" s="557"/>
      <c r="H136" s="434"/>
      <c r="I136" s="434"/>
      <c r="J136" s="434" t="s">
        <v>683</v>
      </c>
      <c r="K136" s="435"/>
      <c r="L136" s="406"/>
    </row>
    <row r="137" spans="1:12" x14ac:dyDescent="0.2">
      <c r="A137" s="406"/>
      <c r="B137" s="424" t="s">
        <v>662</v>
      </c>
      <c r="C137" s="883">
        <f>H134</f>
        <v>11500</v>
      </c>
      <c r="D137" s="883"/>
      <c r="E137" s="555" t="s">
        <v>290</v>
      </c>
      <c r="F137" s="453">
        <v>52.869</v>
      </c>
      <c r="G137" s="555" t="s">
        <v>637</v>
      </c>
      <c r="H137" s="555">
        <v>1000</v>
      </c>
      <c r="I137" s="555" t="s">
        <v>636</v>
      </c>
      <c r="J137" s="454">
        <f>C137*F137/H137</f>
        <v>607.99350000000004</v>
      </c>
      <c r="K137" s="418"/>
      <c r="L137" s="406"/>
    </row>
    <row r="138" spans="1:12" ht="15" thickBot="1" x14ac:dyDescent="0.25">
      <c r="A138" s="406"/>
      <c r="B138" s="419"/>
      <c r="C138" s="455"/>
      <c r="D138" s="455"/>
      <c r="E138" s="437"/>
      <c r="F138" s="456"/>
      <c r="G138" s="437"/>
      <c r="H138" s="437"/>
      <c r="I138" s="437"/>
      <c r="J138" s="457"/>
      <c r="K138" s="421"/>
      <c r="L138" s="406"/>
    </row>
    <row r="139" spans="1:12" ht="40.5" customHeight="1" x14ac:dyDescent="0.2">
      <c r="A139" s="406"/>
      <c r="B139" s="458" t="s">
        <v>628</v>
      </c>
      <c r="C139" s="459"/>
      <c r="D139" s="459"/>
      <c r="E139" s="460"/>
      <c r="F139" s="461"/>
      <c r="G139" s="460"/>
      <c r="H139" s="460"/>
      <c r="I139" s="460"/>
      <c r="J139" s="462"/>
      <c r="K139" s="463"/>
      <c r="L139" s="406"/>
    </row>
    <row r="140" spans="1:12" x14ac:dyDescent="0.2">
      <c r="A140" s="406"/>
      <c r="B140" s="464" t="s">
        <v>684</v>
      </c>
      <c r="C140" s="465"/>
      <c r="D140" s="465"/>
      <c r="E140" s="466"/>
      <c r="F140" s="467"/>
      <c r="G140" s="466"/>
      <c r="H140" s="466"/>
      <c r="I140" s="466"/>
      <c r="J140" s="468"/>
      <c r="K140" s="469"/>
      <c r="L140" s="406"/>
    </row>
    <row r="141" spans="1:12" x14ac:dyDescent="0.2">
      <c r="A141" s="406"/>
      <c r="B141" s="424"/>
      <c r="C141" s="556"/>
      <c r="D141" s="556"/>
      <c r="E141" s="555"/>
      <c r="F141" s="470"/>
      <c r="G141" s="555"/>
      <c r="H141" s="555"/>
      <c r="I141" s="555"/>
      <c r="J141" s="454"/>
      <c r="K141" s="418"/>
      <c r="L141" s="406"/>
    </row>
    <row r="142" spans="1:12" x14ac:dyDescent="0.2">
      <c r="A142" s="406"/>
      <c r="B142" s="464" t="s">
        <v>685</v>
      </c>
      <c r="C142" s="465"/>
      <c r="D142" s="465"/>
      <c r="E142" s="466"/>
      <c r="F142" s="467"/>
      <c r="G142" s="466"/>
      <c r="H142" s="466"/>
      <c r="I142" s="466"/>
      <c r="J142" s="468"/>
      <c r="K142" s="469"/>
      <c r="L142" s="406"/>
    </row>
    <row r="143" spans="1:12" x14ac:dyDescent="0.2">
      <c r="A143" s="406"/>
      <c r="B143" s="424"/>
      <c r="C143" s="556"/>
      <c r="D143" s="556"/>
      <c r="E143" s="555"/>
      <c r="F143" s="470"/>
      <c r="G143" s="555"/>
      <c r="H143" s="555"/>
      <c r="I143" s="555"/>
      <c r="J143" s="454"/>
      <c r="K143" s="418"/>
      <c r="L143" s="406"/>
    </row>
    <row r="144" spans="1:12" ht="76.5" customHeight="1" x14ac:dyDescent="0.2">
      <c r="A144" s="406"/>
      <c r="B144" s="885" t="s">
        <v>686</v>
      </c>
      <c r="C144" s="886"/>
      <c r="D144" s="886"/>
      <c r="E144" s="886"/>
      <c r="F144" s="886"/>
      <c r="G144" s="886"/>
      <c r="H144" s="886"/>
      <c r="I144" s="886"/>
      <c r="J144" s="886"/>
      <c r="K144" s="887"/>
      <c r="L144" s="406"/>
    </row>
    <row r="145" spans="1:12" ht="15" thickBot="1" x14ac:dyDescent="0.25">
      <c r="A145" s="406"/>
      <c r="B145" s="424"/>
      <c r="C145" s="556"/>
      <c r="D145" s="556"/>
      <c r="E145" s="555"/>
      <c r="F145" s="470"/>
      <c r="G145" s="555"/>
      <c r="H145" s="555"/>
      <c r="I145" s="555"/>
      <c r="J145" s="454"/>
      <c r="K145" s="418"/>
      <c r="L145" s="406"/>
    </row>
    <row r="146" spans="1:12" x14ac:dyDescent="0.2">
      <c r="A146" s="406"/>
      <c r="B146" s="412" t="s">
        <v>632</v>
      </c>
      <c r="C146" s="471"/>
      <c r="D146" s="471"/>
      <c r="E146" s="472"/>
      <c r="F146" s="473"/>
      <c r="G146" s="472"/>
      <c r="H146" s="472"/>
      <c r="I146" s="472"/>
      <c r="J146" s="474"/>
      <c r="K146" s="414"/>
      <c r="L146" s="406"/>
    </row>
    <row r="147" spans="1:12" x14ac:dyDescent="0.2">
      <c r="A147" s="406"/>
      <c r="B147" s="424"/>
      <c r="C147" s="883" t="s">
        <v>687</v>
      </c>
      <c r="D147" s="883"/>
      <c r="E147" s="555"/>
      <c r="F147" s="470" t="s">
        <v>688</v>
      </c>
      <c r="G147" s="555"/>
      <c r="H147" s="555"/>
      <c r="I147" s="555"/>
      <c r="J147" s="880" t="s">
        <v>689</v>
      </c>
      <c r="K147" s="888"/>
      <c r="L147" s="406"/>
    </row>
    <row r="148" spans="1:12" x14ac:dyDescent="0.2">
      <c r="A148" s="406"/>
      <c r="B148" s="424"/>
      <c r="C148" s="879">
        <v>52.869</v>
      </c>
      <c r="D148" s="879"/>
      <c r="E148" s="555" t="s">
        <v>290</v>
      </c>
      <c r="F148" s="551">
        <v>312000000</v>
      </c>
      <c r="G148" s="475" t="s">
        <v>637</v>
      </c>
      <c r="H148" s="555">
        <v>1000</v>
      </c>
      <c r="I148" s="555" t="s">
        <v>636</v>
      </c>
      <c r="J148" s="880">
        <f>C148*(F148/1000)</f>
        <v>16495128</v>
      </c>
      <c r="K148" s="881"/>
      <c r="L148" s="406"/>
    </row>
    <row r="149" spans="1:12" ht="15" thickBot="1" x14ac:dyDescent="0.25">
      <c r="A149" s="406"/>
      <c r="B149" s="419"/>
      <c r="C149" s="455"/>
      <c r="D149" s="455"/>
      <c r="E149" s="437"/>
      <c r="F149" s="456"/>
      <c r="G149" s="437"/>
      <c r="H149" s="437"/>
      <c r="I149" s="437"/>
      <c r="J149" s="457"/>
      <c r="K149" s="421"/>
      <c r="L149" s="406"/>
    </row>
    <row r="150" spans="1:12" ht="15" thickBot="1" x14ac:dyDescent="0.25">
      <c r="A150" s="406"/>
      <c r="B150" s="419"/>
      <c r="C150" s="420"/>
      <c r="D150" s="420"/>
      <c r="E150" s="420"/>
      <c r="F150" s="420"/>
      <c r="G150" s="420"/>
      <c r="H150" s="420"/>
      <c r="I150" s="420"/>
      <c r="J150" s="420"/>
      <c r="K150" s="421"/>
      <c r="L150" s="406"/>
    </row>
    <row r="151" spans="1:12" x14ac:dyDescent="0.2">
      <c r="A151" s="406"/>
      <c r="B151" s="406"/>
      <c r="C151" s="406"/>
      <c r="D151" s="406"/>
      <c r="E151" s="406"/>
      <c r="F151" s="406"/>
      <c r="G151" s="406"/>
      <c r="H151" s="406"/>
      <c r="I151" s="406"/>
      <c r="J151" s="406"/>
      <c r="K151" s="406"/>
      <c r="L151" s="406"/>
    </row>
    <row r="152" spans="1:12" x14ac:dyDescent="0.2">
      <c r="A152" s="406"/>
      <c r="B152" s="406"/>
      <c r="C152" s="406"/>
      <c r="D152" s="406"/>
      <c r="E152" s="406"/>
      <c r="F152" s="406"/>
      <c r="G152" s="406"/>
      <c r="H152" s="406"/>
      <c r="I152" s="406"/>
      <c r="J152" s="406"/>
      <c r="K152" s="406"/>
      <c r="L152" s="406"/>
    </row>
    <row r="153" spans="1:12" x14ac:dyDescent="0.2">
      <c r="A153" s="406"/>
      <c r="B153" s="406"/>
      <c r="C153" s="406"/>
      <c r="D153" s="406"/>
      <c r="E153" s="406"/>
      <c r="F153" s="406"/>
      <c r="G153" s="406"/>
      <c r="H153" s="406"/>
      <c r="I153" s="406"/>
      <c r="J153" s="406"/>
      <c r="K153" s="406"/>
      <c r="L153" s="406"/>
    </row>
    <row r="154" spans="1:12" x14ac:dyDescent="0.2">
      <c r="A154" s="476"/>
      <c r="B154" s="476"/>
      <c r="C154" s="476"/>
      <c r="D154" s="476"/>
      <c r="E154" s="476"/>
      <c r="F154" s="476"/>
      <c r="G154" s="476"/>
      <c r="H154" s="476"/>
      <c r="I154" s="476"/>
      <c r="J154" s="476"/>
      <c r="K154" s="476"/>
      <c r="L154" s="476"/>
    </row>
    <row r="155" spans="1:12" x14ac:dyDescent="0.2">
      <c r="A155" s="476"/>
      <c r="B155" s="476"/>
      <c r="C155" s="476"/>
      <c r="D155" s="476"/>
      <c r="E155" s="476"/>
      <c r="F155" s="476"/>
      <c r="G155" s="476"/>
      <c r="H155" s="476"/>
      <c r="I155" s="476"/>
      <c r="J155" s="476"/>
      <c r="K155" s="476"/>
      <c r="L155" s="476"/>
    </row>
    <row r="156" spans="1:12" x14ac:dyDescent="0.2">
      <c r="A156" s="476"/>
      <c r="B156" s="476"/>
      <c r="C156" s="476"/>
      <c r="D156" s="476"/>
      <c r="E156" s="476"/>
      <c r="F156" s="476"/>
      <c r="G156" s="476"/>
      <c r="H156" s="476"/>
      <c r="I156" s="476"/>
      <c r="J156" s="476"/>
      <c r="K156" s="476"/>
      <c r="L156" s="476"/>
    </row>
    <row r="157" spans="1:12" x14ac:dyDescent="0.2">
      <c r="A157" s="476"/>
      <c r="B157" s="476"/>
      <c r="C157" s="476"/>
      <c r="D157" s="476"/>
      <c r="E157" s="476"/>
      <c r="F157" s="476"/>
      <c r="G157" s="476"/>
      <c r="H157" s="476"/>
      <c r="I157" s="476"/>
      <c r="J157" s="476"/>
      <c r="K157" s="476"/>
      <c r="L157" s="476"/>
    </row>
    <row r="158" spans="1:12" x14ac:dyDescent="0.2">
      <c r="A158" s="476"/>
      <c r="B158" s="476"/>
      <c r="C158" s="476"/>
      <c r="D158" s="476"/>
      <c r="E158" s="476"/>
      <c r="F158" s="476"/>
      <c r="G158" s="476"/>
      <c r="H158" s="476"/>
      <c r="I158" s="476"/>
      <c r="J158" s="476"/>
      <c r="K158" s="476"/>
      <c r="L158" s="476"/>
    </row>
    <row r="159" spans="1:12" x14ac:dyDescent="0.2">
      <c r="A159" s="476"/>
      <c r="B159" s="476"/>
      <c r="C159" s="476"/>
      <c r="D159" s="476"/>
      <c r="E159" s="476"/>
      <c r="F159" s="476"/>
      <c r="G159" s="476"/>
      <c r="H159" s="476"/>
      <c r="I159" s="476"/>
      <c r="J159" s="476"/>
      <c r="K159" s="476"/>
      <c r="L159" s="476"/>
    </row>
    <row r="160" spans="1:12" x14ac:dyDescent="0.2">
      <c r="A160" s="476"/>
      <c r="B160" s="476"/>
      <c r="C160" s="476"/>
      <c r="D160" s="476"/>
      <c r="E160" s="476"/>
      <c r="F160" s="476"/>
      <c r="G160" s="476"/>
      <c r="H160" s="476"/>
      <c r="I160" s="476"/>
      <c r="J160" s="476"/>
      <c r="K160" s="476"/>
      <c r="L160" s="476"/>
    </row>
    <row r="161" spans="1:12" x14ac:dyDescent="0.2">
      <c r="A161" s="476"/>
      <c r="B161" s="476"/>
      <c r="C161" s="476"/>
      <c r="D161" s="476"/>
      <c r="E161" s="476"/>
      <c r="F161" s="476"/>
      <c r="G161" s="476"/>
      <c r="H161" s="476"/>
      <c r="I161" s="476"/>
      <c r="J161" s="476"/>
      <c r="K161" s="476"/>
      <c r="L161" s="476"/>
    </row>
    <row r="162" spans="1:12" x14ac:dyDescent="0.2">
      <c r="A162" s="476"/>
      <c r="B162" s="476"/>
      <c r="C162" s="476"/>
      <c r="D162" s="476"/>
      <c r="E162" s="476"/>
      <c r="F162" s="476"/>
      <c r="G162" s="476"/>
      <c r="H162" s="476"/>
      <c r="I162" s="476"/>
      <c r="J162" s="476"/>
      <c r="K162" s="476"/>
      <c r="L162" s="476"/>
    </row>
    <row r="163" spans="1:12" x14ac:dyDescent="0.2">
      <c r="A163" s="476"/>
      <c r="B163" s="476"/>
      <c r="C163" s="476"/>
      <c r="D163" s="476"/>
      <c r="E163" s="476"/>
      <c r="F163" s="476"/>
      <c r="G163" s="476"/>
      <c r="H163" s="476"/>
      <c r="I163" s="476"/>
      <c r="J163" s="476"/>
      <c r="K163" s="476"/>
      <c r="L163" s="476"/>
    </row>
    <row r="164" spans="1:12" x14ac:dyDescent="0.2">
      <c r="A164" s="476"/>
      <c r="B164" s="476"/>
      <c r="C164" s="476"/>
      <c r="D164" s="476"/>
      <c r="E164" s="476"/>
      <c r="F164" s="476"/>
      <c r="G164" s="476"/>
      <c r="H164" s="476"/>
      <c r="I164" s="476"/>
      <c r="J164" s="476"/>
      <c r="K164" s="476"/>
      <c r="L164" s="476"/>
    </row>
    <row r="165" spans="1:12" x14ac:dyDescent="0.2">
      <c r="A165" s="476"/>
      <c r="B165" s="476"/>
      <c r="C165" s="476"/>
      <c r="D165" s="476"/>
      <c r="E165" s="476"/>
      <c r="F165" s="476"/>
      <c r="G165" s="476"/>
      <c r="H165" s="476"/>
      <c r="I165" s="476"/>
      <c r="J165" s="476"/>
      <c r="K165" s="476"/>
      <c r="L165" s="476"/>
    </row>
    <row r="166" spans="1:12" x14ac:dyDescent="0.2">
      <c r="A166" s="476"/>
      <c r="B166" s="476"/>
      <c r="C166" s="476"/>
      <c r="D166" s="476"/>
      <c r="E166" s="476"/>
      <c r="F166" s="476"/>
      <c r="G166" s="476"/>
      <c r="H166" s="476"/>
      <c r="I166" s="476"/>
      <c r="J166" s="476"/>
      <c r="K166" s="476"/>
      <c r="L166" s="476"/>
    </row>
    <row r="167" spans="1:12" x14ac:dyDescent="0.2">
      <c r="A167" s="476"/>
      <c r="B167" s="476"/>
      <c r="C167" s="476"/>
      <c r="D167" s="476"/>
      <c r="E167" s="476"/>
      <c r="F167" s="476"/>
      <c r="G167" s="476"/>
      <c r="H167" s="476"/>
      <c r="I167" s="476"/>
      <c r="J167" s="476"/>
      <c r="K167" s="476"/>
      <c r="L167" s="476"/>
    </row>
    <row r="168" spans="1:12" x14ac:dyDescent="0.2">
      <c r="A168" s="476"/>
      <c r="B168" s="476"/>
      <c r="C168" s="476"/>
      <c r="D168" s="476"/>
      <c r="E168" s="476"/>
      <c r="F168" s="476"/>
      <c r="G168" s="476"/>
      <c r="H168" s="476"/>
      <c r="I168" s="476"/>
      <c r="J168" s="476"/>
      <c r="K168" s="476"/>
      <c r="L168" s="476"/>
    </row>
    <row r="169" spans="1:12" x14ac:dyDescent="0.2">
      <c r="A169" s="476"/>
      <c r="B169" s="476"/>
      <c r="C169" s="476"/>
      <c r="D169" s="476"/>
      <c r="E169" s="476"/>
      <c r="F169" s="476"/>
      <c r="G169" s="476"/>
      <c r="H169" s="476"/>
      <c r="I169" s="476"/>
      <c r="J169" s="476"/>
      <c r="K169" s="476"/>
      <c r="L169" s="476"/>
    </row>
    <row r="170" spans="1:12" x14ac:dyDescent="0.2">
      <c r="A170" s="476"/>
      <c r="B170" s="476"/>
      <c r="C170" s="476"/>
      <c r="D170" s="476"/>
      <c r="E170" s="476"/>
      <c r="F170" s="476"/>
      <c r="G170" s="476"/>
      <c r="H170" s="476"/>
      <c r="I170" s="476"/>
      <c r="J170" s="476"/>
      <c r="K170" s="476"/>
      <c r="L170" s="476"/>
    </row>
    <row r="171" spans="1:12" x14ac:dyDescent="0.2">
      <c r="A171" s="476"/>
      <c r="B171" s="476"/>
      <c r="C171" s="476"/>
      <c r="D171" s="476"/>
      <c r="E171" s="476"/>
      <c r="F171" s="476"/>
      <c r="G171" s="476"/>
      <c r="H171" s="476"/>
      <c r="I171" s="476"/>
      <c r="J171" s="476"/>
      <c r="K171" s="476"/>
      <c r="L171" s="476"/>
    </row>
    <row r="172" spans="1:12" x14ac:dyDescent="0.2">
      <c r="A172" s="476"/>
      <c r="B172" s="476"/>
      <c r="C172" s="476"/>
      <c r="D172" s="476"/>
      <c r="E172" s="476"/>
      <c r="F172" s="476"/>
      <c r="G172" s="476"/>
      <c r="H172" s="476"/>
      <c r="I172" s="476"/>
      <c r="J172" s="476"/>
      <c r="K172" s="476"/>
      <c r="L172" s="476"/>
    </row>
    <row r="173" spans="1:12" x14ac:dyDescent="0.2">
      <c r="A173" s="476"/>
      <c r="B173" s="476"/>
      <c r="C173" s="476"/>
      <c r="D173" s="476"/>
      <c r="E173" s="476"/>
      <c r="F173" s="476"/>
      <c r="G173" s="476"/>
      <c r="H173" s="476"/>
      <c r="I173" s="476"/>
      <c r="J173" s="476"/>
      <c r="K173" s="476"/>
      <c r="L173" s="476"/>
    </row>
    <row r="174" spans="1:12" x14ac:dyDescent="0.2">
      <c r="A174" s="476"/>
      <c r="B174" s="476"/>
      <c r="C174" s="476"/>
      <c r="D174" s="476"/>
      <c r="E174" s="476"/>
      <c r="F174" s="476"/>
      <c r="G174" s="476"/>
      <c r="H174" s="476"/>
      <c r="I174" s="476"/>
      <c r="J174" s="476"/>
      <c r="K174" s="476"/>
      <c r="L174" s="476"/>
    </row>
    <row r="175" spans="1:12" x14ac:dyDescent="0.2">
      <c r="A175" s="476"/>
      <c r="B175" s="476"/>
      <c r="C175" s="476"/>
      <c r="D175" s="476"/>
      <c r="E175" s="476"/>
      <c r="F175" s="476"/>
      <c r="G175" s="476"/>
      <c r="H175" s="476"/>
      <c r="I175" s="476"/>
      <c r="J175" s="476"/>
      <c r="K175" s="476"/>
      <c r="L175" s="476"/>
    </row>
    <row r="176" spans="1:12" x14ac:dyDescent="0.2">
      <c r="A176" s="476"/>
      <c r="B176" s="476"/>
      <c r="C176" s="476"/>
      <c r="D176" s="476"/>
      <c r="E176" s="476"/>
      <c r="F176" s="476"/>
      <c r="G176" s="476"/>
      <c r="H176" s="476"/>
      <c r="I176" s="476"/>
      <c r="J176" s="476"/>
      <c r="K176" s="476"/>
      <c r="L176" s="476"/>
    </row>
    <row r="177" spans="1:12" x14ac:dyDescent="0.2">
      <c r="A177" s="476"/>
      <c r="B177" s="476"/>
      <c r="C177" s="476"/>
      <c r="D177" s="476"/>
      <c r="E177" s="476"/>
      <c r="F177" s="476"/>
      <c r="G177" s="476"/>
      <c r="H177" s="476"/>
      <c r="I177" s="476"/>
      <c r="J177" s="476"/>
      <c r="K177" s="476"/>
      <c r="L177" s="476"/>
    </row>
    <row r="178" spans="1:12" x14ac:dyDescent="0.2">
      <c r="A178" s="476"/>
      <c r="B178" s="476"/>
      <c r="C178" s="476"/>
      <c r="D178" s="476"/>
      <c r="E178" s="476"/>
      <c r="F178" s="476"/>
      <c r="G178" s="476"/>
      <c r="H178" s="476"/>
      <c r="I178" s="476"/>
      <c r="J178" s="476"/>
      <c r="K178" s="476"/>
      <c r="L178" s="476"/>
    </row>
    <row r="179" spans="1:12" x14ac:dyDescent="0.2">
      <c r="A179" s="476"/>
      <c r="B179" s="476"/>
      <c r="C179" s="476"/>
      <c r="D179" s="476"/>
      <c r="E179" s="476"/>
      <c r="F179" s="476"/>
      <c r="G179" s="476"/>
      <c r="H179" s="476"/>
      <c r="I179" s="476"/>
      <c r="J179" s="476"/>
      <c r="K179" s="476"/>
      <c r="L179" s="476"/>
    </row>
    <row r="180" spans="1:12" x14ac:dyDescent="0.2">
      <c r="A180" s="476"/>
      <c r="B180" s="476"/>
      <c r="C180" s="476"/>
      <c r="D180" s="476"/>
      <c r="E180" s="476"/>
      <c r="F180" s="476"/>
      <c r="G180" s="476"/>
      <c r="H180" s="476"/>
      <c r="I180" s="476"/>
      <c r="J180" s="476"/>
      <c r="K180" s="476"/>
      <c r="L180" s="476"/>
    </row>
    <row r="181" spans="1:12" x14ac:dyDescent="0.2">
      <c r="A181" s="476"/>
      <c r="B181" s="476"/>
      <c r="C181" s="476"/>
      <c r="D181" s="476"/>
      <c r="E181" s="476"/>
      <c r="F181" s="476"/>
      <c r="G181" s="476"/>
      <c r="H181" s="476"/>
      <c r="I181" s="476"/>
      <c r="J181" s="476"/>
      <c r="K181" s="476"/>
      <c r="L181" s="476"/>
    </row>
    <row r="182" spans="1:12" x14ac:dyDescent="0.2">
      <c r="A182" s="476"/>
      <c r="B182" s="476"/>
      <c r="C182" s="476"/>
      <c r="D182" s="476"/>
      <c r="E182" s="476"/>
      <c r="F182" s="476"/>
      <c r="G182" s="476"/>
      <c r="H182" s="476"/>
      <c r="I182" s="476"/>
      <c r="J182" s="476"/>
      <c r="K182" s="476"/>
      <c r="L182" s="476"/>
    </row>
    <row r="183" spans="1:12" x14ac:dyDescent="0.2">
      <c r="A183" s="476"/>
      <c r="B183" s="476"/>
      <c r="C183" s="476"/>
      <c r="D183" s="476"/>
      <c r="E183" s="476"/>
      <c r="F183" s="476"/>
      <c r="G183" s="476"/>
      <c r="H183" s="476"/>
      <c r="I183" s="476"/>
      <c r="J183" s="476"/>
      <c r="K183" s="476"/>
      <c r="L183" s="476"/>
    </row>
    <row r="184" spans="1:12" x14ac:dyDescent="0.2">
      <c r="A184" s="476"/>
      <c r="B184" s="476"/>
      <c r="C184" s="476"/>
      <c r="D184" s="476"/>
      <c r="E184" s="476"/>
      <c r="F184" s="476"/>
      <c r="G184" s="476"/>
      <c r="H184" s="476"/>
      <c r="I184" s="476"/>
      <c r="J184" s="476"/>
      <c r="K184" s="476"/>
      <c r="L184" s="476"/>
    </row>
    <row r="185" spans="1:12" x14ac:dyDescent="0.2">
      <c r="A185" s="476"/>
      <c r="B185" s="476"/>
      <c r="C185" s="476"/>
      <c r="D185" s="476"/>
      <c r="E185" s="476"/>
      <c r="F185" s="476"/>
      <c r="G185" s="476"/>
      <c r="H185" s="476"/>
      <c r="I185" s="476"/>
      <c r="J185" s="476"/>
      <c r="K185" s="476"/>
      <c r="L185" s="476"/>
    </row>
    <row r="186" spans="1:12" x14ac:dyDescent="0.2">
      <c r="A186" s="476"/>
      <c r="B186" s="476"/>
      <c r="C186" s="476"/>
      <c r="D186" s="476"/>
      <c r="E186" s="476"/>
      <c r="F186" s="476"/>
      <c r="G186" s="476"/>
      <c r="H186" s="476"/>
      <c r="I186" s="476"/>
      <c r="J186" s="476"/>
      <c r="K186" s="476"/>
      <c r="L186" s="476"/>
    </row>
    <row r="187" spans="1:12" x14ac:dyDescent="0.2">
      <c r="A187" s="476"/>
      <c r="B187" s="476"/>
      <c r="C187" s="476"/>
      <c r="D187" s="476"/>
      <c r="E187" s="476"/>
      <c r="F187" s="476"/>
      <c r="G187" s="476"/>
      <c r="H187" s="476"/>
      <c r="I187" s="476"/>
      <c r="J187" s="476"/>
      <c r="K187" s="476"/>
      <c r="L187" s="476"/>
    </row>
    <row r="188" spans="1:12" x14ac:dyDescent="0.2">
      <c r="A188" s="476"/>
      <c r="B188" s="476"/>
      <c r="C188" s="476"/>
      <c r="D188" s="476"/>
      <c r="E188" s="476"/>
      <c r="F188" s="476"/>
      <c r="G188" s="476"/>
      <c r="H188" s="476"/>
      <c r="I188" s="476"/>
      <c r="J188" s="476"/>
      <c r="K188" s="476"/>
      <c r="L188" s="476"/>
    </row>
    <row r="189" spans="1:12" x14ac:dyDescent="0.2">
      <c r="A189" s="476"/>
      <c r="B189" s="476"/>
      <c r="C189" s="476"/>
      <c r="D189" s="476"/>
      <c r="E189" s="476"/>
      <c r="F189" s="476"/>
      <c r="G189" s="476"/>
      <c r="H189" s="476"/>
      <c r="I189" s="476"/>
      <c r="J189" s="476"/>
      <c r="K189" s="476"/>
      <c r="L189" s="476"/>
    </row>
    <row r="190" spans="1:12" x14ac:dyDescent="0.2">
      <c r="A190" s="476"/>
      <c r="B190" s="476"/>
      <c r="C190" s="476"/>
      <c r="D190" s="476"/>
      <c r="E190" s="476"/>
      <c r="F190" s="476"/>
      <c r="G190" s="476"/>
      <c r="H190" s="476"/>
      <c r="I190" s="476"/>
      <c r="J190" s="476"/>
      <c r="K190" s="476"/>
      <c r="L190" s="476"/>
    </row>
    <row r="191" spans="1:12" x14ac:dyDescent="0.2">
      <c r="A191" s="476"/>
      <c r="B191" s="476"/>
      <c r="C191" s="476"/>
      <c r="D191" s="476"/>
      <c r="E191" s="476"/>
      <c r="F191" s="476"/>
      <c r="G191" s="476"/>
      <c r="H191" s="476"/>
      <c r="I191" s="476"/>
      <c r="J191" s="476"/>
      <c r="K191" s="476"/>
      <c r="L191" s="476"/>
    </row>
    <row r="192" spans="1:12" x14ac:dyDescent="0.2">
      <c r="A192" s="476"/>
      <c r="B192" s="476"/>
      <c r="C192" s="476"/>
      <c r="D192" s="476"/>
      <c r="E192" s="476"/>
      <c r="F192" s="476"/>
      <c r="G192" s="476"/>
      <c r="H192" s="476"/>
      <c r="I192" s="476"/>
      <c r="J192" s="476"/>
      <c r="K192" s="476"/>
      <c r="L192" s="476"/>
    </row>
    <row r="193" spans="1:12" x14ac:dyDescent="0.2">
      <c r="A193" s="476"/>
      <c r="B193" s="476"/>
      <c r="C193" s="476"/>
      <c r="D193" s="476"/>
      <c r="E193" s="476"/>
      <c r="F193" s="476"/>
      <c r="G193" s="476"/>
      <c r="H193" s="476"/>
      <c r="I193" s="476"/>
      <c r="J193" s="476"/>
      <c r="K193" s="476"/>
      <c r="L193" s="476"/>
    </row>
    <row r="194" spans="1:12" x14ac:dyDescent="0.2">
      <c r="A194" s="476"/>
      <c r="B194" s="476"/>
      <c r="C194" s="476"/>
      <c r="D194" s="476"/>
      <c r="E194" s="476"/>
      <c r="F194" s="476"/>
      <c r="G194" s="476"/>
      <c r="H194" s="476"/>
      <c r="I194" s="476"/>
      <c r="J194" s="476"/>
      <c r="K194" s="476"/>
      <c r="L194" s="476"/>
    </row>
    <row r="195" spans="1:12" x14ac:dyDescent="0.2">
      <c r="A195" s="476"/>
      <c r="B195" s="476"/>
      <c r="C195" s="476"/>
      <c r="D195" s="476"/>
      <c r="E195" s="476"/>
      <c r="F195" s="476"/>
      <c r="G195" s="476"/>
      <c r="H195" s="476"/>
      <c r="I195" s="476"/>
      <c r="J195" s="476"/>
      <c r="K195" s="476"/>
      <c r="L195" s="476"/>
    </row>
    <row r="196" spans="1:12" x14ac:dyDescent="0.2">
      <c r="A196" s="476"/>
      <c r="B196" s="476"/>
      <c r="C196" s="476"/>
      <c r="D196" s="476"/>
      <c r="E196" s="476"/>
      <c r="F196" s="476"/>
      <c r="G196" s="476"/>
      <c r="H196" s="476"/>
      <c r="I196" s="476"/>
      <c r="J196" s="476"/>
      <c r="K196" s="476"/>
      <c r="L196" s="476"/>
    </row>
    <row r="197" spans="1:12" x14ac:dyDescent="0.2">
      <c r="A197" s="476"/>
      <c r="B197" s="476"/>
      <c r="C197" s="476"/>
      <c r="D197" s="476"/>
      <c r="E197" s="476"/>
      <c r="F197" s="476"/>
      <c r="G197" s="476"/>
      <c r="H197" s="476"/>
      <c r="I197" s="476"/>
      <c r="J197" s="476"/>
      <c r="K197" s="476"/>
      <c r="L197" s="476"/>
    </row>
    <row r="198" spans="1:12" x14ac:dyDescent="0.2">
      <c r="A198" s="476"/>
      <c r="B198" s="476"/>
      <c r="C198" s="476"/>
      <c r="D198" s="476"/>
      <c r="E198" s="476"/>
      <c r="F198" s="476"/>
      <c r="G198" s="476"/>
      <c r="H198" s="476"/>
      <c r="I198" s="476"/>
      <c r="J198" s="476"/>
      <c r="K198" s="476"/>
      <c r="L198" s="476"/>
    </row>
    <row r="199" spans="1:12" x14ac:dyDescent="0.2">
      <c r="A199" s="476"/>
      <c r="B199" s="476"/>
      <c r="C199" s="476"/>
      <c r="D199" s="476"/>
      <c r="E199" s="476"/>
      <c r="F199" s="476"/>
      <c r="G199" s="476"/>
      <c r="H199" s="476"/>
      <c r="I199" s="476"/>
      <c r="J199" s="476"/>
      <c r="K199" s="476"/>
      <c r="L199" s="476"/>
    </row>
    <row r="200" spans="1:12" x14ac:dyDescent="0.2">
      <c r="A200" s="476"/>
      <c r="B200" s="476"/>
      <c r="C200" s="476"/>
      <c r="D200" s="476"/>
      <c r="E200" s="476"/>
      <c r="F200" s="476"/>
      <c r="G200" s="476"/>
      <c r="H200" s="476"/>
      <c r="I200" s="476"/>
      <c r="J200" s="476"/>
      <c r="K200" s="476"/>
      <c r="L200" s="476"/>
    </row>
    <row r="201" spans="1:12" x14ac:dyDescent="0.2">
      <c r="A201" s="476"/>
      <c r="B201" s="476"/>
      <c r="C201" s="476"/>
      <c r="D201" s="476"/>
      <c r="E201" s="476"/>
      <c r="F201" s="476"/>
      <c r="G201" s="476"/>
      <c r="H201" s="476"/>
      <c r="I201" s="476"/>
      <c r="J201" s="476"/>
      <c r="K201" s="476"/>
      <c r="L201" s="476"/>
    </row>
    <row r="202" spans="1:12" x14ac:dyDescent="0.2">
      <c r="A202" s="476"/>
      <c r="B202" s="476"/>
      <c r="C202" s="476"/>
      <c r="D202" s="476"/>
      <c r="E202" s="476"/>
      <c r="F202" s="476"/>
      <c r="G202" s="476"/>
      <c r="H202" s="476"/>
      <c r="I202" s="476"/>
      <c r="J202" s="476"/>
      <c r="K202" s="476"/>
      <c r="L202" s="476"/>
    </row>
    <row r="203" spans="1:12" x14ac:dyDescent="0.2">
      <c r="A203" s="476"/>
      <c r="B203" s="476"/>
      <c r="C203" s="476"/>
      <c r="D203" s="476"/>
      <c r="E203" s="476"/>
      <c r="F203" s="476"/>
      <c r="G203" s="476"/>
      <c r="H203" s="476"/>
      <c r="I203" s="476"/>
      <c r="J203" s="476"/>
      <c r="K203" s="476"/>
      <c r="L203" s="476"/>
    </row>
    <row r="204" spans="1:12" x14ac:dyDescent="0.2">
      <c r="A204" s="476"/>
      <c r="B204" s="476"/>
      <c r="C204" s="476"/>
      <c r="D204" s="476"/>
      <c r="E204" s="476"/>
      <c r="F204" s="476"/>
      <c r="G204" s="476"/>
      <c r="H204" s="476"/>
      <c r="I204" s="476"/>
      <c r="J204" s="476"/>
      <c r="K204" s="476"/>
      <c r="L204" s="476"/>
    </row>
    <row r="205" spans="1:12" x14ac:dyDescent="0.2">
      <c r="A205" s="476"/>
      <c r="B205" s="476"/>
      <c r="C205" s="476"/>
      <c r="D205" s="476"/>
      <c r="E205" s="476"/>
      <c r="F205" s="476"/>
      <c r="G205" s="476"/>
      <c r="H205" s="476"/>
      <c r="I205" s="476"/>
      <c r="J205" s="476"/>
      <c r="K205" s="476"/>
      <c r="L205" s="476"/>
    </row>
    <row r="206" spans="1:12" x14ac:dyDescent="0.2">
      <c r="A206" s="476"/>
      <c r="B206" s="476"/>
      <c r="C206" s="476"/>
      <c r="D206" s="476"/>
      <c r="E206" s="476"/>
      <c r="F206" s="476"/>
      <c r="G206" s="476"/>
      <c r="H206" s="476"/>
      <c r="I206" s="476"/>
      <c r="J206" s="476"/>
      <c r="K206" s="476"/>
      <c r="L206" s="476"/>
    </row>
    <row r="207" spans="1:12" x14ac:dyDescent="0.2">
      <c r="A207" s="476"/>
      <c r="B207" s="476"/>
      <c r="C207" s="476"/>
      <c r="D207" s="476"/>
      <c r="E207" s="476"/>
      <c r="F207" s="476"/>
      <c r="G207" s="476"/>
      <c r="H207" s="476"/>
      <c r="I207" s="476"/>
      <c r="J207" s="476"/>
      <c r="K207" s="476"/>
      <c r="L207" s="476"/>
    </row>
    <row r="208" spans="1:12" x14ac:dyDescent="0.2">
      <c r="A208" s="476"/>
      <c r="B208" s="476"/>
      <c r="C208" s="476"/>
      <c r="D208" s="476"/>
      <c r="E208" s="476"/>
      <c r="F208" s="476"/>
      <c r="G208" s="476"/>
      <c r="H208" s="476"/>
      <c r="I208" s="476"/>
      <c r="J208" s="476"/>
      <c r="K208" s="476"/>
      <c r="L208" s="476"/>
    </row>
    <row r="209" spans="1:12" x14ac:dyDescent="0.2">
      <c r="A209" s="476"/>
      <c r="B209" s="476"/>
      <c r="C209" s="476"/>
      <c r="D209" s="476"/>
      <c r="E209" s="476"/>
      <c r="F209" s="476"/>
      <c r="G209" s="476"/>
      <c r="H209" s="476"/>
      <c r="I209" s="476"/>
      <c r="J209" s="476"/>
      <c r="K209" s="476"/>
      <c r="L209" s="476"/>
    </row>
    <row r="210" spans="1:12" x14ac:dyDescent="0.2">
      <c r="A210" s="476"/>
      <c r="B210" s="476"/>
      <c r="C210" s="476"/>
      <c r="D210" s="476"/>
      <c r="E210" s="476"/>
      <c r="F210" s="476"/>
      <c r="G210" s="476"/>
      <c r="H210" s="476"/>
      <c r="I210" s="476"/>
      <c r="J210" s="476"/>
      <c r="K210" s="476"/>
      <c r="L210" s="476"/>
    </row>
    <row r="211" spans="1:12" x14ac:dyDescent="0.2">
      <c r="A211" s="476"/>
      <c r="B211" s="476"/>
      <c r="C211" s="476"/>
      <c r="D211" s="476"/>
      <c r="E211" s="476"/>
      <c r="F211" s="476"/>
      <c r="G211" s="476"/>
      <c r="H211" s="476"/>
      <c r="I211" s="476"/>
      <c r="J211" s="476"/>
      <c r="K211" s="476"/>
      <c r="L211" s="476"/>
    </row>
    <row r="212" spans="1:12" x14ac:dyDescent="0.2">
      <c r="A212" s="476"/>
      <c r="B212" s="476"/>
      <c r="C212" s="476"/>
      <c r="D212" s="476"/>
      <c r="E212" s="476"/>
      <c r="F212" s="476"/>
      <c r="G212" s="476"/>
      <c r="H212" s="476"/>
      <c r="I212" s="476"/>
      <c r="J212" s="476"/>
      <c r="K212" s="476"/>
      <c r="L212" s="476"/>
    </row>
    <row r="213" spans="1:12" x14ac:dyDescent="0.2">
      <c r="A213" s="476"/>
      <c r="B213" s="476"/>
      <c r="C213" s="476"/>
      <c r="D213" s="476"/>
      <c r="E213" s="476"/>
      <c r="F213" s="476"/>
      <c r="G213" s="476"/>
      <c r="H213" s="476"/>
      <c r="I213" s="476"/>
      <c r="J213" s="476"/>
      <c r="K213" s="476"/>
      <c r="L213" s="476"/>
    </row>
    <row r="214" spans="1:12" x14ac:dyDescent="0.2">
      <c r="A214" s="476"/>
      <c r="B214" s="476"/>
      <c r="C214" s="476"/>
      <c r="D214" s="476"/>
      <c r="E214" s="476"/>
      <c r="F214" s="476"/>
      <c r="G214" s="476"/>
      <c r="H214" s="476"/>
      <c r="I214" s="476"/>
      <c r="J214" s="476"/>
      <c r="K214" s="476"/>
      <c r="L214" s="476"/>
    </row>
    <row r="215" spans="1:12" x14ac:dyDescent="0.2">
      <c r="A215" s="476"/>
      <c r="B215" s="476"/>
      <c r="C215" s="476"/>
      <c r="D215" s="476"/>
      <c r="E215" s="476"/>
      <c r="F215" s="476"/>
      <c r="G215" s="476"/>
      <c r="H215" s="476"/>
      <c r="I215" s="476"/>
      <c r="J215" s="476"/>
      <c r="K215" s="476"/>
      <c r="L215" s="476"/>
    </row>
    <row r="216" spans="1:12" x14ac:dyDescent="0.2">
      <c r="A216" s="476"/>
      <c r="B216" s="476"/>
      <c r="C216" s="476"/>
      <c r="D216" s="476"/>
      <c r="E216" s="476"/>
      <c r="F216" s="476"/>
      <c r="G216" s="476"/>
      <c r="H216" s="476"/>
      <c r="I216" s="476"/>
      <c r="J216" s="476"/>
      <c r="K216" s="476"/>
      <c r="L216" s="476"/>
    </row>
    <row r="217" spans="1:12" x14ac:dyDescent="0.2">
      <c r="A217" s="476"/>
      <c r="B217" s="476"/>
      <c r="C217" s="476"/>
      <c r="D217" s="476"/>
      <c r="E217" s="476"/>
      <c r="F217" s="476"/>
      <c r="G217" s="476"/>
      <c r="H217" s="476"/>
      <c r="I217" s="476"/>
      <c r="J217" s="476"/>
      <c r="K217" s="476"/>
      <c r="L217" s="476"/>
    </row>
    <row r="218" spans="1:12" x14ac:dyDescent="0.2">
      <c r="A218" s="476"/>
      <c r="B218" s="476"/>
      <c r="C218" s="476"/>
      <c r="D218" s="476"/>
      <c r="E218" s="476"/>
      <c r="F218" s="476"/>
      <c r="G218" s="476"/>
      <c r="H218" s="476"/>
      <c r="I218" s="476"/>
      <c r="J218" s="476"/>
      <c r="K218" s="476"/>
      <c r="L218" s="476"/>
    </row>
    <row r="219" spans="1:12" x14ac:dyDescent="0.2">
      <c r="A219" s="476"/>
      <c r="B219" s="476"/>
      <c r="C219" s="476"/>
      <c r="D219" s="476"/>
      <c r="E219" s="476"/>
      <c r="F219" s="476"/>
      <c r="G219" s="476"/>
      <c r="H219" s="476"/>
      <c r="I219" s="476"/>
      <c r="J219" s="476"/>
      <c r="K219" s="476"/>
      <c r="L219" s="476"/>
    </row>
    <row r="220" spans="1:12" x14ac:dyDescent="0.2">
      <c r="A220" s="476"/>
      <c r="B220" s="476"/>
      <c r="C220" s="476"/>
      <c r="D220" s="476"/>
      <c r="E220" s="476"/>
      <c r="F220" s="476"/>
      <c r="G220" s="476"/>
      <c r="H220" s="476"/>
      <c r="I220" s="476"/>
      <c r="J220" s="476"/>
      <c r="K220" s="476"/>
      <c r="L220" s="476"/>
    </row>
    <row r="221" spans="1:12" x14ac:dyDescent="0.2">
      <c r="A221" s="476"/>
      <c r="B221" s="476"/>
      <c r="C221" s="476"/>
      <c r="D221" s="476"/>
      <c r="E221" s="476"/>
      <c r="F221" s="476"/>
      <c r="G221" s="476"/>
      <c r="H221" s="476"/>
      <c r="I221" s="476"/>
      <c r="J221" s="476"/>
      <c r="K221" s="476"/>
      <c r="L221" s="476"/>
    </row>
    <row r="222" spans="1:12" x14ac:dyDescent="0.2">
      <c r="A222" s="476"/>
      <c r="B222" s="476"/>
      <c r="C222" s="476"/>
      <c r="D222" s="476"/>
      <c r="E222" s="476"/>
      <c r="F222" s="476"/>
      <c r="G222" s="476"/>
      <c r="H222" s="476"/>
      <c r="I222" s="476"/>
      <c r="J222" s="476"/>
      <c r="K222" s="476"/>
      <c r="L222" s="476"/>
    </row>
    <row r="223" spans="1:12" x14ac:dyDescent="0.2">
      <c r="A223" s="476"/>
      <c r="B223" s="476"/>
      <c r="C223" s="476"/>
      <c r="D223" s="476"/>
      <c r="E223" s="476"/>
      <c r="F223" s="476"/>
      <c r="G223" s="476"/>
      <c r="H223" s="476"/>
      <c r="I223" s="476"/>
      <c r="J223" s="476"/>
      <c r="K223" s="476"/>
      <c r="L223" s="476"/>
    </row>
    <row r="224" spans="1:12" x14ac:dyDescent="0.2">
      <c r="A224" s="476"/>
      <c r="B224" s="476"/>
      <c r="C224" s="476"/>
      <c r="D224" s="476"/>
      <c r="E224" s="476"/>
      <c r="F224" s="476"/>
      <c r="G224" s="476"/>
      <c r="H224" s="476"/>
      <c r="I224" s="476"/>
      <c r="J224" s="476"/>
      <c r="K224" s="476"/>
      <c r="L224" s="476"/>
    </row>
    <row r="225" spans="1:12" x14ac:dyDescent="0.2">
      <c r="A225" s="476"/>
      <c r="B225" s="476"/>
      <c r="C225" s="476"/>
      <c r="D225" s="476"/>
      <c r="E225" s="476"/>
      <c r="F225" s="476"/>
      <c r="G225" s="476"/>
      <c r="H225" s="476"/>
      <c r="I225" s="476"/>
      <c r="J225" s="476"/>
      <c r="K225" s="476"/>
      <c r="L225" s="476"/>
    </row>
    <row r="226" spans="1:12" x14ac:dyDescent="0.2">
      <c r="A226" s="476"/>
      <c r="B226" s="476"/>
      <c r="C226" s="476"/>
      <c r="D226" s="476"/>
      <c r="E226" s="476"/>
      <c r="F226" s="476"/>
      <c r="G226" s="476"/>
      <c r="H226" s="476"/>
      <c r="I226" s="476"/>
      <c r="J226" s="476"/>
      <c r="K226" s="476"/>
      <c r="L226" s="476"/>
    </row>
    <row r="227" spans="1:12" x14ac:dyDescent="0.2">
      <c r="A227" s="476"/>
      <c r="B227" s="476"/>
      <c r="C227" s="476"/>
      <c r="D227" s="476"/>
      <c r="E227" s="476"/>
      <c r="F227" s="476"/>
      <c r="G227" s="476"/>
      <c r="H227" s="476"/>
      <c r="I227" s="476"/>
      <c r="J227" s="476"/>
      <c r="K227" s="476"/>
      <c r="L227" s="476"/>
    </row>
    <row r="228" spans="1:12" x14ac:dyDescent="0.2">
      <c r="A228" s="476"/>
      <c r="B228" s="476"/>
      <c r="C228" s="476"/>
      <c r="D228" s="476"/>
      <c r="E228" s="476"/>
      <c r="F228" s="476"/>
      <c r="G228" s="476"/>
      <c r="H228" s="476"/>
      <c r="I228" s="476"/>
      <c r="J228" s="476"/>
      <c r="K228" s="476"/>
      <c r="L228" s="476"/>
    </row>
    <row r="229" spans="1:12" x14ac:dyDescent="0.2">
      <c r="A229" s="476"/>
      <c r="B229" s="476"/>
      <c r="C229" s="476"/>
      <c r="D229" s="476"/>
      <c r="E229" s="476"/>
      <c r="F229" s="476"/>
      <c r="G229" s="476"/>
      <c r="H229" s="476"/>
      <c r="I229" s="476"/>
      <c r="J229" s="476"/>
      <c r="K229" s="476"/>
      <c r="L229" s="476"/>
    </row>
    <row r="230" spans="1:12" x14ac:dyDescent="0.2">
      <c r="A230" s="476"/>
      <c r="B230" s="476"/>
      <c r="C230" s="476"/>
      <c r="D230" s="476"/>
      <c r="E230" s="476"/>
      <c r="F230" s="476"/>
      <c r="G230" s="476"/>
      <c r="H230" s="476"/>
      <c r="I230" s="476"/>
      <c r="J230" s="476"/>
      <c r="K230" s="476"/>
      <c r="L230" s="476"/>
    </row>
    <row r="231" spans="1:12" x14ac:dyDescent="0.2">
      <c r="A231" s="476"/>
      <c r="B231" s="476"/>
      <c r="C231" s="476"/>
      <c r="D231" s="476"/>
      <c r="E231" s="476"/>
      <c r="F231" s="476"/>
      <c r="G231" s="476"/>
      <c r="H231" s="476"/>
      <c r="I231" s="476"/>
      <c r="J231" s="476"/>
      <c r="K231" s="476"/>
      <c r="L231" s="476"/>
    </row>
    <row r="232" spans="1:12" x14ac:dyDescent="0.2">
      <c r="A232" s="476"/>
      <c r="B232" s="476"/>
      <c r="C232" s="476"/>
      <c r="D232" s="476"/>
      <c r="E232" s="476"/>
      <c r="F232" s="476"/>
      <c r="G232" s="476"/>
      <c r="H232" s="476"/>
      <c r="I232" s="476"/>
      <c r="J232" s="476"/>
      <c r="K232" s="476"/>
      <c r="L232" s="476"/>
    </row>
    <row r="233" spans="1:12" x14ac:dyDescent="0.2">
      <c r="A233" s="476"/>
      <c r="B233" s="476"/>
      <c r="C233" s="476"/>
      <c r="D233" s="476"/>
      <c r="E233" s="476"/>
      <c r="F233" s="476"/>
      <c r="G233" s="476"/>
      <c r="H233" s="476"/>
      <c r="I233" s="476"/>
      <c r="J233" s="476"/>
      <c r="K233" s="476"/>
      <c r="L233" s="476"/>
    </row>
    <row r="234" spans="1:12" x14ac:dyDescent="0.2">
      <c r="A234" s="476"/>
      <c r="B234" s="476"/>
      <c r="C234" s="476"/>
      <c r="D234" s="476"/>
      <c r="E234" s="476"/>
      <c r="F234" s="476"/>
      <c r="G234" s="476"/>
      <c r="H234" s="476"/>
      <c r="I234" s="476"/>
      <c r="J234" s="476"/>
      <c r="K234" s="476"/>
      <c r="L234" s="476"/>
    </row>
    <row r="235" spans="1:12" x14ac:dyDescent="0.2">
      <c r="A235" s="476"/>
      <c r="B235" s="476"/>
      <c r="C235" s="476"/>
      <c r="D235" s="476"/>
      <c r="E235" s="476"/>
      <c r="F235" s="476"/>
      <c r="G235" s="476"/>
      <c r="H235" s="476"/>
      <c r="I235" s="476"/>
      <c r="J235" s="476"/>
      <c r="K235" s="476"/>
      <c r="L235" s="476"/>
    </row>
    <row r="236" spans="1:12" x14ac:dyDescent="0.2">
      <c r="A236" s="476"/>
      <c r="B236" s="476"/>
      <c r="C236" s="476"/>
      <c r="D236" s="476"/>
      <c r="E236" s="476"/>
      <c r="F236" s="476"/>
      <c r="G236" s="476"/>
      <c r="H236" s="476"/>
      <c r="I236" s="476"/>
      <c r="J236" s="476"/>
      <c r="K236" s="476"/>
      <c r="L236" s="476"/>
    </row>
    <row r="237" spans="1:12" x14ac:dyDescent="0.2">
      <c r="A237" s="476"/>
      <c r="B237" s="476"/>
      <c r="C237" s="476"/>
      <c r="D237" s="476"/>
      <c r="E237" s="476"/>
      <c r="F237" s="476"/>
      <c r="G237" s="476"/>
      <c r="H237" s="476"/>
      <c r="I237" s="476"/>
      <c r="J237" s="476"/>
      <c r="K237" s="476"/>
      <c r="L237" s="476"/>
    </row>
    <row r="238" spans="1:12" x14ac:dyDescent="0.2">
      <c r="A238" s="476"/>
      <c r="B238" s="476"/>
      <c r="C238" s="476"/>
      <c r="D238" s="476"/>
      <c r="E238" s="476"/>
      <c r="F238" s="476"/>
      <c r="G238" s="476"/>
      <c r="H238" s="476"/>
      <c r="I238" s="476"/>
      <c r="J238" s="476"/>
      <c r="K238" s="476"/>
      <c r="L238" s="476"/>
    </row>
    <row r="239" spans="1:12" x14ac:dyDescent="0.2">
      <c r="A239" s="476"/>
      <c r="B239" s="476"/>
      <c r="C239" s="476"/>
      <c r="D239" s="476"/>
      <c r="E239" s="476"/>
      <c r="F239" s="476"/>
      <c r="G239" s="476"/>
      <c r="H239" s="476"/>
      <c r="I239" s="476"/>
      <c r="J239" s="476"/>
      <c r="K239" s="476"/>
      <c r="L239" s="476"/>
    </row>
    <row r="240" spans="1:12" x14ac:dyDescent="0.2">
      <c r="A240" s="476"/>
      <c r="B240" s="476"/>
      <c r="C240" s="476"/>
      <c r="D240" s="476"/>
      <c r="E240" s="476"/>
      <c r="F240" s="476"/>
      <c r="G240" s="476"/>
      <c r="H240" s="476"/>
      <c r="I240" s="476"/>
      <c r="J240" s="476"/>
      <c r="K240" s="476"/>
      <c r="L240" s="476"/>
    </row>
    <row r="241" spans="1:12" x14ac:dyDescent="0.2">
      <c r="A241" s="476"/>
      <c r="B241" s="476"/>
      <c r="C241" s="476"/>
      <c r="D241" s="476"/>
      <c r="E241" s="476"/>
      <c r="F241" s="476"/>
      <c r="G241" s="476"/>
      <c r="H241" s="476"/>
      <c r="I241" s="476"/>
      <c r="J241" s="476"/>
      <c r="K241" s="476"/>
      <c r="L241" s="476"/>
    </row>
    <row r="242" spans="1:12" x14ac:dyDescent="0.2">
      <c r="A242" s="476"/>
      <c r="B242" s="476"/>
      <c r="C242" s="476"/>
      <c r="D242" s="476"/>
      <c r="E242" s="476"/>
      <c r="F242" s="476"/>
      <c r="G242" s="476"/>
      <c r="H242" s="476"/>
      <c r="I242" s="476"/>
      <c r="J242" s="476"/>
      <c r="K242" s="476"/>
      <c r="L242" s="476"/>
    </row>
    <row r="243" spans="1:12" x14ac:dyDescent="0.2">
      <c r="A243" s="476"/>
      <c r="B243" s="476"/>
      <c r="C243" s="476"/>
      <c r="D243" s="476"/>
      <c r="E243" s="476"/>
      <c r="F243" s="476"/>
      <c r="G243" s="476"/>
      <c r="H243" s="476"/>
      <c r="I243" s="476"/>
      <c r="J243" s="476"/>
      <c r="K243" s="476"/>
      <c r="L243" s="476"/>
    </row>
    <row r="244" spans="1:12" x14ac:dyDescent="0.2">
      <c r="A244" s="476"/>
      <c r="B244" s="476"/>
      <c r="C244" s="476"/>
      <c r="D244" s="476"/>
      <c r="E244" s="476"/>
      <c r="F244" s="476"/>
      <c r="G244" s="476"/>
      <c r="H244" s="476"/>
      <c r="I244" s="476"/>
      <c r="J244" s="476"/>
      <c r="K244" s="476"/>
      <c r="L244" s="476"/>
    </row>
    <row r="245" spans="1:12" x14ac:dyDescent="0.2">
      <c r="A245" s="476"/>
      <c r="B245" s="476"/>
      <c r="C245" s="476"/>
      <c r="D245" s="476"/>
      <c r="E245" s="476"/>
      <c r="F245" s="476"/>
      <c r="G245" s="476"/>
      <c r="H245" s="476"/>
      <c r="I245" s="476"/>
      <c r="J245" s="476"/>
      <c r="K245" s="476"/>
      <c r="L245" s="476"/>
    </row>
    <row r="246" spans="1:12" x14ac:dyDescent="0.2">
      <c r="A246" s="476"/>
      <c r="B246" s="476"/>
      <c r="C246" s="476"/>
      <c r="D246" s="476"/>
      <c r="E246" s="476"/>
      <c r="F246" s="476"/>
      <c r="G246" s="476"/>
      <c r="H246" s="476"/>
      <c r="I246" s="476"/>
      <c r="J246" s="476"/>
      <c r="K246" s="476"/>
      <c r="L246" s="476"/>
    </row>
    <row r="247" spans="1:12" x14ac:dyDescent="0.2">
      <c r="A247" s="476"/>
      <c r="B247" s="476"/>
      <c r="C247" s="476"/>
      <c r="D247" s="476"/>
      <c r="E247" s="476"/>
      <c r="F247" s="476"/>
      <c r="G247" s="476"/>
      <c r="H247" s="476"/>
      <c r="I247" s="476"/>
      <c r="J247" s="476"/>
      <c r="K247" s="476"/>
      <c r="L247" s="476"/>
    </row>
    <row r="248" spans="1:12" x14ac:dyDescent="0.2">
      <c r="A248" s="476"/>
      <c r="B248" s="476"/>
      <c r="C248" s="476"/>
      <c r="D248" s="476"/>
      <c r="E248" s="476"/>
      <c r="F248" s="476"/>
      <c r="G248" s="476"/>
      <c r="H248" s="476"/>
      <c r="I248" s="476"/>
      <c r="J248" s="476"/>
      <c r="K248" s="476"/>
      <c r="L248" s="476"/>
    </row>
    <row r="249" spans="1:12" x14ac:dyDescent="0.2">
      <c r="A249" s="476"/>
      <c r="B249" s="476"/>
      <c r="C249" s="476"/>
      <c r="D249" s="476"/>
      <c r="E249" s="476"/>
      <c r="F249" s="476"/>
      <c r="G249" s="476"/>
      <c r="H249" s="476"/>
      <c r="I249" s="476"/>
      <c r="J249" s="476"/>
      <c r="K249" s="476"/>
      <c r="L249" s="476"/>
    </row>
    <row r="250" spans="1:12" x14ac:dyDescent="0.2">
      <c r="A250" s="476"/>
      <c r="B250" s="476"/>
      <c r="C250" s="476"/>
      <c r="D250" s="476"/>
      <c r="E250" s="476"/>
      <c r="F250" s="476"/>
      <c r="G250" s="476"/>
      <c r="H250" s="476"/>
      <c r="I250" s="476"/>
      <c r="J250" s="476"/>
      <c r="K250" s="476"/>
      <c r="L250" s="476"/>
    </row>
    <row r="251" spans="1:12" x14ac:dyDescent="0.2">
      <c r="A251" s="476"/>
      <c r="B251" s="476"/>
      <c r="C251" s="476"/>
      <c r="D251" s="476"/>
      <c r="E251" s="476"/>
      <c r="F251" s="476"/>
      <c r="G251" s="476"/>
      <c r="H251" s="476"/>
      <c r="I251" s="476"/>
      <c r="J251" s="476"/>
      <c r="K251" s="476"/>
      <c r="L251" s="476"/>
    </row>
    <row r="252" spans="1:12" x14ac:dyDescent="0.2">
      <c r="A252" s="476"/>
      <c r="B252" s="476"/>
      <c r="C252" s="476"/>
      <c r="D252" s="476"/>
      <c r="E252" s="476"/>
      <c r="F252" s="476"/>
      <c r="G252" s="476"/>
      <c r="H252" s="476"/>
      <c r="I252" s="476"/>
      <c r="J252" s="476"/>
      <c r="K252" s="476"/>
      <c r="L252" s="476"/>
    </row>
    <row r="253" spans="1:12" x14ac:dyDescent="0.2">
      <c r="A253" s="476"/>
      <c r="B253" s="476"/>
      <c r="C253" s="476"/>
      <c r="D253" s="476"/>
      <c r="E253" s="476"/>
      <c r="F253" s="476"/>
      <c r="G253" s="476"/>
      <c r="H253" s="476"/>
      <c r="I253" s="476"/>
      <c r="J253" s="476"/>
      <c r="K253" s="476"/>
      <c r="L253" s="476"/>
    </row>
    <row r="254" spans="1:12" x14ac:dyDescent="0.2">
      <c r="A254" s="476"/>
      <c r="B254" s="476"/>
      <c r="C254" s="476"/>
      <c r="D254" s="476"/>
      <c r="E254" s="476"/>
      <c r="F254" s="476"/>
      <c r="G254" s="476"/>
      <c r="H254" s="476"/>
      <c r="I254" s="476"/>
      <c r="J254" s="476"/>
      <c r="K254" s="476"/>
      <c r="L254" s="476"/>
    </row>
    <row r="255" spans="1:12" x14ac:dyDescent="0.2">
      <c r="A255" s="476"/>
      <c r="B255" s="476"/>
      <c r="C255" s="476"/>
      <c r="D255" s="476"/>
      <c r="E255" s="476"/>
      <c r="F255" s="476"/>
      <c r="G255" s="476"/>
      <c r="H255" s="476"/>
      <c r="I255" s="476"/>
      <c r="J255" s="476"/>
      <c r="K255" s="476"/>
      <c r="L255" s="476"/>
    </row>
    <row r="256" spans="1:12" x14ac:dyDescent="0.2">
      <c r="A256" s="476"/>
      <c r="B256" s="476"/>
      <c r="C256" s="476"/>
      <c r="D256" s="476"/>
      <c r="E256" s="476"/>
      <c r="F256" s="476"/>
      <c r="G256" s="476"/>
      <c r="H256" s="476"/>
      <c r="I256" s="476"/>
      <c r="J256" s="476"/>
      <c r="K256" s="476"/>
      <c r="L256" s="476"/>
    </row>
    <row r="257" spans="1:12" x14ac:dyDescent="0.2">
      <c r="A257" s="476"/>
      <c r="B257" s="476"/>
      <c r="C257" s="476"/>
      <c r="D257" s="476"/>
      <c r="E257" s="476"/>
      <c r="F257" s="476"/>
      <c r="G257" s="476"/>
      <c r="H257" s="476"/>
      <c r="I257" s="476"/>
      <c r="J257" s="476"/>
      <c r="K257" s="476"/>
      <c r="L257" s="476"/>
    </row>
    <row r="258" spans="1:12" x14ac:dyDescent="0.2">
      <c r="A258" s="476"/>
      <c r="B258" s="476"/>
      <c r="C258" s="476"/>
      <c r="D258" s="476"/>
      <c r="E258" s="476"/>
      <c r="F258" s="476"/>
      <c r="G258" s="476"/>
      <c r="H258" s="476"/>
      <c r="I258" s="476"/>
      <c r="J258" s="476"/>
      <c r="K258" s="476"/>
      <c r="L258" s="476"/>
    </row>
    <row r="259" spans="1:12" x14ac:dyDescent="0.2">
      <c r="A259" s="476"/>
      <c r="B259" s="476"/>
      <c r="C259" s="476"/>
      <c r="D259" s="476"/>
      <c r="E259" s="476"/>
      <c r="F259" s="476"/>
      <c r="G259" s="476"/>
      <c r="H259" s="476"/>
      <c r="I259" s="476"/>
      <c r="J259" s="476"/>
      <c r="K259" s="476"/>
      <c r="L259" s="476"/>
    </row>
    <row r="260" spans="1:12" x14ac:dyDescent="0.2">
      <c r="A260" s="476"/>
      <c r="B260" s="476"/>
      <c r="C260" s="476"/>
      <c r="D260" s="476"/>
      <c r="E260" s="476"/>
      <c r="F260" s="476"/>
      <c r="G260" s="476"/>
      <c r="H260" s="476"/>
      <c r="I260" s="476"/>
      <c r="J260" s="476"/>
      <c r="K260" s="476"/>
      <c r="L260" s="476"/>
    </row>
    <row r="261" spans="1:12" x14ac:dyDescent="0.2">
      <c r="A261" s="476"/>
      <c r="B261" s="476"/>
      <c r="C261" s="476"/>
      <c r="D261" s="476"/>
      <c r="E261" s="476"/>
      <c r="F261" s="476"/>
      <c r="G261" s="476"/>
      <c r="H261" s="476"/>
      <c r="I261" s="476"/>
      <c r="J261" s="476"/>
      <c r="K261" s="476"/>
      <c r="L261" s="476"/>
    </row>
    <row r="262" spans="1:12" x14ac:dyDescent="0.2">
      <c r="A262" s="476"/>
      <c r="B262" s="476"/>
      <c r="C262" s="476"/>
      <c r="D262" s="476"/>
      <c r="E262" s="476"/>
      <c r="F262" s="476"/>
      <c r="G262" s="476"/>
      <c r="H262" s="476"/>
      <c r="I262" s="476"/>
      <c r="J262" s="476"/>
      <c r="K262" s="476"/>
      <c r="L262" s="476"/>
    </row>
    <row r="263" spans="1:12" x14ac:dyDescent="0.2">
      <c r="A263" s="476"/>
      <c r="B263" s="476"/>
      <c r="C263" s="476"/>
      <c r="D263" s="476"/>
      <c r="E263" s="476"/>
      <c r="F263" s="476"/>
      <c r="G263" s="476"/>
      <c r="H263" s="476"/>
      <c r="I263" s="476"/>
      <c r="J263" s="476"/>
      <c r="K263" s="476"/>
      <c r="L263" s="476"/>
    </row>
    <row r="264" spans="1:12" x14ac:dyDescent="0.2">
      <c r="A264" s="476"/>
      <c r="B264" s="476"/>
      <c r="C264" s="476"/>
      <c r="D264" s="476"/>
      <c r="E264" s="476"/>
      <c r="F264" s="476"/>
      <c r="G264" s="476"/>
      <c r="H264" s="476"/>
      <c r="I264" s="476"/>
      <c r="J264" s="476"/>
      <c r="K264" s="476"/>
      <c r="L264" s="476"/>
    </row>
    <row r="265" spans="1:12" x14ac:dyDescent="0.2">
      <c r="A265" s="476"/>
      <c r="B265" s="476"/>
      <c r="C265" s="476"/>
      <c r="D265" s="476"/>
      <c r="E265" s="476"/>
      <c r="F265" s="476"/>
      <c r="G265" s="476"/>
      <c r="H265" s="476"/>
      <c r="I265" s="476"/>
      <c r="J265" s="476"/>
      <c r="K265" s="476"/>
      <c r="L265" s="476"/>
    </row>
    <row r="266" spans="1:12" x14ac:dyDescent="0.2">
      <c r="A266" s="476"/>
      <c r="B266" s="476"/>
      <c r="C266" s="476"/>
      <c r="D266" s="476"/>
      <c r="E266" s="476"/>
      <c r="F266" s="476"/>
      <c r="G266" s="476"/>
      <c r="H266" s="476"/>
      <c r="I266" s="476"/>
      <c r="J266" s="476"/>
      <c r="K266" s="476"/>
      <c r="L266" s="476"/>
    </row>
    <row r="267" spans="1:12" x14ac:dyDescent="0.2">
      <c r="A267" s="476"/>
      <c r="B267" s="476"/>
      <c r="C267" s="476"/>
      <c r="D267" s="476"/>
      <c r="E267" s="476"/>
      <c r="F267" s="476"/>
      <c r="G267" s="476"/>
      <c r="H267" s="476"/>
      <c r="I267" s="476"/>
      <c r="J267" s="476"/>
      <c r="K267" s="476"/>
      <c r="L267" s="476"/>
    </row>
    <row r="268" spans="1:12" x14ac:dyDescent="0.2">
      <c r="A268" s="476"/>
      <c r="B268" s="476"/>
      <c r="C268" s="476"/>
      <c r="D268" s="476"/>
      <c r="E268" s="476"/>
      <c r="F268" s="476"/>
      <c r="G268" s="476"/>
      <c r="H268" s="476"/>
      <c r="I268" s="476"/>
      <c r="J268" s="476"/>
      <c r="K268" s="476"/>
      <c r="L268" s="476"/>
    </row>
    <row r="269" spans="1:12" x14ac:dyDescent="0.2">
      <c r="A269" s="476"/>
      <c r="B269" s="476"/>
      <c r="C269" s="476"/>
      <c r="D269" s="476"/>
      <c r="E269" s="476"/>
      <c r="F269" s="476"/>
      <c r="G269" s="476"/>
      <c r="H269" s="476"/>
      <c r="I269" s="476"/>
      <c r="J269" s="476"/>
      <c r="K269" s="476"/>
      <c r="L269" s="476"/>
    </row>
    <row r="270" spans="1:12" x14ac:dyDescent="0.2">
      <c r="A270" s="476"/>
      <c r="B270" s="476"/>
      <c r="C270" s="476"/>
      <c r="D270" s="476"/>
      <c r="E270" s="476"/>
      <c r="F270" s="476"/>
      <c r="G270" s="476"/>
      <c r="H270" s="476"/>
      <c r="I270" s="476"/>
      <c r="J270" s="476"/>
      <c r="K270" s="476"/>
      <c r="L270" s="476"/>
    </row>
    <row r="271" spans="1:12" x14ac:dyDescent="0.2">
      <c r="A271" s="476"/>
      <c r="B271" s="476"/>
      <c r="C271" s="476"/>
      <c r="D271" s="476"/>
      <c r="E271" s="476"/>
      <c r="F271" s="476"/>
      <c r="G271" s="476"/>
      <c r="H271" s="476"/>
      <c r="I271" s="476"/>
      <c r="J271" s="476"/>
      <c r="K271" s="476"/>
      <c r="L271" s="476"/>
    </row>
    <row r="272" spans="1:12" x14ac:dyDescent="0.2">
      <c r="A272" s="476"/>
      <c r="B272" s="476"/>
      <c r="C272" s="476"/>
      <c r="D272" s="476"/>
      <c r="E272" s="476"/>
      <c r="F272" s="476"/>
      <c r="G272" s="476"/>
      <c r="H272" s="476"/>
      <c r="I272" s="476"/>
      <c r="J272" s="476"/>
      <c r="K272" s="476"/>
      <c r="L272" s="476"/>
    </row>
    <row r="273" spans="1:12" x14ac:dyDescent="0.2">
      <c r="A273" s="476"/>
      <c r="B273" s="476"/>
      <c r="C273" s="476"/>
      <c r="D273" s="476"/>
      <c r="E273" s="476"/>
      <c r="F273" s="476"/>
      <c r="G273" s="476"/>
      <c r="H273" s="476"/>
      <c r="I273" s="476"/>
      <c r="J273" s="476"/>
      <c r="K273" s="476"/>
      <c r="L273" s="476"/>
    </row>
    <row r="274" spans="1:12" x14ac:dyDescent="0.2">
      <c r="A274" s="476"/>
      <c r="B274" s="476"/>
      <c r="C274" s="476"/>
      <c r="D274" s="476"/>
      <c r="E274" s="476"/>
      <c r="F274" s="476"/>
      <c r="G274" s="476"/>
      <c r="H274" s="476"/>
      <c r="I274" s="476"/>
      <c r="J274" s="476"/>
      <c r="K274" s="476"/>
      <c r="L274" s="476"/>
    </row>
    <row r="275" spans="1:12" x14ac:dyDescent="0.2">
      <c r="A275" s="476"/>
      <c r="B275" s="476"/>
      <c r="C275" s="476"/>
      <c r="D275" s="476"/>
      <c r="E275" s="476"/>
      <c r="F275" s="476"/>
      <c r="G275" s="476"/>
      <c r="H275" s="476"/>
      <c r="I275" s="476"/>
      <c r="J275" s="476"/>
      <c r="K275" s="476"/>
      <c r="L275" s="476"/>
    </row>
    <row r="276" spans="1:12" x14ac:dyDescent="0.2">
      <c r="A276" s="476"/>
      <c r="B276" s="476"/>
      <c r="C276" s="476"/>
      <c r="D276" s="476"/>
      <c r="E276" s="476"/>
      <c r="F276" s="476"/>
      <c r="G276" s="476"/>
      <c r="H276" s="476"/>
      <c r="I276" s="476"/>
      <c r="J276" s="476"/>
      <c r="K276" s="476"/>
      <c r="L276" s="476"/>
    </row>
    <row r="277" spans="1:12" x14ac:dyDescent="0.2">
      <c r="A277" s="476"/>
      <c r="B277" s="476"/>
      <c r="C277" s="476"/>
      <c r="D277" s="476"/>
      <c r="E277" s="476"/>
      <c r="F277" s="476"/>
      <c r="G277" s="476"/>
      <c r="H277" s="476"/>
      <c r="I277" s="476"/>
      <c r="J277" s="476"/>
      <c r="K277" s="476"/>
      <c r="L277" s="476"/>
    </row>
    <row r="278" spans="1:12" x14ac:dyDescent="0.2">
      <c r="A278" s="476"/>
      <c r="B278" s="476"/>
      <c r="C278" s="476"/>
      <c r="D278" s="476"/>
      <c r="E278" s="476"/>
      <c r="F278" s="476"/>
      <c r="G278" s="476"/>
      <c r="H278" s="476"/>
      <c r="I278" s="476"/>
      <c r="J278" s="476"/>
      <c r="K278" s="476"/>
      <c r="L278" s="476"/>
    </row>
    <row r="279" spans="1:12" x14ac:dyDescent="0.2">
      <c r="A279" s="476"/>
      <c r="B279" s="476"/>
      <c r="C279" s="476"/>
      <c r="D279" s="476"/>
      <c r="E279" s="476"/>
      <c r="F279" s="476"/>
      <c r="G279" s="476"/>
      <c r="H279" s="476"/>
      <c r="I279" s="476"/>
      <c r="J279" s="476"/>
      <c r="K279" s="476"/>
      <c r="L279" s="476"/>
    </row>
    <row r="280" spans="1:12" x14ac:dyDescent="0.2">
      <c r="A280" s="476"/>
      <c r="B280" s="476"/>
      <c r="C280" s="476"/>
      <c r="D280" s="476"/>
      <c r="E280" s="476"/>
      <c r="F280" s="476"/>
      <c r="G280" s="476"/>
      <c r="H280" s="476"/>
      <c r="I280" s="476"/>
      <c r="J280" s="476"/>
      <c r="K280" s="476"/>
      <c r="L280" s="476"/>
    </row>
    <row r="281" spans="1:12" x14ac:dyDescent="0.2">
      <c r="A281" s="476"/>
      <c r="B281" s="476"/>
      <c r="C281" s="476"/>
      <c r="D281" s="476"/>
      <c r="E281" s="476"/>
      <c r="F281" s="476"/>
      <c r="G281" s="476"/>
      <c r="H281" s="476"/>
      <c r="I281" s="476"/>
      <c r="J281" s="476"/>
      <c r="K281" s="476"/>
      <c r="L281" s="476"/>
    </row>
    <row r="282" spans="1:12" x14ac:dyDescent="0.2">
      <c r="A282" s="476"/>
      <c r="B282" s="476"/>
      <c r="C282" s="476"/>
      <c r="D282" s="476"/>
      <c r="E282" s="476"/>
      <c r="F282" s="476"/>
      <c r="G282" s="476"/>
      <c r="H282" s="476"/>
      <c r="I282" s="476"/>
      <c r="J282" s="476"/>
      <c r="K282" s="476"/>
      <c r="L282" s="476"/>
    </row>
    <row r="283" spans="1:12" x14ac:dyDescent="0.2">
      <c r="A283" s="476"/>
      <c r="B283" s="476"/>
      <c r="C283" s="476"/>
      <c r="D283" s="476"/>
      <c r="E283" s="476"/>
      <c r="F283" s="476"/>
      <c r="G283" s="476"/>
      <c r="H283" s="476"/>
      <c r="I283" s="476"/>
      <c r="J283" s="476"/>
      <c r="K283" s="476"/>
      <c r="L283" s="476"/>
    </row>
    <row r="284" spans="1:12" x14ac:dyDescent="0.2">
      <c r="A284" s="476"/>
      <c r="B284" s="476"/>
      <c r="C284" s="476"/>
      <c r="D284" s="476"/>
      <c r="E284" s="476"/>
      <c r="F284" s="476"/>
      <c r="G284" s="476"/>
      <c r="H284" s="476"/>
      <c r="I284" s="476"/>
      <c r="J284" s="476"/>
      <c r="K284" s="476"/>
      <c r="L284" s="476"/>
    </row>
    <row r="285" spans="1:12" x14ac:dyDescent="0.2">
      <c r="A285" s="476"/>
      <c r="B285" s="476"/>
      <c r="C285" s="476"/>
      <c r="D285" s="476"/>
      <c r="E285" s="476"/>
      <c r="F285" s="476"/>
      <c r="G285" s="476"/>
      <c r="H285" s="476"/>
      <c r="I285" s="476"/>
      <c r="J285" s="476"/>
      <c r="K285" s="476"/>
      <c r="L285" s="476"/>
    </row>
    <row r="286" spans="1:12" x14ac:dyDescent="0.2">
      <c r="A286" s="476"/>
      <c r="B286" s="476"/>
      <c r="C286" s="476"/>
      <c r="D286" s="476"/>
      <c r="E286" s="476"/>
      <c r="F286" s="476"/>
      <c r="G286" s="476"/>
      <c r="H286" s="476"/>
      <c r="I286" s="476"/>
      <c r="J286" s="476"/>
      <c r="K286" s="476"/>
      <c r="L286" s="476"/>
    </row>
    <row r="287" spans="1:12" x14ac:dyDescent="0.2">
      <c r="A287" s="476"/>
      <c r="B287" s="476"/>
      <c r="C287" s="476"/>
      <c r="D287" s="476"/>
      <c r="E287" s="476"/>
      <c r="F287" s="476"/>
      <c r="G287" s="476"/>
      <c r="H287" s="476"/>
      <c r="I287" s="476"/>
      <c r="J287" s="476"/>
      <c r="K287" s="476"/>
      <c r="L287" s="476"/>
    </row>
    <row r="288" spans="1:12" x14ac:dyDescent="0.2">
      <c r="A288" s="476"/>
      <c r="B288" s="476"/>
      <c r="C288" s="476"/>
      <c r="D288" s="476"/>
      <c r="E288" s="476"/>
      <c r="F288" s="476"/>
      <c r="G288" s="476"/>
      <c r="H288" s="476"/>
      <c r="I288" s="476"/>
      <c r="J288" s="476"/>
      <c r="K288" s="476"/>
      <c r="L288" s="476"/>
    </row>
    <row r="289" spans="1:12" x14ac:dyDescent="0.2">
      <c r="A289" s="476"/>
      <c r="B289" s="476"/>
      <c r="C289" s="476"/>
      <c r="D289" s="476"/>
      <c r="E289" s="476"/>
      <c r="F289" s="476"/>
      <c r="G289" s="476"/>
      <c r="H289" s="476"/>
      <c r="I289" s="476"/>
      <c r="J289" s="476"/>
      <c r="K289" s="476"/>
      <c r="L289" s="476"/>
    </row>
    <row r="290" spans="1:12" x14ac:dyDescent="0.2">
      <c r="A290" s="476"/>
      <c r="B290" s="476"/>
      <c r="C290" s="476"/>
      <c r="D290" s="476"/>
      <c r="E290" s="476"/>
      <c r="F290" s="476"/>
      <c r="G290" s="476"/>
      <c r="H290" s="476"/>
      <c r="I290" s="476"/>
      <c r="J290" s="476"/>
      <c r="K290" s="476"/>
      <c r="L290" s="476"/>
    </row>
    <row r="291" spans="1:12" x14ac:dyDescent="0.2">
      <c r="A291" s="476"/>
      <c r="B291" s="476"/>
      <c r="C291" s="476"/>
      <c r="D291" s="476"/>
      <c r="E291" s="476"/>
      <c r="F291" s="476"/>
      <c r="G291" s="476"/>
      <c r="H291" s="476"/>
      <c r="I291" s="476"/>
      <c r="J291" s="476"/>
      <c r="K291" s="476"/>
      <c r="L291" s="476"/>
    </row>
    <row r="292" spans="1:12" x14ac:dyDescent="0.2">
      <c r="A292" s="476"/>
      <c r="B292" s="476"/>
      <c r="C292" s="476"/>
      <c r="D292" s="476"/>
      <c r="E292" s="476"/>
      <c r="F292" s="476"/>
      <c r="G292" s="476"/>
      <c r="H292" s="476"/>
      <c r="I292" s="476"/>
      <c r="J292" s="476"/>
      <c r="K292" s="476"/>
      <c r="L292" s="476"/>
    </row>
    <row r="293" spans="1:12" x14ac:dyDescent="0.2">
      <c r="A293" s="476"/>
      <c r="B293" s="476"/>
      <c r="C293" s="476"/>
      <c r="D293" s="476"/>
      <c r="E293" s="476"/>
      <c r="F293" s="476"/>
      <c r="G293" s="476"/>
      <c r="H293" s="476"/>
      <c r="I293" s="476"/>
      <c r="J293" s="476"/>
      <c r="K293" s="476"/>
      <c r="L293" s="476"/>
    </row>
    <row r="294" spans="1:12" x14ac:dyDescent="0.2">
      <c r="A294" s="476"/>
      <c r="B294" s="476"/>
      <c r="C294" s="476"/>
      <c r="D294" s="476"/>
      <c r="E294" s="476"/>
      <c r="F294" s="476"/>
      <c r="G294" s="476"/>
      <c r="H294" s="476"/>
      <c r="I294" s="476"/>
      <c r="J294" s="476"/>
      <c r="K294" s="476"/>
      <c r="L294" s="476"/>
    </row>
    <row r="295" spans="1:12" x14ac:dyDescent="0.2">
      <c r="A295" s="476"/>
      <c r="B295" s="476"/>
      <c r="C295" s="476"/>
      <c r="D295" s="476"/>
      <c r="E295" s="476"/>
      <c r="F295" s="476"/>
      <c r="G295" s="476"/>
      <c r="H295" s="476"/>
      <c r="I295" s="476"/>
      <c r="J295" s="476"/>
      <c r="K295" s="476"/>
      <c r="L295" s="476"/>
    </row>
    <row r="296" spans="1:12" x14ac:dyDescent="0.2">
      <c r="A296" s="476"/>
      <c r="B296" s="476"/>
      <c r="C296" s="476"/>
      <c r="D296" s="476"/>
      <c r="E296" s="476"/>
      <c r="F296" s="476"/>
      <c r="G296" s="476"/>
      <c r="H296" s="476"/>
      <c r="I296" s="476"/>
      <c r="J296" s="476"/>
      <c r="K296" s="476"/>
      <c r="L296" s="476"/>
    </row>
    <row r="297" spans="1:12" x14ac:dyDescent="0.2">
      <c r="A297" s="476"/>
      <c r="B297" s="476"/>
      <c r="C297" s="476"/>
      <c r="D297" s="476"/>
      <c r="E297" s="476"/>
      <c r="F297" s="476"/>
      <c r="G297" s="476"/>
      <c r="H297" s="476"/>
      <c r="I297" s="476"/>
      <c r="J297" s="476"/>
      <c r="K297" s="476"/>
      <c r="L297" s="476"/>
    </row>
    <row r="298" spans="1:12" x14ac:dyDescent="0.2">
      <c r="A298" s="476"/>
      <c r="B298" s="476"/>
      <c r="C298" s="476"/>
      <c r="D298" s="476"/>
      <c r="E298" s="476"/>
      <c r="F298" s="476"/>
      <c r="G298" s="476"/>
      <c r="H298" s="476"/>
      <c r="I298" s="476"/>
      <c r="J298" s="476"/>
      <c r="K298" s="476"/>
      <c r="L298" s="476"/>
    </row>
    <row r="299" spans="1:12" x14ac:dyDescent="0.2">
      <c r="A299" s="476"/>
      <c r="B299" s="476"/>
      <c r="C299" s="476"/>
      <c r="D299" s="476"/>
      <c r="E299" s="476"/>
      <c r="F299" s="476"/>
      <c r="G299" s="476"/>
      <c r="H299" s="476"/>
      <c r="I299" s="476"/>
      <c r="J299" s="476"/>
      <c r="K299" s="476"/>
      <c r="L299" s="476"/>
    </row>
    <row r="300" spans="1:12" x14ac:dyDescent="0.2">
      <c r="A300" s="476"/>
      <c r="B300" s="476"/>
      <c r="C300" s="476"/>
      <c r="D300" s="476"/>
      <c r="E300" s="476"/>
      <c r="F300" s="476"/>
      <c r="G300" s="476"/>
      <c r="H300" s="476"/>
      <c r="I300" s="476"/>
      <c r="J300" s="476"/>
      <c r="K300" s="476"/>
      <c r="L300" s="476"/>
    </row>
    <row r="301" spans="1:12" x14ac:dyDescent="0.2">
      <c r="A301" s="476"/>
      <c r="B301" s="476"/>
      <c r="C301" s="476"/>
      <c r="D301" s="476"/>
      <c r="E301" s="476"/>
      <c r="F301" s="476"/>
      <c r="G301" s="476"/>
      <c r="H301" s="476"/>
      <c r="I301" s="476"/>
      <c r="J301" s="476"/>
      <c r="K301" s="476"/>
      <c r="L301" s="476"/>
    </row>
    <row r="302" spans="1:12" x14ac:dyDescent="0.2">
      <c r="A302" s="476"/>
      <c r="B302" s="476"/>
      <c r="C302" s="476"/>
      <c r="D302" s="476"/>
      <c r="E302" s="476"/>
      <c r="F302" s="476"/>
      <c r="G302" s="476"/>
      <c r="H302" s="476"/>
      <c r="I302" s="476"/>
      <c r="J302" s="476"/>
      <c r="K302" s="476"/>
      <c r="L302" s="476"/>
    </row>
    <row r="303" spans="1:12" x14ac:dyDescent="0.2">
      <c r="A303" s="476"/>
      <c r="B303" s="476"/>
      <c r="C303" s="476"/>
      <c r="D303" s="476"/>
      <c r="E303" s="476"/>
      <c r="F303" s="476"/>
      <c r="G303" s="476"/>
      <c r="H303" s="476"/>
      <c r="I303" s="476"/>
      <c r="J303" s="476"/>
      <c r="K303" s="476"/>
      <c r="L303" s="476"/>
    </row>
    <row r="304" spans="1:12" x14ac:dyDescent="0.2">
      <c r="A304" s="476"/>
      <c r="B304" s="476"/>
      <c r="C304" s="476"/>
      <c r="D304" s="476"/>
      <c r="E304" s="476"/>
      <c r="F304" s="476"/>
      <c r="G304" s="476"/>
      <c r="H304" s="476"/>
      <c r="I304" s="476"/>
      <c r="J304" s="476"/>
      <c r="K304" s="476"/>
      <c r="L304" s="476"/>
    </row>
    <row r="305" spans="1:12" x14ac:dyDescent="0.2">
      <c r="A305" s="476"/>
      <c r="B305" s="476"/>
      <c r="C305" s="476"/>
      <c r="D305" s="476"/>
      <c r="E305" s="476"/>
      <c r="F305" s="476"/>
      <c r="G305" s="476"/>
      <c r="H305" s="476"/>
      <c r="I305" s="476"/>
      <c r="J305" s="476"/>
      <c r="K305" s="476"/>
      <c r="L305" s="476"/>
    </row>
    <row r="306" spans="1:12" x14ac:dyDescent="0.2">
      <c r="A306" s="476"/>
      <c r="B306" s="476"/>
      <c r="C306" s="476"/>
      <c r="D306" s="476"/>
      <c r="E306" s="476"/>
      <c r="F306" s="476"/>
      <c r="G306" s="476"/>
      <c r="H306" s="476"/>
      <c r="I306" s="476"/>
      <c r="J306" s="476"/>
      <c r="K306" s="476"/>
      <c r="L306" s="476"/>
    </row>
    <row r="307" spans="1:12" x14ac:dyDescent="0.2">
      <c r="A307" s="476"/>
      <c r="B307" s="476"/>
      <c r="C307" s="476"/>
      <c r="D307" s="476"/>
      <c r="E307" s="476"/>
      <c r="F307" s="476"/>
      <c r="G307" s="476"/>
      <c r="H307" s="476"/>
      <c r="I307" s="476"/>
      <c r="J307" s="476"/>
      <c r="K307" s="476"/>
      <c r="L307" s="476"/>
    </row>
    <row r="308" spans="1:12" x14ac:dyDescent="0.2">
      <c r="A308" s="476"/>
      <c r="B308" s="476"/>
      <c r="C308" s="476"/>
      <c r="D308" s="476"/>
      <c r="E308" s="476"/>
      <c r="F308" s="476"/>
      <c r="G308" s="476"/>
      <c r="H308" s="476"/>
      <c r="I308" s="476"/>
      <c r="J308" s="476"/>
      <c r="K308" s="476"/>
      <c r="L308" s="476"/>
    </row>
    <row r="309" spans="1:12" x14ac:dyDescent="0.2">
      <c r="A309" s="476"/>
      <c r="B309" s="476"/>
      <c r="C309" s="476"/>
      <c r="D309" s="476"/>
      <c r="E309" s="476"/>
      <c r="F309" s="476"/>
      <c r="G309" s="476"/>
      <c r="H309" s="476"/>
      <c r="I309" s="476"/>
      <c r="J309" s="476"/>
      <c r="K309" s="476"/>
      <c r="L309" s="476"/>
    </row>
    <row r="310" spans="1:12" x14ac:dyDescent="0.2">
      <c r="A310" s="476"/>
      <c r="B310" s="476"/>
      <c r="C310" s="476"/>
      <c r="D310" s="476"/>
      <c r="E310" s="476"/>
      <c r="F310" s="476"/>
      <c r="G310" s="476"/>
      <c r="H310" s="476"/>
      <c r="I310" s="476"/>
      <c r="J310" s="476"/>
      <c r="K310" s="476"/>
      <c r="L310" s="476"/>
    </row>
    <row r="311" spans="1:12" x14ac:dyDescent="0.2">
      <c r="A311" s="476"/>
      <c r="B311" s="476"/>
      <c r="C311" s="476"/>
      <c r="D311" s="476"/>
      <c r="E311" s="476"/>
      <c r="F311" s="476"/>
      <c r="G311" s="476"/>
      <c r="H311" s="476"/>
      <c r="I311" s="476"/>
      <c r="J311" s="476"/>
      <c r="K311" s="476"/>
      <c r="L311" s="476"/>
    </row>
    <row r="312" spans="1:12" x14ac:dyDescent="0.2">
      <c r="A312" s="476"/>
      <c r="B312" s="476"/>
      <c r="C312" s="476"/>
      <c r="D312" s="476"/>
      <c r="E312" s="476"/>
      <c r="F312" s="476"/>
      <c r="G312" s="476"/>
      <c r="H312" s="476"/>
      <c r="I312" s="476"/>
      <c r="J312" s="476"/>
      <c r="K312" s="476"/>
      <c r="L312" s="476"/>
    </row>
    <row r="313" spans="1:12" x14ac:dyDescent="0.2">
      <c r="A313" s="476"/>
      <c r="B313" s="476"/>
      <c r="C313" s="476"/>
      <c r="D313" s="476"/>
      <c r="E313" s="476"/>
      <c r="F313" s="476"/>
      <c r="G313" s="476"/>
      <c r="H313" s="476"/>
      <c r="I313" s="476"/>
      <c r="J313" s="476"/>
      <c r="K313" s="476"/>
      <c r="L313" s="476"/>
    </row>
    <row r="314" spans="1:12" x14ac:dyDescent="0.2">
      <c r="A314" s="476"/>
      <c r="B314" s="476"/>
      <c r="C314" s="476"/>
      <c r="D314" s="476"/>
      <c r="E314" s="476"/>
      <c r="F314" s="476"/>
      <c r="G314" s="476"/>
      <c r="H314" s="476"/>
      <c r="I314" s="476"/>
      <c r="J314" s="476"/>
      <c r="K314" s="476"/>
      <c r="L314" s="476"/>
    </row>
    <row r="315" spans="1:12" x14ac:dyDescent="0.2">
      <c r="A315" s="476"/>
      <c r="B315" s="476"/>
      <c r="C315" s="476"/>
      <c r="D315" s="476"/>
      <c r="E315" s="476"/>
      <c r="F315" s="476"/>
      <c r="G315" s="476"/>
      <c r="H315" s="476"/>
      <c r="I315" s="476"/>
      <c r="J315" s="476"/>
      <c r="K315" s="476"/>
      <c r="L315" s="476"/>
    </row>
    <row r="316" spans="1:12" x14ac:dyDescent="0.2">
      <c r="A316" s="476"/>
      <c r="B316" s="476"/>
      <c r="C316" s="476"/>
      <c r="D316" s="476"/>
      <c r="E316" s="476"/>
      <c r="F316" s="476"/>
      <c r="G316" s="476"/>
      <c r="H316" s="476"/>
      <c r="I316" s="476"/>
      <c r="J316" s="476"/>
      <c r="K316" s="476"/>
      <c r="L316" s="476"/>
    </row>
    <row r="317" spans="1:12" x14ac:dyDescent="0.2">
      <c r="A317" s="476"/>
      <c r="B317" s="476"/>
      <c r="C317" s="476"/>
      <c r="D317" s="476"/>
      <c r="E317" s="476"/>
      <c r="F317" s="476"/>
      <c r="G317" s="476"/>
      <c r="H317" s="476"/>
      <c r="I317" s="476"/>
      <c r="J317" s="476"/>
      <c r="K317" s="476"/>
      <c r="L317" s="476"/>
    </row>
    <row r="318" spans="1:12" x14ac:dyDescent="0.2">
      <c r="A318" s="476"/>
      <c r="B318" s="476"/>
      <c r="C318" s="476"/>
      <c r="D318" s="476"/>
      <c r="E318" s="476"/>
      <c r="F318" s="476"/>
      <c r="G318" s="476"/>
      <c r="H318" s="476"/>
      <c r="I318" s="476"/>
      <c r="J318" s="476"/>
      <c r="K318" s="476"/>
      <c r="L318" s="476"/>
    </row>
    <row r="319" spans="1:12" x14ac:dyDescent="0.2">
      <c r="A319" s="476"/>
      <c r="B319" s="476"/>
      <c r="C319" s="476"/>
      <c r="D319" s="476"/>
      <c r="E319" s="476"/>
      <c r="F319" s="476"/>
      <c r="G319" s="476"/>
      <c r="H319" s="476"/>
      <c r="I319" s="476"/>
      <c r="J319" s="476"/>
      <c r="K319" s="476"/>
      <c r="L319" s="476"/>
    </row>
    <row r="320" spans="1:12" x14ac:dyDescent="0.2">
      <c r="A320" s="476"/>
      <c r="B320" s="476"/>
      <c r="C320" s="476"/>
      <c r="D320" s="476"/>
      <c r="E320" s="476"/>
      <c r="F320" s="476"/>
      <c r="G320" s="476"/>
      <c r="H320" s="476"/>
      <c r="I320" s="476"/>
      <c r="J320" s="476"/>
      <c r="K320" s="476"/>
      <c r="L320" s="476"/>
    </row>
    <row r="321" spans="1:12" x14ac:dyDescent="0.2">
      <c r="A321" s="476"/>
      <c r="B321" s="476"/>
      <c r="C321" s="476"/>
      <c r="D321" s="476"/>
      <c r="E321" s="476"/>
      <c r="F321" s="476"/>
      <c r="G321" s="476"/>
      <c r="H321" s="476"/>
      <c r="I321" s="476"/>
      <c r="J321" s="476"/>
      <c r="K321" s="476"/>
      <c r="L321" s="476"/>
    </row>
    <row r="322" spans="1:12" x14ac:dyDescent="0.2">
      <c r="A322" s="476"/>
      <c r="B322" s="476"/>
      <c r="C322" s="476"/>
      <c r="D322" s="476"/>
      <c r="E322" s="476"/>
      <c r="F322" s="476"/>
      <c r="G322" s="476"/>
      <c r="H322" s="476"/>
      <c r="I322" s="476"/>
      <c r="J322" s="476"/>
      <c r="K322" s="476"/>
      <c r="L322" s="476"/>
    </row>
    <row r="323" spans="1:12" x14ac:dyDescent="0.2">
      <c r="A323" s="476"/>
      <c r="B323" s="476"/>
      <c r="C323" s="476"/>
      <c r="D323" s="476"/>
      <c r="E323" s="476"/>
      <c r="F323" s="476"/>
      <c r="G323" s="476"/>
      <c r="H323" s="476"/>
      <c r="I323" s="476"/>
      <c r="J323" s="476"/>
      <c r="K323" s="476"/>
      <c r="L323" s="476"/>
    </row>
    <row r="324" spans="1:12" x14ac:dyDescent="0.2">
      <c r="A324" s="476"/>
      <c r="B324" s="476"/>
      <c r="C324" s="476"/>
      <c r="D324" s="476"/>
      <c r="E324" s="476"/>
      <c r="F324" s="476"/>
      <c r="G324" s="476"/>
      <c r="H324" s="476"/>
      <c r="I324" s="476"/>
      <c r="J324" s="476"/>
      <c r="K324" s="476"/>
      <c r="L324" s="476"/>
    </row>
    <row r="325" spans="1:12" x14ac:dyDescent="0.2">
      <c r="A325" s="476"/>
      <c r="B325" s="476"/>
      <c r="C325" s="476"/>
      <c r="D325" s="476"/>
      <c r="E325" s="476"/>
      <c r="F325" s="476"/>
      <c r="G325" s="476"/>
      <c r="H325" s="476"/>
      <c r="I325" s="476"/>
      <c r="J325" s="476"/>
      <c r="K325" s="476"/>
      <c r="L325" s="476"/>
    </row>
    <row r="326" spans="1:12" x14ac:dyDescent="0.2">
      <c r="A326" s="476"/>
      <c r="B326" s="476"/>
      <c r="C326" s="476"/>
      <c r="D326" s="476"/>
      <c r="E326" s="476"/>
      <c r="F326" s="476"/>
      <c r="G326" s="476"/>
      <c r="H326" s="476"/>
      <c r="I326" s="476"/>
      <c r="J326" s="476"/>
      <c r="K326" s="476"/>
      <c r="L326" s="476"/>
    </row>
    <row r="327" spans="1:12" x14ac:dyDescent="0.2">
      <c r="A327" s="476"/>
      <c r="B327" s="476"/>
      <c r="C327" s="476"/>
      <c r="D327" s="476"/>
      <c r="E327" s="476"/>
      <c r="F327" s="476"/>
      <c r="G327" s="476"/>
      <c r="H327" s="476"/>
      <c r="I327" s="476"/>
      <c r="J327" s="476"/>
      <c r="K327" s="476"/>
      <c r="L327" s="476"/>
    </row>
    <row r="328" spans="1:12" x14ac:dyDescent="0.2">
      <c r="A328" s="476"/>
      <c r="B328" s="476"/>
      <c r="C328" s="476"/>
      <c r="D328" s="476"/>
      <c r="E328" s="476"/>
      <c r="F328" s="476"/>
      <c r="G328" s="476"/>
      <c r="H328" s="476"/>
      <c r="I328" s="476"/>
      <c r="J328" s="476"/>
      <c r="K328" s="476"/>
      <c r="L328" s="476"/>
    </row>
    <row r="329" spans="1:12" x14ac:dyDescent="0.2">
      <c r="A329" s="476"/>
      <c r="B329" s="476"/>
      <c r="C329" s="476"/>
      <c r="D329" s="476"/>
      <c r="E329" s="476"/>
      <c r="F329" s="476"/>
      <c r="G329" s="476"/>
      <c r="H329" s="476"/>
      <c r="I329" s="476"/>
      <c r="J329" s="476"/>
      <c r="K329" s="476"/>
      <c r="L329" s="476"/>
    </row>
    <row r="330" spans="1:12" x14ac:dyDescent="0.2">
      <c r="A330" s="476"/>
      <c r="B330" s="476"/>
      <c r="C330" s="476"/>
      <c r="D330" s="476"/>
      <c r="E330" s="476"/>
      <c r="F330" s="476"/>
      <c r="G330" s="476"/>
      <c r="H330" s="476"/>
      <c r="I330" s="476"/>
      <c r="J330" s="476"/>
      <c r="K330" s="476"/>
      <c r="L330" s="476"/>
    </row>
    <row r="331" spans="1:12" x14ac:dyDescent="0.2">
      <c r="A331" s="476"/>
      <c r="B331" s="476"/>
      <c r="C331" s="476"/>
      <c r="D331" s="476"/>
      <c r="E331" s="476"/>
      <c r="F331" s="476"/>
      <c r="G331" s="476"/>
      <c r="H331" s="476"/>
      <c r="I331" s="476"/>
      <c r="J331" s="476"/>
      <c r="K331" s="476"/>
      <c r="L331" s="476"/>
    </row>
    <row r="332" spans="1:12" x14ac:dyDescent="0.2">
      <c r="A332" s="476"/>
      <c r="B332" s="476"/>
      <c r="C332" s="476"/>
      <c r="D332" s="476"/>
      <c r="E332" s="476"/>
      <c r="F332" s="476"/>
      <c r="G332" s="476"/>
      <c r="H332" s="476"/>
      <c r="I332" s="476"/>
      <c r="J332" s="476"/>
      <c r="K332" s="476"/>
      <c r="L332" s="476"/>
    </row>
    <row r="333" spans="1:12" x14ac:dyDescent="0.2">
      <c r="A333" s="476"/>
      <c r="B333" s="476"/>
      <c r="C333" s="476"/>
      <c r="D333" s="476"/>
      <c r="E333" s="476"/>
      <c r="F333" s="476"/>
      <c r="G333" s="476"/>
      <c r="H333" s="476"/>
      <c r="I333" s="476"/>
      <c r="J333" s="476"/>
      <c r="K333" s="476"/>
      <c r="L333" s="476"/>
    </row>
    <row r="334" spans="1:12" x14ac:dyDescent="0.2">
      <c r="A334" s="476"/>
      <c r="B334" s="476"/>
      <c r="C334" s="476"/>
      <c r="D334" s="476"/>
      <c r="E334" s="476"/>
      <c r="F334" s="476"/>
      <c r="G334" s="476"/>
      <c r="H334" s="476"/>
      <c r="I334" s="476"/>
      <c r="J334" s="476"/>
      <c r="K334" s="476"/>
      <c r="L334" s="476"/>
    </row>
    <row r="335" spans="1:12" x14ac:dyDescent="0.2">
      <c r="A335" s="476"/>
      <c r="B335" s="476"/>
      <c r="C335" s="476"/>
      <c r="D335" s="476"/>
      <c r="E335" s="476"/>
      <c r="F335" s="476"/>
      <c r="G335" s="476"/>
      <c r="H335" s="476"/>
      <c r="I335" s="476"/>
      <c r="J335" s="476"/>
      <c r="K335" s="476"/>
      <c r="L335" s="476"/>
    </row>
    <row r="336" spans="1:12" x14ac:dyDescent="0.2">
      <c r="A336" s="476"/>
      <c r="B336" s="476"/>
      <c r="C336" s="476"/>
      <c r="D336" s="476"/>
      <c r="E336" s="476"/>
      <c r="F336" s="476"/>
      <c r="G336" s="476"/>
      <c r="H336" s="476"/>
      <c r="I336" s="476"/>
      <c r="J336" s="476"/>
      <c r="K336" s="476"/>
      <c r="L336" s="476"/>
    </row>
    <row r="337" spans="1:12" x14ac:dyDescent="0.2">
      <c r="A337" s="476"/>
      <c r="B337" s="476"/>
      <c r="C337" s="476"/>
      <c r="D337" s="476"/>
      <c r="E337" s="476"/>
      <c r="F337" s="476"/>
      <c r="G337" s="476"/>
      <c r="H337" s="476"/>
      <c r="I337" s="476"/>
      <c r="J337" s="476"/>
      <c r="K337" s="476"/>
      <c r="L337" s="476"/>
    </row>
    <row r="338" spans="1:12" x14ac:dyDescent="0.2">
      <c r="A338" s="476"/>
      <c r="B338" s="476"/>
      <c r="C338" s="476"/>
      <c r="D338" s="476"/>
      <c r="E338" s="476"/>
      <c r="F338" s="476"/>
      <c r="G338" s="476"/>
      <c r="H338" s="476"/>
      <c r="I338" s="476"/>
      <c r="J338" s="476"/>
      <c r="K338" s="476"/>
      <c r="L338" s="476"/>
    </row>
    <row r="339" spans="1:12" x14ac:dyDescent="0.2">
      <c r="A339" s="476"/>
      <c r="B339" s="476"/>
      <c r="C339" s="476"/>
      <c r="D339" s="476"/>
      <c r="E339" s="476"/>
      <c r="F339" s="476"/>
      <c r="G339" s="476"/>
      <c r="H339" s="476"/>
      <c r="I339" s="476"/>
      <c r="J339" s="476"/>
      <c r="K339" s="476"/>
      <c r="L339" s="476"/>
    </row>
    <row r="340" spans="1:12" x14ac:dyDescent="0.2">
      <c r="A340" s="476"/>
      <c r="B340" s="476"/>
      <c r="C340" s="476"/>
      <c r="D340" s="476"/>
      <c r="E340" s="476"/>
      <c r="F340" s="476"/>
      <c r="G340" s="476"/>
      <c r="H340" s="476"/>
      <c r="I340" s="476"/>
      <c r="J340" s="476"/>
      <c r="K340" s="476"/>
      <c r="L340" s="476"/>
    </row>
    <row r="341" spans="1:12" x14ac:dyDescent="0.2">
      <c r="A341" s="476"/>
      <c r="B341" s="476"/>
      <c r="C341" s="476"/>
      <c r="D341" s="476"/>
      <c r="E341" s="476"/>
      <c r="F341" s="476"/>
      <c r="G341" s="476"/>
      <c r="H341" s="476"/>
      <c r="I341" s="476"/>
      <c r="J341" s="476"/>
      <c r="K341" s="476"/>
      <c r="L341" s="476"/>
    </row>
    <row r="342" spans="1:12" x14ac:dyDescent="0.2">
      <c r="A342" s="476"/>
      <c r="B342" s="476"/>
      <c r="C342" s="476"/>
      <c r="D342" s="476"/>
      <c r="E342" s="476"/>
      <c r="F342" s="476"/>
      <c r="G342" s="476"/>
      <c r="H342" s="476"/>
      <c r="I342" s="476"/>
      <c r="J342" s="476"/>
      <c r="K342" s="476"/>
      <c r="L342" s="476"/>
    </row>
    <row r="343" spans="1:12" x14ac:dyDescent="0.2">
      <c r="A343" s="476"/>
      <c r="B343" s="476"/>
      <c r="C343" s="476"/>
      <c r="D343" s="476"/>
      <c r="E343" s="476"/>
      <c r="F343" s="476"/>
      <c r="G343" s="476"/>
      <c r="H343" s="476"/>
      <c r="I343" s="476"/>
      <c r="J343" s="476"/>
      <c r="K343" s="476"/>
      <c r="L343" s="476"/>
    </row>
    <row r="344" spans="1:12" x14ac:dyDescent="0.2">
      <c r="A344" s="476"/>
      <c r="B344" s="476"/>
      <c r="C344" s="476"/>
      <c r="D344" s="476"/>
      <c r="E344" s="476"/>
      <c r="F344" s="476"/>
      <c r="G344" s="476"/>
      <c r="H344" s="476"/>
      <c r="I344" s="476"/>
      <c r="J344" s="476"/>
      <c r="K344" s="476"/>
      <c r="L344" s="476"/>
    </row>
    <row r="345" spans="1:12" x14ac:dyDescent="0.2">
      <c r="A345" s="476"/>
      <c r="B345" s="476"/>
      <c r="C345" s="476"/>
      <c r="D345" s="476"/>
      <c r="E345" s="476"/>
      <c r="F345" s="476"/>
      <c r="G345" s="476"/>
      <c r="H345" s="476"/>
      <c r="I345" s="476"/>
      <c r="J345" s="476"/>
      <c r="K345" s="476"/>
      <c r="L345" s="476"/>
    </row>
    <row r="346" spans="1:12" x14ac:dyDescent="0.2">
      <c r="A346" s="476"/>
      <c r="B346" s="476"/>
      <c r="C346" s="476"/>
      <c r="D346" s="476"/>
      <c r="E346" s="476"/>
      <c r="F346" s="476"/>
      <c r="G346" s="476"/>
      <c r="H346" s="476"/>
      <c r="I346" s="476"/>
      <c r="J346" s="476"/>
      <c r="K346" s="476"/>
      <c r="L346" s="476"/>
    </row>
    <row r="347" spans="1:12" x14ac:dyDescent="0.2">
      <c r="A347" s="476"/>
      <c r="B347" s="476"/>
      <c r="C347" s="476"/>
      <c r="D347" s="476"/>
      <c r="E347" s="476"/>
      <c r="F347" s="476"/>
      <c r="G347" s="476"/>
      <c r="H347" s="476"/>
      <c r="I347" s="476"/>
      <c r="J347" s="476"/>
      <c r="K347" s="476"/>
      <c r="L347" s="476"/>
    </row>
    <row r="348" spans="1:12" x14ac:dyDescent="0.2">
      <c r="A348" s="476"/>
      <c r="B348" s="476"/>
      <c r="C348" s="476"/>
      <c r="D348" s="476"/>
      <c r="E348" s="476"/>
      <c r="F348" s="476"/>
      <c r="G348" s="476"/>
      <c r="H348" s="476"/>
      <c r="I348" s="476"/>
      <c r="J348" s="476"/>
      <c r="K348" s="476"/>
      <c r="L348" s="476"/>
    </row>
    <row r="349" spans="1:12" x14ac:dyDescent="0.2">
      <c r="A349" s="476"/>
      <c r="B349" s="476"/>
      <c r="C349" s="476"/>
      <c r="D349" s="476"/>
      <c r="E349" s="476"/>
      <c r="F349" s="476"/>
      <c r="G349" s="476"/>
      <c r="H349" s="476"/>
      <c r="I349" s="476"/>
      <c r="J349" s="476"/>
      <c r="K349" s="476"/>
      <c r="L349" s="476"/>
    </row>
    <row r="350" spans="1:12" x14ac:dyDescent="0.2">
      <c r="A350" s="476"/>
      <c r="B350" s="476"/>
      <c r="C350" s="476"/>
      <c r="D350" s="476"/>
      <c r="E350" s="476"/>
      <c r="F350" s="476"/>
      <c r="G350" s="476"/>
      <c r="H350" s="476"/>
      <c r="I350" s="476"/>
      <c r="J350" s="476"/>
      <c r="K350" s="476"/>
      <c r="L350" s="476"/>
    </row>
    <row r="351" spans="1:12" x14ac:dyDescent="0.2">
      <c r="A351" s="476"/>
      <c r="B351" s="476"/>
      <c r="C351" s="476"/>
      <c r="D351" s="476"/>
      <c r="E351" s="476"/>
      <c r="F351" s="476"/>
      <c r="G351" s="476"/>
      <c r="H351" s="476"/>
      <c r="I351" s="476"/>
      <c r="J351" s="476"/>
      <c r="K351" s="476"/>
      <c r="L351" s="476"/>
    </row>
    <row r="352" spans="1:12" x14ac:dyDescent="0.2">
      <c r="A352" s="476"/>
      <c r="B352" s="476"/>
      <c r="C352" s="476"/>
      <c r="D352" s="476"/>
      <c r="E352" s="476"/>
      <c r="F352" s="476"/>
      <c r="G352" s="476"/>
      <c r="H352" s="476"/>
      <c r="I352" s="476"/>
      <c r="J352" s="476"/>
      <c r="K352" s="476"/>
      <c r="L352" s="476"/>
    </row>
    <row r="353" spans="1:12" x14ac:dyDescent="0.2">
      <c r="A353" s="476"/>
      <c r="B353" s="476"/>
      <c r="C353" s="476"/>
      <c r="D353" s="476"/>
      <c r="E353" s="476"/>
      <c r="F353" s="476"/>
      <c r="G353" s="476"/>
      <c r="H353" s="476"/>
      <c r="I353" s="476"/>
      <c r="J353" s="476"/>
      <c r="K353" s="476"/>
      <c r="L353" s="476"/>
    </row>
    <row r="354" spans="1:12" x14ac:dyDescent="0.2">
      <c r="A354" s="476"/>
      <c r="B354" s="476"/>
      <c r="C354" s="476"/>
      <c r="D354" s="476"/>
      <c r="E354" s="476"/>
      <c r="F354" s="476"/>
      <c r="G354" s="476"/>
      <c r="H354" s="476"/>
      <c r="I354" s="476"/>
      <c r="J354" s="476"/>
      <c r="K354" s="476"/>
      <c r="L354" s="476"/>
    </row>
  </sheetData>
  <sheetProtection sheet="1"/>
  <mergeCells count="55">
    <mergeCell ref="C148:D148"/>
    <mergeCell ref="J148:K148"/>
    <mergeCell ref="B128:K128"/>
    <mergeCell ref="B130:K130"/>
    <mergeCell ref="C133:D133"/>
    <mergeCell ref="H133:I133"/>
    <mergeCell ref="C134:D134"/>
    <mergeCell ref="H134:I134"/>
    <mergeCell ref="C136:D136"/>
    <mergeCell ref="C137:D137"/>
    <mergeCell ref="B144:K144"/>
    <mergeCell ref="C147:D147"/>
    <mergeCell ref="J147:K147"/>
    <mergeCell ref="B126:K126"/>
    <mergeCell ref="C100:D100"/>
    <mergeCell ref="C103:D103"/>
    <mergeCell ref="B105:K105"/>
    <mergeCell ref="B106:K106"/>
    <mergeCell ref="B108:K108"/>
    <mergeCell ref="B110:K110"/>
    <mergeCell ref="C114:D114"/>
    <mergeCell ref="C117:D117"/>
    <mergeCell ref="C120:D120"/>
    <mergeCell ref="C123:D123"/>
    <mergeCell ref="B125:K125"/>
    <mergeCell ref="C97:D97"/>
    <mergeCell ref="B57:K57"/>
    <mergeCell ref="B58:K58"/>
    <mergeCell ref="C74:D74"/>
    <mergeCell ref="C77:D77"/>
    <mergeCell ref="C80:D80"/>
    <mergeCell ref="C83:D83"/>
    <mergeCell ref="B85:K85"/>
    <mergeCell ref="B86:K86"/>
    <mergeCell ref="B88:K88"/>
    <mergeCell ref="B90:K90"/>
    <mergeCell ref="C94:D94"/>
    <mergeCell ref="B55:K55"/>
    <mergeCell ref="C25:D25"/>
    <mergeCell ref="B30:K30"/>
    <mergeCell ref="B31:K31"/>
    <mergeCell ref="B33:K33"/>
    <mergeCell ref="B35:K35"/>
    <mergeCell ref="C41:D41"/>
    <mergeCell ref="B48:C48"/>
    <mergeCell ref="G50:H50"/>
    <mergeCell ref="I51:K51"/>
    <mergeCell ref="B52:K52"/>
    <mergeCell ref="B53:K53"/>
    <mergeCell ref="F23:G23"/>
    <mergeCell ref="B6:K6"/>
    <mergeCell ref="B7:K7"/>
    <mergeCell ref="B8:K8"/>
    <mergeCell ref="B10:K10"/>
    <mergeCell ref="B12:K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7"/>
  <sheetViews>
    <sheetView topLeftCell="A13" workbookViewId="0">
      <selection activeCell="E37" sqref="E37"/>
    </sheetView>
  </sheetViews>
  <sheetFormatPr defaultRowHeight="15.75" x14ac:dyDescent="0.25"/>
  <cols>
    <col min="1" max="1" width="14.19921875" style="80" customWidth="1"/>
    <col min="2" max="2" width="18.69921875" style="80" customWidth="1"/>
    <col min="3" max="3" width="9.69921875" style="80" customWidth="1"/>
    <col min="4" max="4" width="14.09765625" style="80" customWidth="1"/>
    <col min="5" max="5" width="12.796875" style="80" customWidth="1"/>
    <col min="6" max="16384" width="8.796875" style="80"/>
  </cols>
  <sheetData>
    <row r="1" spans="1:5" x14ac:dyDescent="0.25">
      <c r="A1" s="88" t="str">
        <f>inputPrYr!D2</f>
        <v>Liberty Township</v>
      </c>
      <c r="B1" s="90"/>
      <c r="C1" s="90"/>
      <c r="D1" s="90"/>
      <c r="E1" s="90">
        <f>inputPrYr!D5</f>
        <v>2013</v>
      </c>
    </row>
    <row r="2" spans="1:5" x14ac:dyDescent="0.25">
      <c r="A2" s="88" t="str">
        <f>inputPrYr!D3</f>
        <v>Osborne County</v>
      </c>
      <c r="B2" s="90"/>
      <c r="C2" s="90"/>
      <c r="D2" s="90"/>
      <c r="E2" s="90"/>
    </row>
    <row r="3" spans="1:5" x14ac:dyDescent="0.25">
      <c r="A3" s="90"/>
      <c r="B3" s="90"/>
      <c r="C3" s="90"/>
      <c r="D3" s="90"/>
      <c r="E3" s="90"/>
    </row>
    <row r="4" spans="1:5" x14ac:dyDescent="0.25">
      <c r="A4" s="754" t="s">
        <v>158</v>
      </c>
      <c r="B4" s="755"/>
      <c r="C4" s="755"/>
      <c r="D4" s="755"/>
      <c r="E4" s="755"/>
    </row>
    <row r="5" spans="1:5" x14ac:dyDescent="0.25">
      <c r="A5" s="90"/>
      <c r="B5" s="90"/>
      <c r="C5" s="90"/>
      <c r="D5" s="90"/>
      <c r="E5" s="90"/>
    </row>
    <row r="6" spans="1:5" x14ac:dyDescent="0.25">
      <c r="A6" s="280" t="str">
        <f>CONCATENATE("From the County Clerks Budget Information for ",E1,":")</f>
        <v>From the County Clerks Budget Information for 2013:</v>
      </c>
      <c r="B6" s="281"/>
      <c r="C6" s="281"/>
      <c r="D6" s="14"/>
      <c r="E6" s="55"/>
    </row>
    <row r="7" spans="1:5" x14ac:dyDescent="0.25">
      <c r="A7" s="22" t="str">
        <f>CONCATENATE("Total Assessed Valuation for ",E1-1,"")</f>
        <v>Total Assessed Valuation for 2012</v>
      </c>
      <c r="B7" s="19"/>
      <c r="C7" s="19"/>
      <c r="D7" s="19"/>
      <c r="E7" s="282">
        <v>682005</v>
      </c>
    </row>
    <row r="8" spans="1:5" x14ac:dyDescent="0.25">
      <c r="A8" s="22" t="str">
        <f>CONCATENATE("New Improvements for ",E1-1,"")</f>
        <v>New Improvements for 2012</v>
      </c>
      <c r="B8" s="19"/>
      <c r="C8" s="19"/>
      <c r="D8" s="19"/>
      <c r="E8" s="283">
        <v>0</v>
      </c>
    </row>
    <row r="9" spans="1:5" x14ac:dyDescent="0.25">
      <c r="A9" s="22" t="str">
        <f>CONCATENATE("Personal Property excluding oil, gas, and mobile homes - ",E1-1,"")</f>
        <v>Personal Property excluding oil, gas, and mobile homes - 2012</v>
      </c>
      <c r="B9" s="19"/>
      <c r="C9" s="19"/>
      <c r="D9" s="19"/>
      <c r="E9" s="283">
        <v>11798</v>
      </c>
    </row>
    <row r="10" spans="1:5" x14ac:dyDescent="0.25">
      <c r="A10" s="22" t="str">
        <f>CONCATENATE("Property that has changed in use for ",E1-1,"")</f>
        <v>Property that has changed in use for 2012</v>
      </c>
      <c r="B10" s="19"/>
      <c r="C10" s="19"/>
      <c r="D10" s="19"/>
      <c r="E10" s="283">
        <v>0</v>
      </c>
    </row>
    <row r="11" spans="1:5" x14ac:dyDescent="0.25">
      <c r="A11" s="22" t="str">
        <f>CONCATENATE("Personal Property excluding oil, gas, and mobile homes- ",E1-2,"")</f>
        <v>Personal Property excluding oil, gas, and mobile homes- 2011</v>
      </c>
      <c r="B11" s="19"/>
      <c r="C11" s="19"/>
      <c r="D11" s="19"/>
      <c r="E11" s="283">
        <v>154340</v>
      </c>
    </row>
    <row r="12" spans="1:5" x14ac:dyDescent="0.25">
      <c r="A12" s="22" t="str">
        <f>CONCATENATE("Gross earnings (intangible) tax estimate for ",E1,"")</f>
        <v>Gross earnings (intangible) tax estimate for 2013</v>
      </c>
      <c r="B12" s="19"/>
      <c r="C12" s="19"/>
      <c r="D12" s="19"/>
      <c r="E12" s="283">
        <v>0</v>
      </c>
    </row>
    <row r="13" spans="1:5" x14ac:dyDescent="0.25">
      <c r="A13" s="22" t="str">
        <f>CONCATENATE("Neighborhood Revitalization - ",E1,"")</f>
        <v>Neighborhood Revitalization - 2013</v>
      </c>
      <c r="B13" s="19"/>
      <c r="C13" s="19"/>
      <c r="D13" s="19"/>
      <c r="E13" s="283"/>
    </row>
    <row r="14" spans="1:5" x14ac:dyDescent="0.25">
      <c r="A14" s="22"/>
      <c r="B14" s="19"/>
      <c r="C14" s="19"/>
      <c r="D14" s="19"/>
      <c r="E14" s="284"/>
    </row>
    <row r="15" spans="1:5" x14ac:dyDescent="0.25">
      <c r="A15" s="285" t="str">
        <f>CONCATENATE("Actual Tax Rates for the ",E1-1," Budget:")</f>
        <v>Actual Tax Rates for the 2012 Budget:</v>
      </c>
      <c r="B15" s="19"/>
      <c r="C15" s="19"/>
      <c r="D15" s="19"/>
      <c r="E15" s="286"/>
    </row>
    <row r="16" spans="1:5" x14ac:dyDescent="0.25">
      <c r="A16" s="759" t="s">
        <v>286</v>
      </c>
      <c r="B16" s="760"/>
      <c r="C16" s="90"/>
      <c r="D16" s="287" t="s">
        <v>3</v>
      </c>
      <c r="E16" s="286"/>
    </row>
    <row r="17" spans="1:5" x14ac:dyDescent="0.25">
      <c r="A17" s="71" t="str">
        <f>inputPrYr!B16</f>
        <v>General</v>
      </c>
      <c r="B17" s="20"/>
      <c r="C17" s="19"/>
      <c r="D17" s="288">
        <v>1.577</v>
      </c>
      <c r="E17" s="286"/>
    </row>
    <row r="18" spans="1:5" x14ac:dyDescent="0.25">
      <c r="A18" s="71" t="str">
        <f>inputPrYr!B17</f>
        <v>Debt Service</v>
      </c>
      <c r="B18" s="267"/>
      <c r="C18" s="19"/>
      <c r="D18" s="289"/>
      <c r="E18" s="286"/>
    </row>
    <row r="19" spans="1:5" x14ac:dyDescent="0.25">
      <c r="A19" s="71" t="str">
        <f>inputPrYr!B18</f>
        <v>Library</v>
      </c>
      <c r="B19" s="267"/>
      <c r="C19" s="19"/>
      <c r="D19" s="289"/>
      <c r="E19" s="286"/>
    </row>
    <row r="20" spans="1:5" x14ac:dyDescent="0.25">
      <c r="A20" s="71" t="str">
        <f>inputPrYr!B19</f>
        <v>Road</v>
      </c>
      <c r="B20" s="267"/>
      <c r="C20" s="19"/>
      <c r="D20" s="289">
        <v>17.981000000000002</v>
      </c>
      <c r="E20" s="286"/>
    </row>
    <row r="21" spans="1:5" x14ac:dyDescent="0.25">
      <c r="A21" s="71" t="str">
        <f>inputPrYr!B20</f>
        <v>Weed</v>
      </c>
      <c r="B21" s="267"/>
      <c r="C21" s="19"/>
      <c r="D21" s="289">
        <v>0.68</v>
      </c>
      <c r="E21" s="286"/>
    </row>
    <row r="22" spans="1:5" x14ac:dyDescent="0.25">
      <c r="A22" s="71">
        <f>inputPrYr!B21</f>
        <v>0</v>
      </c>
      <c r="B22" s="267"/>
      <c r="C22" s="19"/>
      <c r="D22" s="289"/>
      <c r="E22" s="286"/>
    </row>
    <row r="23" spans="1:5" x14ac:dyDescent="0.25">
      <c r="A23" s="71">
        <f>inputPrYr!B22</f>
        <v>0</v>
      </c>
      <c r="B23" s="267"/>
      <c r="C23" s="19"/>
      <c r="D23" s="290"/>
      <c r="E23" s="286"/>
    </row>
    <row r="24" spans="1:5" x14ac:dyDescent="0.25">
      <c r="A24" s="71">
        <f>inputPrYr!B23</f>
        <v>0</v>
      </c>
      <c r="B24" s="267"/>
      <c r="C24" s="19"/>
      <c r="D24" s="290"/>
      <c r="E24" s="286"/>
    </row>
    <row r="25" spans="1:5" x14ac:dyDescent="0.25">
      <c r="A25" s="71">
        <f>inputPrYr!B24</f>
        <v>0</v>
      </c>
      <c r="B25" s="267"/>
      <c r="C25" s="19"/>
      <c r="D25" s="290"/>
      <c r="E25" s="286"/>
    </row>
    <row r="26" spans="1:5" x14ac:dyDescent="0.25">
      <c r="A26" s="71">
        <f>inputPrYr!B25</f>
        <v>0</v>
      </c>
      <c r="B26" s="267"/>
      <c r="C26" s="19"/>
      <c r="D26" s="290"/>
      <c r="E26" s="286"/>
    </row>
    <row r="27" spans="1:5" x14ac:dyDescent="0.25">
      <c r="A27" s="14"/>
      <c r="B27" s="20" t="s">
        <v>276</v>
      </c>
      <c r="C27" s="259"/>
      <c r="D27" s="291">
        <f>SUM(D17:D26)</f>
        <v>20.238</v>
      </c>
      <c r="E27" s="14"/>
    </row>
    <row r="28" spans="1:5" x14ac:dyDescent="0.25">
      <c r="A28" s="14"/>
      <c r="B28" s="14"/>
      <c r="C28" s="14"/>
      <c r="D28" s="14"/>
      <c r="E28" s="14"/>
    </row>
    <row r="29" spans="1:5" x14ac:dyDescent="0.25">
      <c r="A29" s="20" t="str">
        <f>CONCATENATE("Final Assessed Valuation from the November 1, ",E1-2," Abstract:")</f>
        <v>Final Assessed Valuation from the November 1, 2011 Abstract:</v>
      </c>
      <c r="B29" s="20"/>
      <c r="C29" s="20"/>
      <c r="D29" s="20"/>
      <c r="E29" s="36">
        <v>628850</v>
      </c>
    </row>
    <row r="30" spans="1:5" x14ac:dyDescent="0.25">
      <c r="A30" s="14"/>
      <c r="B30" s="14"/>
      <c r="C30" s="14"/>
      <c r="D30" s="14"/>
      <c r="E30" s="14"/>
    </row>
    <row r="31" spans="1:5" x14ac:dyDescent="0.25">
      <c r="A31" s="292" t="str">
        <f>CONCATENATE("From the County Treasurer's Budget Information - ",E1," Budget Year Estimates:")</f>
        <v>From the County Treasurer's Budget Information - 2013 Budget Year Estimates:</v>
      </c>
      <c r="B31" s="293"/>
      <c r="C31" s="293"/>
      <c r="D31" s="294"/>
      <c r="E31" s="55"/>
    </row>
    <row r="32" spans="1:5" x14ac:dyDescent="0.25">
      <c r="A32" s="71" t="s">
        <v>159</v>
      </c>
      <c r="B32" s="20"/>
      <c r="C32" s="20"/>
      <c r="D32" s="295"/>
      <c r="E32" s="34">
        <v>478</v>
      </c>
    </row>
    <row r="33" spans="1:5" x14ac:dyDescent="0.25">
      <c r="A33" s="296" t="s">
        <v>277</v>
      </c>
      <c r="B33" s="267"/>
      <c r="C33" s="267"/>
      <c r="D33" s="31"/>
      <c r="E33" s="34">
        <v>5</v>
      </c>
    </row>
    <row r="34" spans="1:5" x14ac:dyDescent="0.25">
      <c r="A34" s="296" t="s">
        <v>160</v>
      </c>
      <c r="B34" s="267"/>
      <c r="C34" s="267"/>
      <c r="D34" s="31"/>
      <c r="E34" s="34">
        <v>99</v>
      </c>
    </row>
    <row r="35" spans="1:5" x14ac:dyDescent="0.25">
      <c r="A35" s="296" t="s">
        <v>161</v>
      </c>
      <c r="B35" s="267"/>
      <c r="C35" s="267"/>
      <c r="D35" s="31"/>
      <c r="E35" s="34"/>
    </row>
    <row r="36" spans="1:5" x14ac:dyDescent="0.25">
      <c r="A36" s="296" t="s">
        <v>100</v>
      </c>
      <c r="B36" s="20"/>
      <c r="C36" s="20"/>
      <c r="D36" s="295"/>
      <c r="E36" s="34">
        <v>800</v>
      </c>
    </row>
    <row r="37" spans="1:5" x14ac:dyDescent="0.25">
      <c r="A37" s="14" t="s">
        <v>162</v>
      </c>
      <c r="B37" s="14"/>
      <c r="C37" s="14"/>
      <c r="D37" s="14"/>
      <c r="E37" s="14"/>
    </row>
    <row r="38" spans="1:5" x14ac:dyDescent="0.25">
      <c r="A38" s="68" t="s">
        <v>163</v>
      </c>
      <c r="B38" s="145"/>
      <c r="C38" s="145"/>
      <c r="D38" s="14"/>
      <c r="E38" s="14"/>
    </row>
    <row r="39" spans="1:5" x14ac:dyDescent="0.25">
      <c r="A39" s="71" t="str">
        <f>CONCATENATE("Actual Delinquency for ",E1-3," Tax - (rate .01213 = 1.213%, key in 1.2)")</f>
        <v>Actual Delinquency for 2010 Tax - (rate .01213 = 1.213%, key in 1.2)</v>
      </c>
      <c r="B39" s="20"/>
      <c r="C39" s="20"/>
      <c r="D39" s="259"/>
      <c r="E39" s="740">
        <v>0</v>
      </c>
    </row>
    <row r="40" spans="1:5" x14ac:dyDescent="0.25">
      <c r="A40" s="296" t="s">
        <v>857</v>
      </c>
      <c r="B40" s="274"/>
      <c r="C40" s="19"/>
      <c r="D40" s="19"/>
      <c r="E40" s="741">
        <v>0</v>
      </c>
    </row>
    <row r="41" spans="1:5" x14ac:dyDescent="0.25">
      <c r="A41" s="297" t="s">
        <v>164</v>
      </c>
      <c r="B41" s="297"/>
      <c r="C41" s="298"/>
      <c r="D41" s="298"/>
      <c r="E41" s="299"/>
    </row>
    <row r="42" spans="1:5" x14ac:dyDescent="0.25">
      <c r="A42" s="140"/>
      <c r="B42" s="140"/>
      <c r="C42" s="140"/>
      <c r="D42" s="140"/>
      <c r="E42" s="140"/>
    </row>
    <row r="43" spans="1:5" x14ac:dyDescent="0.25">
      <c r="A43" s="761" t="str">
        <f>CONCATENATE("From the ",E1-2," Budget Certificate Page")</f>
        <v>From the 2011 Budget Certificate Page</v>
      </c>
      <c r="B43" s="762"/>
      <c r="C43" s="140"/>
      <c r="D43" s="140"/>
      <c r="E43" s="140"/>
    </row>
    <row r="44" spans="1:5" x14ac:dyDescent="0.25">
      <c r="A44" s="300"/>
      <c r="B44" s="300" t="str">
        <f>CONCATENATE("",E1-2," Expenditure Amounts")</f>
        <v>2011 Expenditure Amounts</v>
      </c>
      <c r="C44" s="763" t="str">
        <f>CONCATENATE("Note: If the ",E1-2," budget was amended, then the")</f>
        <v>Note: If the 2011 budget was amended, then the</v>
      </c>
      <c r="D44" s="764"/>
      <c r="E44" s="764"/>
    </row>
    <row r="45" spans="1:5" x14ac:dyDescent="0.25">
      <c r="A45" s="301" t="s">
        <v>208</v>
      </c>
      <c r="B45" s="301" t="s">
        <v>209</v>
      </c>
      <c r="C45" s="302" t="s">
        <v>210</v>
      </c>
      <c r="D45" s="303"/>
      <c r="E45" s="303"/>
    </row>
    <row r="46" spans="1:5" x14ac:dyDescent="0.25">
      <c r="A46" s="304" t="str">
        <f>inputPrYr!B16</f>
        <v>General</v>
      </c>
      <c r="B46" s="36">
        <v>1690</v>
      </c>
      <c r="C46" s="302" t="s">
        <v>211</v>
      </c>
      <c r="D46" s="303"/>
      <c r="E46" s="303"/>
    </row>
    <row r="47" spans="1:5" x14ac:dyDescent="0.25">
      <c r="A47" s="304" t="str">
        <f>inputPrYr!B17</f>
        <v>Debt Service</v>
      </c>
      <c r="B47" s="36"/>
      <c r="C47" s="302"/>
      <c r="D47" s="303"/>
      <c r="E47" s="303"/>
    </row>
    <row r="48" spans="1:5" x14ac:dyDescent="0.25">
      <c r="A48" s="304" t="str">
        <f>inputPrYr!B18</f>
        <v>Library</v>
      </c>
      <c r="B48" s="36"/>
      <c r="C48" s="302"/>
      <c r="D48" s="303"/>
      <c r="E48" s="303"/>
    </row>
    <row r="49" spans="1:5" x14ac:dyDescent="0.25">
      <c r="A49" s="304" t="str">
        <f>inputPrYr!B19</f>
        <v>Road</v>
      </c>
      <c r="B49" s="36">
        <v>15400</v>
      </c>
      <c r="C49" s="140"/>
      <c r="D49" s="140"/>
      <c r="E49" s="140"/>
    </row>
    <row r="50" spans="1:5" x14ac:dyDescent="0.25">
      <c r="A50" s="304" t="str">
        <f>inputPrYr!B20</f>
        <v>Weed</v>
      </c>
      <c r="B50" s="36">
        <v>499</v>
      </c>
      <c r="C50" s="140"/>
      <c r="D50" s="140"/>
      <c r="E50" s="140"/>
    </row>
    <row r="51" spans="1:5" x14ac:dyDescent="0.25">
      <c r="A51" s="304">
        <f>inputPrYr!B21</f>
        <v>0</v>
      </c>
      <c r="B51" s="36"/>
      <c r="C51" s="140"/>
      <c r="D51" s="140"/>
      <c r="E51" s="140"/>
    </row>
    <row r="52" spans="1:5" x14ac:dyDescent="0.25">
      <c r="A52" s="304">
        <f>inputPrYr!B22</f>
        <v>0</v>
      </c>
      <c r="B52" s="36"/>
      <c r="C52" s="140"/>
      <c r="D52" s="140"/>
      <c r="E52" s="140"/>
    </row>
    <row r="53" spans="1:5" x14ac:dyDescent="0.25">
      <c r="A53" s="304">
        <f>inputPrYr!B23</f>
        <v>0</v>
      </c>
      <c r="B53" s="36"/>
      <c r="C53" s="140"/>
      <c r="D53" s="140"/>
      <c r="E53" s="140"/>
    </row>
    <row r="54" spans="1:5" x14ac:dyDescent="0.25">
      <c r="A54" s="304">
        <f>inputPrYr!B24</f>
        <v>0</v>
      </c>
      <c r="B54" s="36"/>
      <c r="C54" s="140"/>
      <c r="D54" s="140"/>
      <c r="E54" s="140"/>
    </row>
    <row r="55" spans="1:5" x14ac:dyDescent="0.25">
      <c r="A55" s="304">
        <f>inputPrYr!B25</f>
        <v>0</v>
      </c>
      <c r="B55" s="36"/>
      <c r="C55" s="140"/>
      <c r="D55" s="140"/>
      <c r="E55" s="140"/>
    </row>
    <row r="56" spans="1:5" x14ac:dyDescent="0.25">
      <c r="A56" s="304">
        <f>inputPrYr!B29</f>
        <v>0</v>
      </c>
      <c r="B56" s="36"/>
      <c r="C56" s="140"/>
      <c r="D56" s="140"/>
      <c r="E56" s="140"/>
    </row>
    <row r="57" spans="1:5" x14ac:dyDescent="0.25">
      <c r="A57" s="304">
        <f>inputPrYr!B30</f>
        <v>0</v>
      </c>
      <c r="B57" s="36"/>
      <c r="C57" s="140"/>
      <c r="D57" s="140"/>
      <c r="E57" s="140"/>
    </row>
  </sheetData>
  <sheetProtection sheet="1"/>
  <mergeCells count="4">
    <mergeCell ref="A4:E4"/>
    <mergeCell ref="A16:B16"/>
    <mergeCell ref="A43:B43"/>
    <mergeCell ref="C44:E44"/>
  </mergeCells>
  <phoneticPr fontId="11" type="noConversion"/>
  <pageMargins left="0.75" right="0.75" top="1" bottom="1" header="0.5" footer="0.5"/>
  <pageSetup scale="83" orientation="portrait" blackAndWhite="1"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0"/>
  <sheetViews>
    <sheetView workbookViewId="0">
      <selection sqref="A1:IV65536"/>
    </sheetView>
  </sheetViews>
  <sheetFormatPr defaultRowHeight="15.75" x14ac:dyDescent="0.25"/>
  <cols>
    <col min="1" max="1" width="64.09765625" style="478" customWidth="1"/>
    <col min="2" max="16384" width="8.796875" style="478"/>
  </cols>
  <sheetData>
    <row r="1" spans="1:1" ht="16.5" x14ac:dyDescent="0.25">
      <c r="A1" s="477" t="s">
        <v>690</v>
      </c>
    </row>
    <row r="3" spans="1:1" ht="31.5" x14ac:dyDescent="0.25">
      <c r="A3" s="479" t="s">
        <v>691</v>
      </c>
    </row>
    <row r="4" spans="1:1" x14ac:dyDescent="0.25">
      <c r="A4" s="480" t="s">
        <v>692</v>
      </c>
    </row>
    <row r="7" spans="1:1" ht="31.5" x14ac:dyDescent="0.25">
      <c r="A7" s="479" t="s">
        <v>693</v>
      </c>
    </row>
    <row r="8" spans="1:1" x14ac:dyDescent="0.25">
      <c r="A8" s="480" t="s">
        <v>694</v>
      </c>
    </row>
    <row r="11" spans="1:1" x14ac:dyDescent="0.25">
      <c r="A11" s="478" t="s">
        <v>695</v>
      </c>
    </row>
    <row r="12" spans="1:1" x14ac:dyDescent="0.25">
      <c r="A12" s="480" t="s">
        <v>696</v>
      </c>
    </row>
    <row r="15" spans="1:1" x14ac:dyDescent="0.25">
      <c r="A15" s="478" t="s">
        <v>697</v>
      </c>
    </row>
    <row r="16" spans="1:1" x14ac:dyDescent="0.25">
      <c r="A16" s="480" t="s">
        <v>698</v>
      </c>
    </row>
    <row r="19" spans="1:1" x14ac:dyDescent="0.25">
      <c r="A19" s="478" t="s">
        <v>699</v>
      </c>
    </row>
    <row r="20" spans="1:1" x14ac:dyDescent="0.25">
      <c r="A20" s="480" t="s">
        <v>700</v>
      </c>
    </row>
    <row r="23" spans="1:1" x14ac:dyDescent="0.25">
      <c r="A23" s="478" t="s">
        <v>701</v>
      </c>
    </row>
    <row r="24" spans="1:1" x14ac:dyDescent="0.25">
      <c r="A24" s="480" t="s">
        <v>702</v>
      </c>
    </row>
    <row r="27" spans="1:1" x14ac:dyDescent="0.25">
      <c r="A27" s="478" t="s">
        <v>703</v>
      </c>
    </row>
    <row r="28" spans="1:1" x14ac:dyDescent="0.25">
      <c r="A28" s="480" t="s">
        <v>704</v>
      </c>
    </row>
    <row r="31" spans="1:1" x14ac:dyDescent="0.25">
      <c r="A31" s="478" t="s">
        <v>705</v>
      </c>
    </row>
    <row r="32" spans="1:1" x14ac:dyDescent="0.25">
      <c r="A32" s="480" t="s">
        <v>706</v>
      </c>
    </row>
    <row r="35" spans="1:1" x14ac:dyDescent="0.25">
      <c r="A35" s="478" t="s">
        <v>707</v>
      </c>
    </row>
    <row r="36" spans="1:1" x14ac:dyDescent="0.25">
      <c r="A36" s="480" t="s">
        <v>708</v>
      </c>
    </row>
    <row r="39" spans="1:1" x14ac:dyDescent="0.25">
      <c r="A39" s="478" t="s">
        <v>709</v>
      </c>
    </row>
    <row r="40" spans="1:1" x14ac:dyDescent="0.25">
      <c r="A40" s="480" t="s">
        <v>710</v>
      </c>
    </row>
  </sheetData>
  <hyperlinks>
    <hyperlink ref="A4" r:id="rId1"/>
    <hyperlink ref="A8" r:id="rId2"/>
    <hyperlink ref="A12" r:id="rId3"/>
    <hyperlink ref="A16" r:id="rId4"/>
    <hyperlink ref="A20" r:id="rId5"/>
    <hyperlink ref="A24" r:id="rId6"/>
    <hyperlink ref="A28" r:id="rId7"/>
    <hyperlink ref="A32" r:id="rId8"/>
    <hyperlink ref="A36" r:id="rId9"/>
    <hyperlink ref="A40" r:id="rId10"/>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3"/>
  <sheetViews>
    <sheetView workbookViewId="0">
      <selection activeCell="G5" sqref="G5"/>
    </sheetView>
  </sheetViews>
  <sheetFormatPr defaultRowHeight="15.75" x14ac:dyDescent="0.25"/>
  <cols>
    <col min="1" max="1" width="72.09765625" style="80" customWidth="1"/>
    <col min="2" max="16384" width="8.796875" style="80"/>
  </cols>
  <sheetData>
    <row r="1" spans="1:1" x14ac:dyDescent="0.25">
      <c r="A1" s="373" t="s">
        <v>932</v>
      </c>
    </row>
    <row r="2" spans="1:1" x14ac:dyDescent="0.25">
      <c r="A2" s="80" t="s">
        <v>933</v>
      </c>
    </row>
    <row r="4" spans="1:1" x14ac:dyDescent="0.25">
      <c r="A4" s="373" t="s">
        <v>930</v>
      </c>
    </row>
    <row r="5" spans="1:1" x14ac:dyDescent="0.25">
      <c r="A5" s="751" t="s">
        <v>931</v>
      </c>
    </row>
    <row r="7" spans="1:1" x14ac:dyDescent="0.25">
      <c r="A7" s="373" t="s">
        <v>896</v>
      </c>
    </row>
    <row r="8" spans="1:1" x14ac:dyDescent="0.25">
      <c r="A8" s="80" t="s">
        <v>897</v>
      </c>
    </row>
    <row r="9" spans="1:1" x14ac:dyDescent="0.25">
      <c r="A9" s="80" t="s">
        <v>898</v>
      </c>
    </row>
    <row r="10" spans="1:1" x14ac:dyDescent="0.25">
      <c r="A10" s="80" t="s">
        <v>899</v>
      </c>
    </row>
    <row r="11" spans="1:1" x14ac:dyDescent="0.25">
      <c r="A11" s="80" t="s">
        <v>900</v>
      </c>
    </row>
    <row r="12" spans="1:1" x14ac:dyDescent="0.25">
      <c r="A12" s="80" t="s">
        <v>901</v>
      </c>
    </row>
    <row r="13" spans="1:1" x14ac:dyDescent="0.25">
      <c r="A13" s="80" t="s">
        <v>902</v>
      </c>
    </row>
    <row r="14" spans="1:1" x14ac:dyDescent="0.25">
      <c r="A14" s="80" t="s">
        <v>903</v>
      </c>
    </row>
    <row r="15" spans="1:1" x14ac:dyDescent="0.25">
      <c r="A15" s="80" t="s">
        <v>904</v>
      </c>
    </row>
    <row r="16" spans="1:1" x14ac:dyDescent="0.25">
      <c r="A16" s="80" t="s">
        <v>905</v>
      </c>
    </row>
    <row r="17" spans="1:1" x14ac:dyDescent="0.25">
      <c r="A17" s="80" t="s">
        <v>906</v>
      </c>
    </row>
    <row r="18" spans="1:1" x14ac:dyDescent="0.25">
      <c r="A18" s="80" t="s">
        <v>907</v>
      </c>
    </row>
    <row r="19" spans="1:1" x14ac:dyDescent="0.25">
      <c r="A19" s="80" t="s">
        <v>908</v>
      </c>
    </row>
    <row r="20" spans="1:1" x14ac:dyDescent="0.25">
      <c r="A20" s="80" t="s">
        <v>909</v>
      </c>
    </row>
    <row r="21" spans="1:1" x14ac:dyDescent="0.25">
      <c r="A21" s="80" t="s">
        <v>910</v>
      </c>
    </row>
    <row r="22" spans="1:1" x14ac:dyDescent="0.25">
      <c r="A22" s="80" t="s">
        <v>911</v>
      </c>
    </row>
    <row r="23" spans="1:1" x14ac:dyDescent="0.25">
      <c r="A23" s="80" t="s">
        <v>912</v>
      </c>
    </row>
    <row r="24" spans="1:1" x14ac:dyDescent="0.25">
      <c r="A24" s="80" t="s">
        <v>913</v>
      </c>
    </row>
    <row r="25" spans="1:1" x14ac:dyDescent="0.25">
      <c r="A25" s="80" t="s">
        <v>914</v>
      </c>
    </row>
    <row r="26" spans="1:1" x14ac:dyDescent="0.25">
      <c r="A26" s="80" t="s">
        <v>915</v>
      </c>
    </row>
    <row r="27" spans="1:1" x14ac:dyDescent="0.25">
      <c r="A27" s="80" t="s">
        <v>916</v>
      </c>
    </row>
    <row r="28" spans="1:1" x14ac:dyDescent="0.25">
      <c r="A28" s="80" t="s">
        <v>917</v>
      </c>
    </row>
    <row r="29" spans="1:1" x14ac:dyDescent="0.25">
      <c r="A29" s="80" t="s">
        <v>918</v>
      </c>
    </row>
    <row r="30" spans="1:1" x14ac:dyDescent="0.25">
      <c r="A30" s="80" t="s">
        <v>919</v>
      </c>
    </row>
    <row r="31" spans="1:1" x14ac:dyDescent="0.25">
      <c r="A31" s="80" t="s">
        <v>920</v>
      </c>
    </row>
    <row r="32" spans="1:1" x14ac:dyDescent="0.25">
      <c r="A32" s="80" t="s">
        <v>921</v>
      </c>
    </row>
    <row r="33" spans="1:1" x14ac:dyDescent="0.25">
      <c r="A33" s="80" t="s">
        <v>922</v>
      </c>
    </row>
    <row r="34" spans="1:1" x14ac:dyDescent="0.25">
      <c r="A34" s="80" t="s">
        <v>923</v>
      </c>
    </row>
    <row r="35" spans="1:1" x14ac:dyDescent="0.25">
      <c r="A35" s="80" t="s">
        <v>925</v>
      </c>
    </row>
    <row r="36" spans="1:1" x14ac:dyDescent="0.25">
      <c r="A36" s="80" t="s">
        <v>924</v>
      </c>
    </row>
    <row r="38" spans="1:1" x14ac:dyDescent="0.25">
      <c r="A38" s="373" t="s">
        <v>756</v>
      </c>
    </row>
    <row r="39" spans="1:1" x14ac:dyDescent="0.25">
      <c r="A39" s="80" t="s">
        <v>757</v>
      </c>
    </row>
    <row r="41" spans="1:1" x14ac:dyDescent="0.25">
      <c r="A41" s="373" t="s">
        <v>754</v>
      </c>
    </row>
    <row r="42" spans="1:1" x14ac:dyDescent="0.25">
      <c r="A42" s="80" t="s">
        <v>755</v>
      </c>
    </row>
    <row r="44" spans="1:1" x14ac:dyDescent="0.25">
      <c r="A44" s="373" t="s">
        <v>751</v>
      </c>
    </row>
    <row r="45" spans="1:1" x14ac:dyDescent="0.25">
      <c r="A45" s="543" t="s">
        <v>752</v>
      </c>
    </row>
    <row r="47" spans="1:1" x14ac:dyDescent="0.25">
      <c r="A47" s="373" t="s">
        <v>748</v>
      </c>
    </row>
    <row r="48" spans="1:1" x14ac:dyDescent="0.25">
      <c r="A48" s="80" t="s">
        <v>749</v>
      </c>
    </row>
    <row r="49" spans="1:1" x14ac:dyDescent="0.25">
      <c r="A49" s="80" t="s">
        <v>750</v>
      </c>
    </row>
    <row r="51" spans="1:1" x14ac:dyDescent="0.25">
      <c r="A51" s="373" t="s">
        <v>723</v>
      </c>
    </row>
    <row r="52" spans="1:1" x14ac:dyDescent="0.25">
      <c r="A52" s="543" t="s">
        <v>724</v>
      </c>
    </row>
    <row r="53" spans="1:1" x14ac:dyDescent="0.25">
      <c r="A53" s="543" t="s">
        <v>725</v>
      </c>
    </row>
    <row r="54" spans="1:1" ht="31.5" x14ac:dyDescent="0.25">
      <c r="A54" s="542" t="s">
        <v>726</v>
      </c>
    </row>
    <row r="55" spans="1:1" x14ac:dyDescent="0.25">
      <c r="A55" s="543" t="s">
        <v>727</v>
      </c>
    </row>
    <row r="56" spans="1:1" x14ac:dyDescent="0.25">
      <c r="A56" s="543" t="s">
        <v>728</v>
      </c>
    </row>
    <row r="57" spans="1:1" x14ac:dyDescent="0.25">
      <c r="A57" s="543" t="s">
        <v>729</v>
      </c>
    </row>
    <row r="58" spans="1:1" x14ac:dyDescent="0.25">
      <c r="A58" s="543" t="s">
        <v>730</v>
      </c>
    </row>
    <row r="59" spans="1:1" x14ac:dyDescent="0.25">
      <c r="A59" s="543" t="s">
        <v>731</v>
      </c>
    </row>
    <row r="60" spans="1:1" x14ac:dyDescent="0.25">
      <c r="A60" s="543" t="s">
        <v>732</v>
      </c>
    </row>
    <row r="61" spans="1:1" x14ac:dyDescent="0.25">
      <c r="A61" s="543" t="s">
        <v>733</v>
      </c>
    </row>
    <row r="62" spans="1:1" x14ac:dyDescent="0.25">
      <c r="A62" s="543" t="s">
        <v>734</v>
      </c>
    </row>
    <row r="63" spans="1:1" x14ac:dyDescent="0.25">
      <c r="A63" s="543" t="s">
        <v>735</v>
      </c>
    </row>
    <row r="64" spans="1:1" x14ac:dyDescent="0.25">
      <c r="A64" s="543" t="s">
        <v>746</v>
      </c>
    </row>
    <row r="65" spans="1:1" x14ac:dyDescent="0.25">
      <c r="A65" s="543" t="s">
        <v>736</v>
      </c>
    </row>
    <row r="66" spans="1:1" x14ac:dyDescent="0.25">
      <c r="A66" s="543" t="s">
        <v>737</v>
      </c>
    </row>
    <row r="67" spans="1:1" x14ac:dyDescent="0.25">
      <c r="A67" s="543" t="s">
        <v>738</v>
      </c>
    </row>
    <row r="68" spans="1:1" x14ac:dyDescent="0.25">
      <c r="A68" s="543" t="s">
        <v>739</v>
      </c>
    </row>
    <row r="69" spans="1:1" x14ac:dyDescent="0.25">
      <c r="A69" s="543" t="s">
        <v>740</v>
      </c>
    </row>
    <row r="70" spans="1:1" x14ac:dyDescent="0.25">
      <c r="A70" s="543" t="s">
        <v>741</v>
      </c>
    </row>
    <row r="71" spans="1:1" x14ac:dyDescent="0.25">
      <c r="A71" s="543" t="s">
        <v>742</v>
      </c>
    </row>
    <row r="72" spans="1:1" x14ac:dyDescent="0.25">
      <c r="A72" s="543" t="s">
        <v>743</v>
      </c>
    </row>
    <row r="73" spans="1:1" x14ac:dyDescent="0.25">
      <c r="A73" s="543" t="s">
        <v>744</v>
      </c>
    </row>
    <row r="74" spans="1:1" x14ac:dyDescent="0.25">
      <c r="A74" s="543" t="s">
        <v>747</v>
      </c>
    </row>
    <row r="76" spans="1:1" x14ac:dyDescent="0.25">
      <c r="A76" s="373" t="s">
        <v>620</v>
      </c>
    </row>
    <row r="77" spans="1:1" ht="39" customHeight="1" x14ac:dyDescent="0.25">
      <c r="A77" s="334" t="s">
        <v>621</v>
      </c>
    </row>
    <row r="78" spans="1:1" ht="23.25" customHeight="1" x14ac:dyDescent="0.25"/>
    <row r="79" spans="1:1" x14ac:dyDescent="0.25">
      <c r="A79" s="373" t="s">
        <v>616</v>
      </c>
    </row>
    <row r="80" spans="1:1" x14ac:dyDescent="0.25">
      <c r="A80" s="80" t="s">
        <v>617</v>
      </c>
    </row>
    <row r="81" spans="1:1" x14ac:dyDescent="0.25">
      <c r="A81" s="80" t="s">
        <v>618</v>
      </c>
    </row>
    <row r="82" spans="1:1" x14ac:dyDescent="0.25">
      <c r="A82" s="80" t="s">
        <v>619</v>
      </c>
    </row>
    <row r="84" spans="1:1" x14ac:dyDescent="0.25">
      <c r="A84" s="376" t="s">
        <v>605</v>
      </c>
    </row>
    <row r="85" spans="1:1" x14ac:dyDescent="0.25">
      <c r="A85" s="80" t="s">
        <v>615</v>
      </c>
    </row>
    <row r="87" spans="1:1" x14ac:dyDescent="0.25">
      <c r="A87" s="373" t="s">
        <v>589</v>
      </c>
    </row>
    <row r="88" spans="1:1" x14ac:dyDescent="0.25">
      <c r="A88" s="374" t="s">
        <v>590</v>
      </c>
    </row>
    <row r="89" spans="1:1" x14ac:dyDescent="0.25">
      <c r="A89" s="374" t="s">
        <v>591</v>
      </c>
    </row>
    <row r="90" spans="1:1" x14ac:dyDescent="0.25">
      <c r="A90" s="374" t="s">
        <v>592</v>
      </c>
    </row>
    <row r="91" spans="1:1" x14ac:dyDescent="0.25">
      <c r="A91" s="372" t="s">
        <v>593</v>
      </c>
    </row>
    <row r="93" spans="1:1" x14ac:dyDescent="0.25">
      <c r="A93" s="346" t="s">
        <v>317</v>
      </c>
    </row>
    <row r="94" spans="1:1" x14ac:dyDescent="0.25">
      <c r="A94" s="80" t="s">
        <v>319</v>
      </c>
    </row>
    <row r="95" spans="1:1" x14ac:dyDescent="0.25">
      <c r="A95" s="80" t="s">
        <v>320</v>
      </c>
    </row>
    <row r="96" spans="1:1" x14ac:dyDescent="0.25">
      <c r="A96" s="80" t="s">
        <v>321</v>
      </c>
    </row>
    <row r="97" spans="1:1" x14ac:dyDescent="0.25">
      <c r="A97" s="80" t="s">
        <v>322</v>
      </c>
    </row>
    <row r="98" spans="1:1" x14ac:dyDescent="0.25">
      <c r="A98" s="80" t="s">
        <v>323</v>
      </c>
    </row>
    <row r="99" spans="1:1" x14ac:dyDescent="0.25">
      <c r="A99" s="80" t="s">
        <v>324</v>
      </c>
    </row>
    <row r="100" spans="1:1" x14ac:dyDescent="0.25">
      <c r="A100" s="80" t="s">
        <v>339</v>
      </c>
    </row>
    <row r="101" spans="1:1" x14ac:dyDescent="0.25">
      <c r="A101" s="80" t="s">
        <v>340</v>
      </c>
    </row>
    <row r="102" spans="1:1" x14ac:dyDescent="0.25">
      <c r="A102" s="80" t="s">
        <v>341</v>
      </c>
    </row>
    <row r="103" spans="1:1" x14ac:dyDescent="0.25">
      <c r="A103" s="80" t="s">
        <v>342</v>
      </c>
    </row>
    <row r="104" spans="1:1" x14ac:dyDescent="0.25">
      <c r="A104" s="80" t="s">
        <v>357</v>
      </c>
    </row>
    <row r="105" spans="1:1" ht="31.5" x14ac:dyDescent="0.25">
      <c r="A105" s="334" t="s">
        <v>358</v>
      </c>
    </row>
    <row r="106" spans="1:1" x14ac:dyDescent="0.25">
      <c r="A106" s="334" t="s">
        <v>367</v>
      </c>
    </row>
    <row r="107" spans="1:1" x14ac:dyDescent="0.25">
      <c r="A107" s="348" t="s">
        <v>370</v>
      </c>
    </row>
    <row r="108" spans="1:1" x14ac:dyDescent="0.25">
      <c r="A108" s="349" t="s">
        <v>371</v>
      </c>
    </row>
    <row r="110" spans="1:1" x14ac:dyDescent="0.25">
      <c r="A110" s="346" t="s">
        <v>312</v>
      </c>
    </row>
    <row r="111" spans="1:1" x14ac:dyDescent="0.25">
      <c r="A111" s="80" t="s">
        <v>313</v>
      </c>
    </row>
    <row r="112" spans="1:1" x14ac:dyDescent="0.25">
      <c r="A112" s="80" t="s">
        <v>314</v>
      </c>
    </row>
    <row r="114" spans="1:1" x14ac:dyDescent="0.25">
      <c r="A114" s="346" t="s">
        <v>310</v>
      </c>
    </row>
    <row r="115" spans="1:1" x14ac:dyDescent="0.25">
      <c r="A115" s="80" t="s">
        <v>311</v>
      </c>
    </row>
    <row r="117" spans="1:1" x14ac:dyDescent="0.25">
      <c r="A117" s="346" t="s">
        <v>308</v>
      </c>
    </row>
    <row r="118" spans="1:1" x14ac:dyDescent="0.25">
      <c r="A118" s="80" t="s">
        <v>309</v>
      </c>
    </row>
    <row r="120" spans="1:1" x14ac:dyDescent="0.25">
      <c r="A120" s="346" t="s">
        <v>305</v>
      </c>
    </row>
    <row r="121" spans="1:1" x14ac:dyDescent="0.25">
      <c r="A121" s="80" t="s">
        <v>306</v>
      </c>
    </row>
    <row r="122" spans="1:1" x14ac:dyDescent="0.25">
      <c r="A122" s="80" t="s">
        <v>307</v>
      </c>
    </row>
    <row r="124" spans="1:1" x14ac:dyDescent="0.25">
      <c r="A124" s="80" t="s">
        <v>301</v>
      </c>
    </row>
    <row r="125" spans="1:1" x14ac:dyDescent="0.25">
      <c r="A125" s="80" t="s">
        <v>302</v>
      </c>
    </row>
    <row r="126" spans="1:1" x14ac:dyDescent="0.25">
      <c r="A126" s="80" t="s">
        <v>303</v>
      </c>
    </row>
    <row r="127" spans="1:1" x14ac:dyDescent="0.25">
      <c r="A127" s="80" t="s">
        <v>304</v>
      </c>
    </row>
    <row r="129" spans="1:1" x14ac:dyDescent="0.25">
      <c r="A129" s="80" t="s">
        <v>297</v>
      </c>
    </row>
    <row r="130" spans="1:1" x14ac:dyDescent="0.25">
      <c r="A130" s="80" t="s">
        <v>298</v>
      </c>
    </row>
    <row r="131" spans="1:1" x14ac:dyDescent="0.25">
      <c r="A131" s="80" t="s">
        <v>299</v>
      </c>
    </row>
    <row r="133" spans="1:1" x14ac:dyDescent="0.25">
      <c r="A133" s="80" t="s">
        <v>295</v>
      </c>
    </row>
    <row r="134" spans="1:1" ht="34.5" customHeight="1" x14ac:dyDescent="0.25">
      <c r="A134" s="80" t="s">
        <v>296</v>
      </c>
    </row>
    <row r="136" spans="1:1" x14ac:dyDescent="0.25">
      <c r="A136" s="80" t="s">
        <v>250</v>
      </c>
    </row>
    <row r="137" spans="1:1" x14ac:dyDescent="0.25">
      <c r="A137" s="80" t="s">
        <v>251</v>
      </c>
    </row>
    <row r="138" spans="1:1" ht="31.5" x14ac:dyDescent="0.25">
      <c r="A138" s="334" t="s">
        <v>267</v>
      </c>
    </row>
    <row r="139" spans="1:1" x14ac:dyDescent="0.25">
      <c r="A139" s="80" t="s">
        <v>252</v>
      </c>
    </row>
    <row r="140" spans="1:1" x14ac:dyDescent="0.25">
      <c r="A140" s="80" t="s">
        <v>253</v>
      </c>
    </row>
    <row r="141" spans="1:1" x14ac:dyDescent="0.25">
      <c r="A141" s="80" t="s">
        <v>254</v>
      </c>
    </row>
    <row r="142" spans="1:1" x14ac:dyDescent="0.25">
      <c r="A142" s="80" t="s">
        <v>255</v>
      </c>
    </row>
    <row r="143" spans="1:1" ht="31.5" x14ac:dyDescent="0.25">
      <c r="A143" s="334" t="s">
        <v>235</v>
      </c>
    </row>
    <row r="144" spans="1:1" ht="31.5" x14ac:dyDescent="0.25">
      <c r="A144" s="334" t="s">
        <v>263</v>
      </c>
    </row>
    <row r="145" spans="1:1" ht="31.5" x14ac:dyDescent="0.25">
      <c r="A145" s="334" t="s">
        <v>256</v>
      </c>
    </row>
    <row r="146" spans="1:1" x14ac:dyDescent="0.25">
      <c r="A146" s="334" t="s">
        <v>257</v>
      </c>
    </row>
    <row r="147" spans="1:1" ht="31.5" x14ac:dyDescent="0.25">
      <c r="A147" s="334" t="s">
        <v>258</v>
      </c>
    </row>
    <row r="148" spans="1:1" ht="33.75" customHeight="1" x14ac:dyDescent="0.25">
      <c r="A148" s="80" t="s">
        <v>259</v>
      </c>
    </row>
    <row r="149" spans="1:1" ht="26.25" customHeight="1" x14ac:dyDescent="0.25">
      <c r="A149" s="80" t="s">
        <v>260</v>
      </c>
    </row>
    <row r="150" spans="1:1" ht="33.75" customHeight="1" x14ac:dyDescent="0.25">
      <c r="A150" s="80" t="s">
        <v>261</v>
      </c>
    </row>
    <row r="151" spans="1:1" ht="30.75" customHeight="1" x14ac:dyDescent="0.25">
      <c r="A151" s="80" t="s">
        <v>266</v>
      </c>
    </row>
    <row r="152" spans="1:1" ht="21" customHeight="1" x14ac:dyDescent="0.25">
      <c r="A152" s="334" t="s">
        <v>264</v>
      </c>
    </row>
    <row r="153" spans="1:1" ht="38.25" customHeight="1" x14ac:dyDescent="0.25">
      <c r="A153" s="334" t="s">
        <v>229</v>
      </c>
    </row>
    <row r="154" spans="1:1" ht="33.75" customHeight="1" x14ac:dyDescent="0.25">
      <c r="A154" s="334" t="s">
        <v>236</v>
      </c>
    </row>
    <row r="155" spans="1:1" ht="33.75" customHeight="1" x14ac:dyDescent="0.25">
      <c r="A155" s="334" t="s">
        <v>230</v>
      </c>
    </row>
    <row r="156" spans="1:1" ht="33.75" customHeight="1" x14ac:dyDescent="0.25">
      <c r="A156" s="334" t="s">
        <v>231</v>
      </c>
    </row>
    <row r="157" spans="1:1" ht="33.75" customHeight="1" x14ac:dyDescent="0.25">
      <c r="A157" s="334" t="s">
        <v>232</v>
      </c>
    </row>
    <row r="158" spans="1:1" ht="31.5" x14ac:dyDescent="0.25">
      <c r="A158" s="334" t="s">
        <v>233</v>
      </c>
    </row>
    <row r="159" spans="1:1" ht="31.5" x14ac:dyDescent="0.25">
      <c r="A159" s="334" t="s">
        <v>237</v>
      </c>
    </row>
    <row r="160" spans="1:1" ht="31.5" x14ac:dyDescent="0.25">
      <c r="A160" s="334" t="s">
        <v>234</v>
      </c>
    </row>
    <row r="161" spans="1:1" ht="31.5" x14ac:dyDescent="0.25">
      <c r="A161" s="334" t="s">
        <v>238</v>
      </c>
    </row>
    <row r="162" spans="1:1" x14ac:dyDescent="0.25">
      <c r="A162" s="334" t="s">
        <v>244</v>
      </c>
    </row>
    <row r="164" spans="1:1" x14ac:dyDescent="0.25">
      <c r="A164" s="80" t="s">
        <v>188</v>
      </c>
    </row>
    <row r="165" spans="1:1" ht="47.25" x14ac:dyDescent="0.25">
      <c r="A165" s="334" t="s">
        <v>239</v>
      </c>
    </row>
    <row r="166" spans="1:1" x14ac:dyDescent="0.25">
      <c r="A166" s="80" t="s">
        <v>189</v>
      </c>
    </row>
    <row r="167" spans="1:1" x14ac:dyDescent="0.25">
      <c r="A167" s="80" t="s">
        <v>193</v>
      </c>
    </row>
    <row r="168" spans="1:1" x14ac:dyDescent="0.25">
      <c r="A168" s="80" t="s">
        <v>194</v>
      </c>
    </row>
    <row r="169" spans="1:1" x14ac:dyDescent="0.25">
      <c r="A169" s="80" t="s">
        <v>190</v>
      </c>
    </row>
    <row r="170" spans="1:1" x14ac:dyDescent="0.25">
      <c r="A170" s="80" t="s">
        <v>191</v>
      </c>
    </row>
    <row r="171" spans="1:1" x14ac:dyDescent="0.25">
      <c r="A171" s="80" t="s">
        <v>192</v>
      </c>
    </row>
    <row r="172" spans="1:1" x14ac:dyDescent="0.25">
      <c r="A172" s="334" t="s">
        <v>195</v>
      </c>
    </row>
    <row r="173" spans="1:1" x14ac:dyDescent="0.25">
      <c r="A173" s="80" t="s">
        <v>196</v>
      </c>
    </row>
    <row r="174" spans="1:1" x14ac:dyDescent="0.25">
      <c r="A174" s="80" t="s">
        <v>197</v>
      </c>
    </row>
    <row r="175" spans="1:1" x14ac:dyDescent="0.25">
      <c r="A175" s="80" t="s">
        <v>240</v>
      </c>
    </row>
    <row r="176" spans="1:1" x14ac:dyDescent="0.25">
      <c r="A176" s="80" t="s">
        <v>198</v>
      </c>
    </row>
    <row r="177" spans="1:1" x14ac:dyDescent="0.25">
      <c r="A177" s="80" t="s">
        <v>241</v>
      </c>
    </row>
    <row r="178" spans="1:1" x14ac:dyDescent="0.25">
      <c r="A178" s="80" t="s">
        <v>199</v>
      </c>
    </row>
    <row r="179" spans="1:1" x14ac:dyDescent="0.25">
      <c r="A179" s="80" t="s">
        <v>242</v>
      </c>
    </row>
    <row r="180" spans="1:1" x14ac:dyDescent="0.25">
      <c r="A180" s="80" t="s">
        <v>200</v>
      </c>
    </row>
    <row r="181" spans="1:1" x14ac:dyDescent="0.25">
      <c r="A181" s="80" t="s">
        <v>204</v>
      </c>
    </row>
    <row r="182" spans="1:1" x14ac:dyDescent="0.25">
      <c r="A182" s="80" t="s">
        <v>243</v>
      </c>
    </row>
    <row r="183" spans="1:1" x14ac:dyDescent="0.25">
      <c r="A183" s="80" t="s">
        <v>219</v>
      </c>
    </row>
    <row r="184" spans="1:1" x14ac:dyDescent="0.25">
      <c r="A184" s="80" t="s">
        <v>220</v>
      </c>
    </row>
    <row r="185" spans="1:1" x14ac:dyDescent="0.25">
      <c r="A185" s="80" t="s">
        <v>221</v>
      </c>
    </row>
    <row r="186" spans="1:1" x14ac:dyDescent="0.25">
      <c r="A186" s="80" t="s">
        <v>205</v>
      </c>
    </row>
    <row r="187" spans="1:1" x14ac:dyDescent="0.25">
      <c r="A187" s="80" t="s">
        <v>206</v>
      </c>
    </row>
    <row r="188" spans="1:1" x14ac:dyDescent="0.25">
      <c r="A188" s="80" t="s">
        <v>207</v>
      </c>
    </row>
    <row r="189" spans="1:1" x14ac:dyDescent="0.25">
      <c r="A189" s="80" t="s">
        <v>216</v>
      </c>
    </row>
    <row r="190" spans="1:1" x14ac:dyDescent="0.25">
      <c r="A190" s="80" t="s">
        <v>217</v>
      </c>
    </row>
    <row r="191" spans="1:1" x14ac:dyDescent="0.25">
      <c r="A191" s="80" t="s">
        <v>218</v>
      </c>
    </row>
    <row r="192" spans="1:1" x14ac:dyDescent="0.25">
      <c r="A192" s="80" t="s">
        <v>228</v>
      </c>
    </row>
    <row r="193" spans="1:1" x14ac:dyDescent="0.25">
      <c r="A193" s="80" t="s">
        <v>245</v>
      </c>
    </row>
  </sheetData>
  <sheetProtection sheet="1"/>
  <phoneticPr fontId="0"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selection activeCell="B15" sqref="B15"/>
    </sheetView>
  </sheetViews>
  <sheetFormatPr defaultRowHeight="15.75" x14ac:dyDescent="0.25"/>
  <cols>
    <col min="1" max="1" width="13.69921875" customWidth="1"/>
    <col min="2" max="2" width="16" customWidth="1"/>
  </cols>
  <sheetData>
    <row r="1" spans="1:10" x14ac:dyDescent="0.25">
      <c r="J1" s="721" t="s">
        <v>841</v>
      </c>
    </row>
    <row r="2" spans="1:10" ht="54" customHeight="1" x14ac:dyDescent="0.25">
      <c r="A2" s="765" t="s">
        <v>372</v>
      </c>
      <c r="B2" s="766"/>
      <c r="C2" s="766"/>
      <c r="D2" s="766"/>
      <c r="E2" s="766"/>
      <c r="F2" s="766"/>
      <c r="J2" s="721" t="s">
        <v>842</v>
      </c>
    </row>
    <row r="3" spans="1:10" x14ac:dyDescent="0.25">
      <c r="J3" s="721" t="s">
        <v>843</v>
      </c>
    </row>
    <row r="4" spans="1:10" x14ac:dyDescent="0.25">
      <c r="A4" s="478" t="s">
        <v>839</v>
      </c>
      <c r="B4" s="359"/>
      <c r="C4" s="720"/>
      <c r="J4" s="721" t="s">
        <v>844</v>
      </c>
    </row>
    <row r="5" spans="1:10" x14ac:dyDescent="0.25">
      <c r="A5" s="478"/>
      <c r="B5" s="720"/>
      <c r="J5" s="721" t="s">
        <v>845</v>
      </c>
    </row>
    <row r="6" spans="1:10" x14ac:dyDescent="0.25">
      <c r="A6" s="478" t="s">
        <v>840</v>
      </c>
      <c r="B6" s="359"/>
      <c r="J6" s="721" t="s">
        <v>846</v>
      </c>
    </row>
    <row r="7" spans="1:10" x14ac:dyDescent="0.25">
      <c r="A7" s="356"/>
      <c r="B7" s="356"/>
      <c r="C7" s="356"/>
      <c r="D7" s="358"/>
      <c r="E7" s="356"/>
      <c r="F7" s="356"/>
      <c r="J7" s="721" t="s">
        <v>847</v>
      </c>
    </row>
    <row r="8" spans="1:10" x14ac:dyDescent="0.25">
      <c r="A8" s="357" t="s">
        <v>373</v>
      </c>
      <c r="B8" s="359" t="s">
        <v>942</v>
      </c>
      <c r="C8" s="360"/>
      <c r="D8" s="357" t="s">
        <v>838</v>
      </c>
      <c r="E8" s="356"/>
      <c r="F8" s="356"/>
      <c r="J8" s="721" t="s">
        <v>848</v>
      </c>
    </row>
    <row r="9" spans="1:10" x14ac:dyDescent="0.25">
      <c r="A9" s="357"/>
      <c r="B9" s="361"/>
      <c r="C9" s="362"/>
      <c r="D9" s="357" t="str">
        <f ca="1">IF(B8="","",CONCATENATE("Latest date for notice to be published in your newspaper: ",G19," ",G23,", ",G24))</f>
        <v>Latest date for notice to be published in your newspaper: July 24, 2012</v>
      </c>
      <c r="E9" s="356"/>
      <c r="F9" s="356"/>
      <c r="J9" s="721" t="s">
        <v>849</v>
      </c>
    </row>
    <row r="10" spans="1:10" x14ac:dyDescent="0.25">
      <c r="A10" s="357" t="s">
        <v>374</v>
      </c>
      <c r="B10" s="359" t="s">
        <v>943</v>
      </c>
      <c r="C10" s="363"/>
      <c r="D10" s="357"/>
      <c r="E10" s="356"/>
      <c r="F10" s="356"/>
      <c r="J10" s="721" t="s">
        <v>850</v>
      </c>
    </row>
    <row r="11" spans="1:10" x14ac:dyDescent="0.25">
      <c r="A11" s="357"/>
      <c r="B11" s="357"/>
      <c r="C11" s="357"/>
      <c r="D11" s="357"/>
      <c r="E11" s="356"/>
      <c r="F11" s="356"/>
      <c r="J11" s="721" t="s">
        <v>851</v>
      </c>
    </row>
    <row r="12" spans="1:10" x14ac:dyDescent="0.25">
      <c r="A12" s="357" t="s">
        <v>375</v>
      </c>
      <c r="B12" s="364" t="s">
        <v>944</v>
      </c>
      <c r="C12" s="364"/>
      <c r="D12" s="364"/>
      <c r="E12" s="365"/>
      <c r="F12" s="356"/>
      <c r="J12" s="721" t="s">
        <v>852</v>
      </c>
    </row>
    <row r="13" spans="1:10" x14ac:dyDescent="0.25">
      <c r="A13" s="357"/>
      <c r="B13" s="357"/>
      <c r="C13" s="357"/>
      <c r="D13" s="357"/>
      <c r="E13" s="356"/>
      <c r="F13" s="356"/>
    </row>
    <row r="14" spans="1:10" x14ac:dyDescent="0.25">
      <c r="A14" s="357"/>
      <c r="B14" s="357"/>
      <c r="C14" s="357"/>
      <c r="D14" s="357"/>
      <c r="E14" s="356"/>
      <c r="F14" s="356"/>
    </row>
    <row r="15" spans="1:10" x14ac:dyDescent="0.25">
      <c r="A15" s="357" t="s">
        <v>376</v>
      </c>
      <c r="B15" s="364" t="s">
        <v>945</v>
      </c>
      <c r="C15" s="364"/>
      <c r="D15" s="364"/>
      <c r="E15" s="365"/>
      <c r="F15" s="356"/>
    </row>
    <row r="18" spans="1:7" x14ac:dyDescent="0.25">
      <c r="A18" s="767" t="s">
        <v>377</v>
      </c>
      <c r="B18" s="767"/>
      <c r="C18" s="357"/>
      <c r="D18" s="357"/>
      <c r="E18" s="357"/>
      <c r="F18" s="356"/>
    </row>
    <row r="19" spans="1:7" x14ac:dyDescent="0.25">
      <c r="A19" s="357"/>
      <c r="B19" s="357"/>
      <c r="C19" s="357"/>
      <c r="D19" s="357"/>
      <c r="E19" s="357"/>
      <c r="F19" s="356"/>
      <c r="G19" s="721" t="str">
        <f ca="1">IF(B8="","",INDIRECT(G20))</f>
        <v>July</v>
      </c>
    </row>
    <row r="20" spans="1:7" x14ac:dyDescent="0.25">
      <c r="A20" s="357" t="s">
        <v>373</v>
      </c>
      <c r="B20" s="361" t="s">
        <v>378</v>
      </c>
      <c r="C20" s="357"/>
      <c r="D20" s="357"/>
      <c r="E20" s="357"/>
      <c r="G20" s="722" t="str">
        <f>IF(B8="","",CONCATENATE("J",G22))</f>
        <v>J7</v>
      </c>
    </row>
    <row r="21" spans="1:7" x14ac:dyDescent="0.25">
      <c r="A21" s="357"/>
      <c r="B21" s="357"/>
      <c r="C21" s="357"/>
      <c r="D21" s="357"/>
      <c r="E21" s="357"/>
      <c r="G21" s="723">
        <f>B8-10</f>
        <v>41114</v>
      </c>
    </row>
    <row r="22" spans="1:7" x14ac:dyDescent="0.25">
      <c r="A22" s="357" t="s">
        <v>374</v>
      </c>
      <c r="B22" s="357" t="s">
        <v>379</v>
      </c>
      <c r="C22" s="357"/>
      <c r="D22" s="357"/>
      <c r="E22" s="357"/>
      <c r="G22" s="724">
        <f>IF(B8="","",MONTH(G21))</f>
        <v>7</v>
      </c>
    </row>
    <row r="23" spans="1:7" x14ac:dyDescent="0.25">
      <c r="A23" s="357"/>
      <c r="B23" s="357"/>
      <c r="C23" s="357"/>
      <c r="D23" s="357"/>
      <c r="E23" s="357"/>
      <c r="G23" s="725">
        <f>IF(B8="","",DAY(G21))</f>
        <v>24</v>
      </c>
    </row>
    <row r="24" spans="1:7" x14ac:dyDescent="0.25">
      <c r="A24" s="357" t="s">
        <v>375</v>
      </c>
      <c r="B24" s="357" t="s">
        <v>381</v>
      </c>
      <c r="C24" s="357"/>
      <c r="D24" s="357"/>
      <c r="E24" s="357"/>
      <c r="G24" s="726">
        <f>IF(B8="","",YEAR(G21))</f>
        <v>2012</v>
      </c>
    </row>
    <row r="25" spans="1:7" x14ac:dyDescent="0.25">
      <c r="A25" s="357"/>
      <c r="B25" s="357"/>
      <c r="C25" s="357"/>
      <c r="D25" s="357"/>
      <c r="E25" s="357"/>
    </row>
    <row r="26" spans="1:7" x14ac:dyDescent="0.25">
      <c r="A26" s="357" t="s">
        <v>376</v>
      </c>
      <c r="B26" s="357" t="s">
        <v>380</v>
      </c>
      <c r="C26" s="357"/>
      <c r="D26" s="357"/>
      <c r="E26" s="357"/>
    </row>
  </sheetData>
  <sheetProtection sheet="1"/>
  <mergeCells count="2">
    <mergeCell ref="A2:F2"/>
    <mergeCell ref="A18:B18"/>
  </mergeCells>
  <pageMargins left="0.7" right="0.7" top="0.75" bottom="0.75" header="0.3" footer="0.3"/>
  <pageSetup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64"/>
  <sheetViews>
    <sheetView tabSelected="1" topLeftCell="B16" zoomScaleNormal="100" workbookViewId="0">
      <selection activeCell="F40" sqref="F40"/>
    </sheetView>
  </sheetViews>
  <sheetFormatPr defaultRowHeight="15.75" x14ac:dyDescent="0.25"/>
  <cols>
    <col min="1" max="1" width="8.796875" style="80"/>
    <col min="2" max="2" width="20.69921875" style="80" customWidth="1"/>
    <col min="3" max="3" width="9.69921875" style="80" customWidth="1"/>
    <col min="4" max="4" width="5.69921875" style="80" customWidth="1"/>
    <col min="5" max="5" width="15.69921875" style="80" customWidth="1"/>
    <col min="6" max="6" width="12.69921875" style="80" customWidth="1"/>
    <col min="7" max="7" width="10.69921875" style="80" customWidth="1"/>
    <col min="8" max="16384" width="8.796875" style="80"/>
  </cols>
  <sheetData>
    <row r="1" spans="2:8" s="14" customFormat="1" x14ac:dyDescent="0.25">
      <c r="B1" s="768" t="s">
        <v>70</v>
      </c>
      <c r="C1" s="768"/>
      <c r="D1" s="768"/>
      <c r="E1" s="768"/>
      <c r="F1" s="768"/>
      <c r="G1" s="768"/>
      <c r="H1" s="14">
        <f>inputPrYr!D5</f>
        <v>2013</v>
      </c>
    </row>
    <row r="2" spans="2:8" s="14" customFormat="1" x14ac:dyDescent="0.25">
      <c r="C2" s="145"/>
      <c r="D2" s="145"/>
      <c r="E2" s="145"/>
      <c r="F2" s="145"/>
      <c r="G2" s="62"/>
    </row>
    <row r="3" spans="2:8" s="14" customFormat="1" x14ac:dyDescent="0.25">
      <c r="B3" s="777" t="str">
        <f>CONCATENATE("To the Clerk of ",inputPrYr!D3,", State of Kansas")</f>
        <v>To the Clerk of Osborne County, State of Kansas</v>
      </c>
      <c r="C3" s="776"/>
      <c r="D3" s="776"/>
      <c r="E3" s="776"/>
      <c r="F3" s="776"/>
      <c r="G3" s="776"/>
      <c r="H3" s="776"/>
    </row>
    <row r="4" spans="2:8" s="14" customFormat="1" x14ac:dyDescent="0.25">
      <c r="B4" s="777" t="s">
        <v>152</v>
      </c>
      <c r="C4" s="779"/>
      <c r="D4" s="779"/>
      <c r="E4" s="779"/>
      <c r="F4" s="779"/>
      <c r="G4" s="779"/>
    </row>
    <row r="5" spans="2:8" s="14" customFormat="1" x14ac:dyDescent="0.25">
      <c r="B5" s="780" t="str">
        <f>inputPrYr!D2</f>
        <v>Liberty Township</v>
      </c>
      <c r="C5" s="779"/>
      <c r="D5" s="779"/>
      <c r="E5" s="779"/>
      <c r="F5" s="779"/>
      <c r="G5" s="779"/>
    </row>
    <row r="6" spans="2:8" s="14" customFormat="1" x14ac:dyDescent="0.25">
      <c r="B6" s="775" t="s">
        <v>150</v>
      </c>
      <c r="C6" s="776"/>
      <c r="D6" s="776"/>
      <c r="E6" s="776"/>
      <c r="F6" s="776"/>
      <c r="G6" s="776"/>
    </row>
    <row r="7" spans="2:8" s="14" customFormat="1" ht="15.75" customHeight="1" x14ac:dyDescent="0.25">
      <c r="B7" s="777" t="s">
        <v>151</v>
      </c>
      <c r="C7" s="778"/>
      <c r="D7" s="778"/>
      <c r="E7" s="778"/>
      <c r="F7" s="778"/>
      <c r="G7" s="778"/>
    </row>
    <row r="8" spans="2:8" s="14" customFormat="1" ht="15.75" customHeight="1" x14ac:dyDescent="0.25">
      <c r="B8" s="777" t="str">
        <f>CONCATENATE("maximum expenditures for the various funds for the year ",H1,"; and (3) the")</f>
        <v>maximum expenditures for the various funds for the year 2013; and (3) the</v>
      </c>
      <c r="C8" s="779"/>
      <c r="D8" s="779"/>
      <c r="E8" s="779"/>
      <c r="F8" s="779"/>
      <c r="G8" s="779"/>
    </row>
    <row r="9" spans="2:8" s="14" customFormat="1" ht="15.75" customHeight="1" x14ac:dyDescent="0.25">
      <c r="B9" s="777" t="str">
        <f>CONCATENATE("Amount(s) of ",H1-1," Ad Valorem Tax are within statutory limitations for the ",H1," Budget.")</f>
        <v>Amount(s) of 2012 Ad Valorem Tax are within statutory limitations for the 2013 Budget.</v>
      </c>
      <c r="C9" s="779"/>
      <c r="D9" s="779"/>
      <c r="E9" s="779"/>
      <c r="F9" s="779"/>
      <c r="G9" s="779"/>
    </row>
    <row r="10" spans="2:8" s="14" customFormat="1" ht="15.75" customHeight="1" x14ac:dyDescent="0.25">
      <c r="E10" s="66"/>
      <c r="F10" s="66"/>
      <c r="G10" s="66"/>
    </row>
    <row r="11" spans="2:8" s="14" customFormat="1" x14ac:dyDescent="0.25">
      <c r="D11" s="19"/>
      <c r="E11" s="772" t="str">
        <f>CONCATENATE("",H1," Adopted Budget")</f>
        <v>2013 Adopted Budget</v>
      </c>
      <c r="F11" s="773"/>
      <c r="G11" s="774"/>
    </row>
    <row r="12" spans="2:8" s="14" customFormat="1" x14ac:dyDescent="0.25">
      <c r="B12" s="22"/>
      <c r="D12" s="66"/>
      <c r="E12" s="255" t="s">
        <v>278</v>
      </c>
      <c r="F12" s="769" t="str">
        <f>CONCATENATE("Amount of ",H1-1," Ad Valorem Tax")</f>
        <v>Amount of 2012 Ad Valorem Tax</v>
      </c>
      <c r="G12" s="23" t="s">
        <v>279</v>
      </c>
    </row>
    <row r="13" spans="2:8" s="14" customFormat="1" x14ac:dyDescent="0.25">
      <c r="D13" s="23" t="s">
        <v>280</v>
      </c>
      <c r="E13" s="528" t="s">
        <v>209</v>
      </c>
      <c r="F13" s="770"/>
      <c r="G13" s="156" t="s">
        <v>281</v>
      </c>
    </row>
    <row r="14" spans="2:8" s="14" customFormat="1" x14ac:dyDescent="0.25">
      <c r="B14" s="71" t="s">
        <v>282</v>
      </c>
      <c r="C14" s="20"/>
      <c r="D14" s="26" t="s">
        <v>283</v>
      </c>
      <c r="E14" s="529" t="s">
        <v>720</v>
      </c>
      <c r="F14" s="771"/>
      <c r="G14" s="26" t="s">
        <v>285</v>
      </c>
    </row>
    <row r="15" spans="2:8" s="14" customFormat="1" x14ac:dyDescent="0.25">
      <c r="B15" s="27" t="str">
        <f>CONCATENATE("Computation to Determine Limit for ",H1,"")</f>
        <v>Computation to Determine Limit for 2013</v>
      </c>
      <c r="C15" s="28"/>
      <c r="D15" s="23">
        <v>2</v>
      </c>
      <c r="E15" s="19"/>
      <c r="F15" s="19"/>
      <c r="G15" s="256"/>
    </row>
    <row r="16" spans="2:8" s="14" customFormat="1" x14ac:dyDescent="0.25">
      <c r="B16" s="27" t="s">
        <v>836</v>
      </c>
      <c r="C16" s="28"/>
      <c r="D16" s="161">
        <v>3</v>
      </c>
      <c r="E16" s="19"/>
      <c r="F16" s="19"/>
      <c r="G16" s="257"/>
    </row>
    <row r="17" spans="2:7" s="14" customFormat="1" x14ac:dyDescent="0.25">
      <c r="B17" s="64" t="s">
        <v>169</v>
      </c>
      <c r="C17" s="28"/>
      <c r="D17" s="161">
        <v>4</v>
      </c>
      <c r="E17" s="19"/>
      <c r="F17" s="19"/>
      <c r="G17" s="257"/>
    </row>
    <row r="18" spans="2:7" s="14" customFormat="1" x14ac:dyDescent="0.25">
      <c r="B18" s="64" t="s">
        <v>141</v>
      </c>
      <c r="C18" s="28"/>
      <c r="D18" s="161">
        <v>5</v>
      </c>
      <c r="E18" s="19"/>
      <c r="F18" s="19"/>
      <c r="G18" s="257"/>
    </row>
    <row r="19" spans="2:7" s="14" customFormat="1" x14ac:dyDescent="0.25">
      <c r="B19" s="64" t="str">
        <f>IF(inputPrYr!E18="","","Computation to Determine State Library Grant")</f>
        <v/>
      </c>
      <c r="C19" s="28"/>
      <c r="D19" s="161" t="str">
        <f>IF(inputPrYr!D18="","",'Library Grant'!F40)</f>
        <v/>
      </c>
      <c r="E19" s="19"/>
      <c r="F19" s="19"/>
      <c r="G19" s="257"/>
    </row>
    <row r="20" spans="2:7" s="14" customFormat="1" x14ac:dyDescent="0.25">
      <c r="B20" s="258" t="s">
        <v>286</v>
      </c>
      <c r="C20" s="146" t="s">
        <v>287</v>
      </c>
      <c r="D20" s="179"/>
      <c r="G20" s="259"/>
    </row>
    <row r="21" spans="2:7" s="14" customFormat="1" x14ac:dyDescent="0.25">
      <c r="B21" s="85" t="str">
        <f>inputPrYr!B16</f>
        <v>General</v>
      </c>
      <c r="C21" s="260" t="str">
        <f>inputPrYr!C16</f>
        <v>79-1962</v>
      </c>
      <c r="D21" s="261">
        <f>IF(gen!C61&gt;0,gen!C61,"  ")</f>
        <v>6</v>
      </c>
      <c r="E21" s="732">
        <f>IF(gen!$E$50&lt;&gt;0,gen!$E$50,"  ")</f>
        <v>1150</v>
      </c>
      <c r="F21" s="732">
        <f>IF(gen!$E$57&lt;&gt;0,gen!$E$57,0)</f>
        <v>1079</v>
      </c>
      <c r="G21" s="733">
        <f>IF(AND(gen!E57=0,$C$40&gt;=0)," ",IF(AND(F21&gt;0,$C$40=0)," ",IF(AND(F21&gt;0,$C$40&gt;0),ROUND(F21/$C$40*1000,3))))</f>
        <v>1.579</v>
      </c>
    </row>
    <row r="22" spans="2:7" s="14" customFormat="1" x14ac:dyDescent="0.25">
      <c r="B22" s="85" t="s">
        <v>300</v>
      </c>
      <c r="C22" s="260" t="str">
        <f>inputPrYr!C17</f>
        <v>10-113</v>
      </c>
      <c r="D22" s="261" t="str">
        <f>IF('DebtSvs-Library'!C83&gt;0,'DebtSvs-Library'!C83,"  ")</f>
        <v xml:space="preserve">  </v>
      </c>
      <c r="E22" s="732" t="str">
        <f>IF('DebtSvs-Library'!E33&lt;&gt;0,'DebtSvs-Library'!E33,"  ")</f>
        <v xml:space="preserve">  </v>
      </c>
      <c r="F22" s="732" t="str">
        <f>IF('DebtSvs-Library'!E40&lt;&gt;0,'DebtSvs-Library'!E40,"  ")</f>
        <v xml:space="preserve">  </v>
      </c>
      <c r="G22" s="733" t="str">
        <f>IF(AND('DebtSvs-Library'!E40=0,$C$40&gt;=0)," ",IF(AND(F22&gt;0,$C$40=0)," ",IF(AND(F22&gt;0,$C$40&gt;0),ROUND(F22/$C$40*1000,3))))</f>
        <v xml:space="preserve"> </v>
      </c>
    </row>
    <row r="23" spans="2:7" s="14" customFormat="1" x14ac:dyDescent="0.25">
      <c r="B23" s="85" t="str">
        <f>inputPrYr!B18</f>
        <v>Library</v>
      </c>
      <c r="C23" s="260" t="str">
        <f>inputPrYr!C18</f>
        <v>12-1220</v>
      </c>
      <c r="D23" s="261" t="str">
        <f>IF('DebtSvs-Library'!C83&gt;0,'DebtSvs-Library'!C83,"  ")</f>
        <v xml:space="preserve">  </v>
      </c>
      <c r="E23" s="732" t="str">
        <f>IF('DebtSvs-Library'!E73&lt;&gt;0,'DebtSvs-Library'!E73,"  ")</f>
        <v xml:space="preserve">  </v>
      </c>
      <c r="F23" s="732" t="str">
        <f>IF('DebtSvs-Library'!E80&lt;&gt;0,'DebtSvs-Library'!E80,"  ")</f>
        <v xml:space="preserve">  </v>
      </c>
      <c r="G23" s="733" t="str">
        <f>IF(AND('DebtSvs-Library'!E80=0,$C$40&gt;=0)," ",IF(AND(F23&gt;0,$C$40=0)," ",IF(AND(F23&gt;0,$C$40&gt;0),ROUND(F23/$C$40*1000,3))))</f>
        <v xml:space="preserve"> </v>
      </c>
    </row>
    <row r="24" spans="2:7" s="14" customFormat="1" x14ac:dyDescent="0.25">
      <c r="B24" s="85" t="str">
        <f>IF(inputPrYr!$B19&gt;"  ",inputPrYr!$B19,"  ")</f>
        <v>Road</v>
      </c>
      <c r="C24" s="260" t="str">
        <f>IF(inputPrYr!C19&gt;0,inputPrYr!C19,"  ")</f>
        <v>68-518c</v>
      </c>
      <c r="D24" s="261" t="str">
        <f>IF(road!C67&gt;0,road!C67,"  ")</f>
        <v xml:space="preserve">  </v>
      </c>
      <c r="E24" s="732">
        <f>IF(road!$E$43&lt;&gt;0,road!$E$43,"  ")</f>
        <v>19751</v>
      </c>
      <c r="F24" s="732">
        <f>IF(road!$E$50&lt;&gt;0,road!$E$50,"  ")</f>
        <v>11188</v>
      </c>
      <c r="G24" s="733">
        <f>IF(AND(road!E50=0,$C$40&gt;=0)," ",IF(AND(F24&gt;0,$C$40=0)," ",IF(AND(F24&gt;0,$C$40&gt;0),ROUND(F24/$C$40*1000,3))))</f>
        <v>16.376000000000001</v>
      </c>
    </row>
    <row r="25" spans="2:7" s="14" customFormat="1" x14ac:dyDescent="0.25">
      <c r="B25" s="85" t="str">
        <f>IF(inputPrYr!$B20&gt;"  ",inputPrYr!$B20,"  ")</f>
        <v>Weed</v>
      </c>
      <c r="C25" s="260" t="str">
        <f>IF(inputPrYr!C20&gt;0,inputPrYr!C20,"  ")</f>
        <v xml:space="preserve">  </v>
      </c>
      <c r="D25" s="261" t="str">
        <f>IF(levypage9!C81&gt;0,levypage9!C81,"  ")</f>
        <v xml:space="preserve">  </v>
      </c>
      <c r="E25" s="732">
        <f>IF(levypage9!$E$33&lt;&gt;0,levypage9!$E$33,"  ")</f>
        <v>450</v>
      </c>
      <c r="F25" s="732">
        <f>IF(levypage9!$E$40&lt;&gt;0,levypage9!$E$40,"  ")</f>
        <v>418</v>
      </c>
      <c r="G25" s="733">
        <f>IF(AND(levypage9!E40=0,$C$40&gt;=0)," ",IF(AND(F25&gt;0,$C$40=0)," ",IF(AND(F25&gt;0,$C$40&gt;0),ROUND(F25/$C$40*1000,3))))</f>
        <v>0.61199999999999999</v>
      </c>
    </row>
    <row r="26" spans="2:7" s="14" customFormat="1" x14ac:dyDescent="0.25">
      <c r="B26" s="85" t="str">
        <f>IF(inputPrYr!$B21&gt;"  ",inputPrYr!$B21,"  ")</f>
        <v xml:space="preserve">  </v>
      </c>
      <c r="C26" s="260" t="str">
        <f>IF(inputPrYr!C21&gt;0,inputPrYr!C21,"  ")</f>
        <v xml:space="preserve">  </v>
      </c>
      <c r="D26" s="261" t="str">
        <f>IF(levypage9!C81&gt;0,levypage9!C81,"  ")</f>
        <v xml:space="preserve">  </v>
      </c>
      <c r="E26" s="732" t="str">
        <f>IF(levypage9!$E$73&lt;&gt;0,levypage9!$E$73,"  ")</f>
        <v xml:space="preserve">  </v>
      </c>
      <c r="F26" s="732" t="str">
        <f>IF(levypage9!$E$80&lt;&gt;0,levypage9!$E$80,"  ")</f>
        <v xml:space="preserve">  </v>
      </c>
      <c r="G26" s="733" t="str">
        <f>IF(AND(levypage9!E80=0,$C$40&gt;=0)," ",IF(AND(F26&gt;0,$C$40=0)," ",IF(AND(F26&gt;0,$C$40&gt;0),ROUND(F26/$C$40*1000,3))))</f>
        <v xml:space="preserve"> </v>
      </c>
    </row>
    <row r="27" spans="2:7" s="14" customFormat="1" x14ac:dyDescent="0.25">
      <c r="B27" s="85" t="str">
        <f>IF(inputPrYr!$B22&gt;"  ",inputPrYr!$B22,"  ")</f>
        <v xml:space="preserve">  </v>
      </c>
      <c r="C27" s="260" t="str">
        <f>IF(inputPrYr!C22&gt;0,inputPrYr!C22,"  ")</f>
        <v xml:space="preserve">  </v>
      </c>
      <c r="D27" s="261" t="str">
        <f>IF(levypage10!C81&gt;0,levypage10!C81,"  ")</f>
        <v xml:space="preserve">  </v>
      </c>
      <c r="E27" s="732" t="str">
        <f>IF(levypage10!$E$33&lt;&gt;0,levypage10!$E$33,"  ")</f>
        <v xml:space="preserve">  </v>
      </c>
      <c r="F27" s="732" t="str">
        <f>IF(levypage10!$E$40&lt;&gt;0,levypage10!$E$40,"  ")</f>
        <v xml:space="preserve">  </v>
      </c>
      <c r="G27" s="733" t="str">
        <f>IF(AND(levypage10!$E$40=0,$C$40&gt;=0)," ",IF(AND(F27&gt;0,$C$40=0)," ",IF(AND(F27&gt;0,$C$40&gt;0),ROUND(F27/$C$40*1000,3))))</f>
        <v xml:space="preserve"> </v>
      </c>
    </row>
    <row r="28" spans="2:7" s="14" customFormat="1" x14ac:dyDescent="0.25">
      <c r="B28" s="85" t="str">
        <f>IF(inputPrYr!$B23&gt;"  ",inputPrYr!$B23,"  ")</f>
        <v xml:space="preserve">  </v>
      </c>
      <c r="C28" s="260" t="str">
        <f>IF(inputPrYr!C23&gt;0,inputPrYr!C23,"  ")</f>
        <v xml:space="preserve">  </v>
      </c>
      <c r="D28" s="261" t="str">
        <f>IF(levypage10!C81&gt;0,levypage10!C81,"  ")</f>
        <v xml:space="preserve">  </v>
      </c>
      <c r="E28" s="732" t="str">
        <f>IF(levypage10!$E$73&lt;&gt;0,levypage10!$E$73,"  ")</f>
        <v xml:space="preserve">  </v>
      </c>
      <c r="F28" s="732" t="str">
        <f>IF(levypage10!$E$80&lt;&gt;0,levypage10!$E$80,"  ")</f>
        <v xml:space="preserve">  </v>
      </c>
      <c r="G28" s="733" t="str">
        <f>IF(AND(levypage10!$E$80=0,$C$40&gt;=0)," ",IF(AND(F28&gt;0,$C$40=0)," ",IF(AND(F28&gt;0,$C$40&gt;0),ROUND(F28/$C$40*1000,3))))</f>
        <v xml:space="preserve"> </v>
      </c>
    </row>
    <row r="29" spans="2:7" s="14" customFormat="1" x14ac:dyDescent="0.25">
      <c r="B29" s="85" t="str">
        <f>IF(inputPrYr!$B24&gt;"  ",inputPrYr!$B24,"  ")</f>
        <v xml:space="preserve">  </v>
      </c>
      <c r="C29" s="260" t="str">
        <f>IF(inputPrYr!C24&gt;0,inputPrYr!C24,"  ")</f>
        <v xml:space="preserve">  </v>
      </c>
      <c r="D29" s="261" t="str">
        <f>IF(levypage11!C81&gt;0,levypage11!C81,"  ")</f>
        <v xml:space="preserve">  </v>
      </c>
      <c r="E29" s="732" t="str">
        <f>IF(levypage11!$E$33&lt;&gt;0,levypage11!$E$33,"  ")</f>
        <v xml:space="preserve">  </v>
      </c>
      <c r="F29" s="732" t="str">
        <f>IF(levypage11!$E$40&lt;&gt;0,levypage11!$E$40,"  ")</f>
        <v xml:space="preserve">  </v>
      </c>
      <c r="G29" s="733" t="str">
        <f>IF(AND(levypage11!$E$40=0,$C$40&gt;=0)," ",IF(AND(F29&gt;0,$C$40=0)," ",IF(AND(F29&gt;0,$C$40&gt;0),ROUND(F29/$C$40*1000,3))))</f>
        <v xml:space="preserve"> </v>
      </c>
    </row>
    <row r="30" spans="2:7" s="14" customFormat="1" x14ac:dyDescent="0.25">
      <c r="B30" s="85" t="str">
        <f>IF(inputPrYr!$B25&gt;"  ",inputPrYr!$B25,"  ")</f>
        <v xml:space="preserve">  </v>
      </c>
      <c r="C30" s="260" t="str">
        <f>IF(inputPrYr!C25&gt;0,inputPrYr!C25,"  ")</f>
        <v xml:space="preserve">  </v>
      </c>
      <c r="D30" s="261" t="str">
        <f>IF(levypage11!C81&gt;0,levypage11!C81,"  ")</f>
        <v xml:space="preserve">  </v>
      </c>
      <c r="E30" s="732" t="str">
        <f>IF(levypage11!$E$73&lt;&gt;0,levypage11!$E$73,"  ")</f>
        <v xml:space="preserve">  </v>
      </c>
      <c r="F30" s="732" t="str">
        <f>IF(levypage11!$E$80&lt;&gt;0,levypage11!$E$80,"  ")</f>
        <v xml:space="preserve">  </v>
      </c>
      <c r="G30" s="733" t="str">
        <f>IF(AND(levypage11!$E$80=0,$C$40&gt;=0)," ",IF(AND(F30&gt;0,$C$40=0)," ",IF(AND(F30&gt;0,$C$40&gt;0),ROUND(F30/$C$40*1000,3))))</f>
        <v xml:space="preserve"> </v>
      </c>
    </row>
    <row r="31" spans="2:7" s="14" customFormat="1" x14ac:dyDescent="0.25">
      <c r="B31" s="262" t="str">
        <f>IF(inputPrYr!$B29&gt;"  ",inputPrYr!$B29,"  ")</f>
        <v xml:space="preserve">  </v>
      </c>
      <c r="C31" s="263"/>
      <c r="D31" s="264" t="str">
        <f>IF(nolevypage12!$C$65&gt;0,nolevypage12!$C$65,"  ")</f>
        <v xml:space="preserve">  </v>
      </c>
      <c r="E31" s="732" t="str">
        <f>IF(nolevypage12!$E$28&lt;&gt;0,nolevypage12!$E$28,"  ")</f>
        <v xml:space="preserve">  </v>
      </c>
      <c r="F31" s="732"/>
      <c r="G31" s="733"/>
    </row>
    <row r="32" spans="2:7" s="14" customFormat="1" x14ac:dyDescent="0.25">
      <c r="B32" s="265" t="str">
        <f>IF(inputPrYr!$B30&gt;"  ",inputPrYr!$B30,"  ")</f>
        <v xml:space="preserve">  </v>
      </c>
      <c r="C32" s="25"/>
      <c r="D32" s="264" t="str">
        <f>IF(nolevypage12!$C$65&gt;0,nolevypage12!$C$65,"  ")</f>
        <v xml:space="preserve">  </v>
      </c>
      <c r="E32" s="732" t="str">
        <f>IF(nolevypage12!$E$59&lt;&gt;0,nolevypage12!$E$59,"  ")</f>
        <v xml:space="preserve">  </v>
      </c>
      <c r="F32" s="732"/>
      <c r="G32" s="733"/>
    </row>
    <row r="33" spans="2:8" s="14" customFormat="1" x14ac:dyDescent="0.25">
      <c r="B33" s="262" t="str">
        <f>IF((inputPrYr!$B34&gt;"  "),(nonbud!$A3),"  ")</f>
        <v xml:space="preserve">  </v>
      </c>
      <c r="C33" s="25"/>
      <c r="D33" s="264" t="str">
        <f>IF(nonbud!$F$33&gt;0,nonbud!$F$33,"  ")</f>
        <v xml:space="preserve">  </v>
      </c>
      <c r="E33" s="732"/>
      <c r="F33" s="732"/>
      <c r="G33" s="733"/>
    </row>
    <row r="34" spans="2:8" s="14" customFormat="1" x14ac:dyDescent="0.25">
      <c r="B34" s="27" t="s">
        <v>288</v>
      </c>
      <c r="C34" s="263"/>
      <c r="D34" s="264" t="str">
        <f>IF(road!C67&gt;0,road!C67,"  ")</f>
        <v xml:space="preserve">  </v>
      </c>
      <c r="E34" s="236"/>
      <c r="F34" s="236"/>
      <c r="G34" s="733"/>
    </row>
    <row r="35" spans="2:8" s="14" customFormat="1" ht="16.5" thickBot="1" x14ac:dyDescent="0.3">
      <c r="B35" s="266" t="s">
        <v>289</v>
      </c>
      <c r="C35" s="267"/>
      <c r="D35" s="159" t="s">
        <v>290</v>
      </c>
      <c r="E35" s="734">
        <f>SUM(E21:E30)</f>
        <v>21351</v>
      </c>
      <c r="F35" s="734">
        <f>SUM(F21:F30)</f>
        <v>12685</v>
      </c>
      <c r="G35" s="735">
        <f>IF(SUM(G21:G30)&gt;0,SUM(G21:G30),"")</f>
        <v>18.567</v>
      </c>
    </row>
    <row r="36" spans="2:8" s="14" customFormat="1" ht="16.5" thickTop="1" x14ac:dyDescent="0.25">
      <c r="B36" s="27" t="s">
        <v>168</v>
      </c>
      <c r="C36" s="259"/>
      <c r="D36" s="264">
        <f>summ!D49</f>
        <v>0</v>
      </c>
    </row>
    <row r="37" spans="2:8" s="14" customFormat="1" x14ac:dyDescent="0.25">
      <c r="B37" s="27" t="s">
        <v>215</v>
      </c>
      <c r="C37" s="28"/>
      <c r="D37" s="264" t="str">
        <f>IF(nhood!C38&gt;0,nhood!C38,"")</f>
        <v/>
      </c>
      <c r="E37" s="268" t="s">
        <v>157</v>
      </c>
      <c r="F37" s="269" t="str">
        <f>IF(F35&gt;computation!J34,"Yes","No")</f>
        <v>No</v>
      </c>
    </row>
    <row r="38" spans="2:8" s="14" customFormat="1" x14ac:dyDescent="0.25">
      <c r="B38" s="27" t="s">
        <v>156</v>
      </c>
      <c r="C38" s="28"/>
      <c r="D38" s="264" t="str">
        <f>IF(Resolution!D50&gt;0,Resolution!D50,"")</f>
        <v/>
      </c>
      <c r="E38" s="270"/>
      <c r="F38" s="271"/>
    </row>
    <row r="39" spans="2:8" s="14" customFormat="1" x14ac:dyDescent="0.25">
      <c r="B39" s="64" t="s">
        <v>97</v>
      </c>
      <c r="C39" s="783" t="s">
        <v>124</v>
      </c>
      <c r="D39" s="784"/>
      <c r="E39" s="272"/>
      <c r="G39" s="22" t="s">
        <v>291</v>
      </c>
    </row>
    <row r="40" spans="2:8" s="14" customFormat="1" x14ac:dyDescent="0.25">
      <c r="B40" s="27" t="s">
        <v>98</v>
      </c>
      <c r="C40" s="785">
        <v>683213</v>
      </c>
      <c r="D40" s="786"/>
      <c r="E40" s="273"/>
      <c r="G40" s="22"/>
    </row>
    <row r="41" spans="2:8" s="14" customFormat="1" x14ac:dyDescent="0.25">
      <c r="B41" s="274"/>
      <c r="C41" s="787" t="str">
        <f>CONCATENATE("Nov. 1, ",H1-1," Valuation")</f>
        <v>Nov. 1, 2012 Valuation</v>
      </c>
      <c r="D41" s="788"/>
      <c r="E41" s="272"/>
      <c r="G41" s="22"/>
    </row>
    <row r="42" spans="2:8" s="14" customFormat="1" x14ac:dyDescent="0.25">
      <c r="B42" s="274" t="s">
        <v>292</v>
      </c>
      <c r="E42" s="19"/>
      <c r="G42" s="22"/>
    </row>
    <row r="43" spans="2:8" s="14" customFormat="1" x14ac:dyDescent="0.25">
      <c r="B43" s="275" t="s">
        <v>946</v>
      </c>
      <c r="C43" s="275"/>
      <c r="E43" s="736" t="s">
        <v>853</v>
      </c>
      <c r="F43" s="736"/>
      <c r="G43" s="736"/>
    </row>
    <row r="44" spans="2:8" s="14" customFormat="1" x14ac:dyDescent="0.25">
      <c r="B44" s="276" t="s">
        <v>947</v>
      </c>
      <c r="C44" s="276"/>
      <c r="E44" s="737"/>
      <c r="F44" s="737"/>
      <c r="G44" s="737"/>
    </row>
    <row r="45" spans="2:8" s="14" customFormat="1" x14ac:dyDescent="0.25">
      <c r="B45" s="274" t="s">
        <v>145</v>
      </c>
      <c r="E45" s="736" t="s">
        <v>853</v>
      </c>
      <c r="F45" s="736"/>
      <c r="G45" s="736"/>
    </row>
    <row r="46" spans="2:8" s="14" customFormat="1" x14ac:dyDescent="0.25">
      <c r="B46" s="275" t="s">
        <v>948</v>
      </c>
      <c r="C46" s="275"/>
      <c r="D46" s="22"/>
      <c r="E46" s="736"/>
      <c r="F46" s="736"/>
      <c r="G46" s="736"/>
    </row>
    <row r="47" spans="2:8" s="14" customFormat="1" x14ac:dyDescent="0.25">
      <c r="B47" s="276" t="s">
        <v>949</v>
      </c>
      <c r="C47" s="276"/>
      <c r="D47" s="22"/>
      <c r="E47" s="736" t="s">
        <v>853</v>
      </c>
      <c r="F47" s="738"/>
      <c r="G47" s="738"/>
    </row>
    <row r="48" spans="2:8" x14ac:dyDescent="0.25">
      <c r="B48" s="274" t="s">
        <v>837</v>
      </c>
      <c r="C48" s="14"/>
      <c r="D48" s="22"/>
      <c r="E48" s="739"/>
      <c r="F48" s="736"/>
      <c r="G48" s="736"/>
      <c r="H48" s="90"/>
    </row>
    <row r="49" spans="2:8" x14ac:dyDescent="0.25">
      <c r="B49" s="275"/>
      <c r="C49" s="275"/>
      <c r="D49" s="22"/>
      <c r="E49" s="736" t="s">
        <v>853</v>
      </c>
      <c r="F49" s="738"/>
      <c r="G49" s="738"/>
      <c r="H49" s="90"/>
    </row>
    <row r="50" spans="2:8" x14ac:dyDescent="0.25">
      <c r="B50" s="66"/>
      <c r="C50" s="14"/>
      <c r="D50" s="22"/>
      <c r="E50" s="739"/>
      <c r="F50" s="736"/>
      <c r="G50" s="736"/>
      <c r="H50" s="90"/>
    </row>
    <row r="51" spans="2:8" x14ac:dyDescent="0.25">
      <c r="B51" s="537" t="s">
        <v>149</v>
      </c>
      <c r="C51" s="279">
        <f>H1-1</f>
        <v>2012</v>
      </c>
      <c r="D51" s="22"/>
      <c r="E51" s="736" t="s">
        <v>853</v>
      </c>
      <c r="F51" s="738"/>
      <c r="G51" s="738"/>
      <c r="H51" s="90"/>
    </row>
    <row r="52" spans="2:8" x14ac:dyDescent="0.25">
      <c r="B52" s="14"/>
      <c r="C52" s="14"/>
      <c r="D52" s="14"/>
      <c r="E52" s="736"/>
      <c r="F52" s="739"/>
      <c r="G52" s="736"/>
      <c r="H52" s="90"/>
    </row>
    <row r="53" spans="2:8" x14ac:dyDescent="0.25">
      <c r="B53" s="527"/>
      <c r="C53" s="14"/>
      <c r="D53" s="14"/>
      <c r="E53" s="736" t="s">
        <v>853</v>
      </c>
      <c r="F53" s="736"/>
      <c r="G53" s="736"/>
      <c r="H53" s="90"/>
    </row>
    <row r="54" spans="2:8" x14ac:dyDescent="0.25">
      <c r="B54" s="49" t="s">
        <v>294</v>
      </c>
      <c r="C54" s="14"/>
      <c r="D54" s="14"/>
      <c r="E54" s="781" t="s">
        <v>293</v>
      </c>
      <c r="F54" s="782"/>
      <c r="G54" s="782"/>
    </row>
    <row r="55" spans="2:8" x14ac:dyDescent="0.25">
      <c r="B55" s="14"/>
      <c r="C55" s="14"/>
      <c r="D55" s="14"/>
      <c r="E55" s="14"/>
      <c r="F55" s="14"/>
      <c r="G55" s="14"/>
    </row>
    <row r="56" spans="2:8" x14ac:dyDescent="0.25">
      <c r="B56" s="14"/>
      <c r="C56" s="14"/>
      <c r="D56" s="14"/>
      <c r="E56" s="14"/>
      <c r="F56" s="14"/>
      <c r="G56" s="14"/>
    </row>
    <row r="57" spans="2:8" x14ac:dyDescent="0.25">
      <c r="B57" s="14"/>
      <c r="C57" s="14"/>
      <c r="D57" s="14"/>
      <c r="E57" s="14"/>
      <c r="F57" s="14"/>
      <c r="G57" s="14"/>
    </row>
    <row r="58" spans="2:8" x14ac:dyDescent="0.25">
      <c r="B58" s="278" t="s">
        <v>0</v>
      </c>
      <c r="C58" s="277"/>
      <c r="D58" s="277"/>
      <c r="E58" s="277"/>
      <c r="F58" s="394"/>
      <c r="G58" s="14"/>
    </row>
    <row r="59" spans="2:8" x14ac:dyDescent="0.25">
      <c r="B59" s="278" t="s">
        <v>1</v>
      </c>
      <c r="C59" s="277"/>
      <c r="D59" s="277"/>
      <c r="E59" s="277"/>
      <c r="F59" s="394"/>
      <c r="G59" s="14"/>
    </row>
    <row r="60" spans="2:8" x14ac:dyDescent="0.25">
      <c r="B60" s="278"/>
      <c r="C60" s="277"/>
      <c r="D60" s="277"/>
      <c r="E60" s="277"/>
      <c r="F60" s="394"/>
      <c r="G60" s="14"/>
    </row>
    <row r="61" spans="2:8" x14ac:dyDescent="0.25">
      <c r="B61" s="14"/>
      <c r="C61" s="14"/>
      <c r="D61" s="14"/>
      <c r="E61" s="14"/>
      <c r="F61" s="14"/>
      <c r="G61" s="14"/>
    </row>
    <row r="62" spans="2:8" x14ac:dyDescent="0.25">
      <c r="B62" s="544"/>
      <c r="C62" s="545"/>
      <c r="D62" s="545"/>
      <c r="E62" s="545"/>
      <c r="F62" s="545"/>
      <c r="G62" s="545"/>
    </row>
    <row r="63" spans="2:8" x14ac:dyDescent="0.25">
      <c r="B63" s="544"/>
      <c r="C63" s="545"/>
      <c r="D63" s="545"/>
      <c r="E63" s="545"/>
      <c r="F63" s="545"/>
      <c r="G63" s="545"/>
    </row>
    <row r="64" spans="2:8" x14ac:dyDescent="0.25">
      <c r="B64" s="544"/>
      <c r="C64" s="545"/>
      <c r="D64" s="545"/>
      <c r="E64" s="546"/>
      <c r="F64" s="547"/>
      <c r="G64" s="545"/>
    </row>
  </sheetData>
  <sheetProtection sheet="1"/>
  <mergeCells count="14">
    <mergeCell ref="E54:G54"/>
    <mergeCell ref="C39:D39"/>
    <mergeCell ref="C40:D40"/>
    <mergeCell ref="C41:D41"/>
    <mergeCell ref="B1:G1"/>
    <mergeCell ref="F12:F14"/>
    <mergeCell ref="E11:G11"/>
    <mergeCell ref="B6:G6"/>
    <mergeCell ref="B7:G7"/>
    <mergeCell ref="B3:H3"/>
    <mergeCell ref="B8:G8"/>
    <mergeCell ref="B9:G9"/>
    <mergeCell ref="B5:G5"/>
    <mergeCell ref="B4:G4"/>
  </mergeCells>
  <phoneticPr fontId="0" type="noConversion"/>
  <conditionalFormatting sqref="F21">
    <cfRule type="cellIs" dxfId="128" priority="1" stopIfTrue="1" operator="equal">
      <formula>0</formula>
    </cfRule>
  </conditionalFormatting>
  <pageMargins left="0.4" right="0.4" top="0.83" bottom="0.85" header="0.3" footer="0.6"/>
  <pageSetup scale="79" orientation="portrait" blackAndWhite="1" horizontalDpi="4294967292" verticalDpi="96" r:id="rId1"/>
  <headerFooter alignWithMargins="0">
    <oddHeader xml:space="preserve">&amp;RState of Kansas
Township
</oddHeader>
    <oddFooter>&amp;CPage No. 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zoomScale="80" workbookViewId="0">
      <selection activeCell="J33" sqref="J33"/>
    </sheetView>
  </sheetViews>
  <sheetFormatPr defaultRowHeight="15.75" x14ac:dyDescent="0.25"/>
  <cols>
    <col min="1" max="2" width="3" style="80" customWidth="1"/>
    <col min="3" max="3" width="28.19921875" style="80" customWidth="1"/>
    <col min="4" max="4" width="2.09765625" style="80" customWidth="1"/>
    <col min="5" max="5" width="15.69921875" style="80" customWidth="1"/>
    <col min="6" max="6" width="1.796875" style="80" customWidth="1"/>
    <col min="7" max="7" width="15.69921875" style="80" customWidth="1"/>
    <col min="8" max="8" width="1.69921875" style="80" customWidth="1"/>
    <col min="9" max="9" width="1.59765625" style="80" customWidth="1"/>
    <col min="10" max="10" width="15.69921875" style="80" customWidth="1"/>
    <col min="11" max="16384" width="8.796875" style="80"/>
  </cols>
  <sheetData>
    <row r="1" spans="1:10" x14ac:dyDescent="0.25">
      <c r="A1" s="14"/>
      <c r="B1" s="14"/>
      <c r="C1" s="13" t="str">
        <f>inputPrYr!D2</f>
        <v>Liberty Township</v>
      </c>
      <c r="D1" s="14"/>
      <c r="E1" s="14"/>
      <c r="F1" s="14"/>
      <c r="G1" s="14"/>
      <c r="H1" s="14"/>
      <c r="I1" s="14"/>
      <c r="J1" s="14">
        <f>inputPrYr!D5</f>
        <v>2013</v>
      </c>
    </row>
    <row r="2" spans="1:10" x14ac:dyDescent="0.25">
      <c r="A2" s="14"/>
      <c r="B2" s="14"/>
      <c r="C2" s="14"/>
      <c r="D2" s="14"/>
      <c r="E2" s="14"/>
      <c r="F2" s="14"/>
      <c r="G2" s="14"/>
      <c r="H2" s="14"/>
      <c r="I2" s="14"/>
      <c r="J2" s="14"/>
    </row>
    <row r="3" spans="1:10" x14ac:dyDescent="0.25">
      <c r="A3" s="790" t="str">
        <f>CONCATENATE("Computation to Determine Limit for ",J1,"")</f>
        <v>Computation to Determine Limit for 2013</v>
      </c>
      <c r="B3" s="768"/>
      <c r="C3" s="768"/>
      <c r="D3" s="768"/>
      <c r="E3" s="768"/>
      <c r="F3" s="768"/>
      <c r="G3" s="768"/>
      <c r="H3" s="768"/>
      <c r="I3" s="768"/>
      <c r="J3" s="768"/>
    </row>
    <row r="4" spans="1:10" x14ac:dyDescent="0.25">
      <c r="A4" s="14"/>
      <c r="B4" s="14"/>
      <c r="C4" s="14"/>
      <c r="D4" s="14"/>
      <c r="E4" s="768"/>
      <c r="F4" s="768"/>
      <c r="G4" s="768"/>
      <c r="H4" s="125"/>
      <c r="I4" s="14"/>
      <c r="J4" s="244" t="s">
        <v>79</v>
      </c>
    </row>
    <row r="5" spans="1:10" x14ac:dyDescent="0.25">
      <c r="A5" s="245" t="s">
        <v>80</v>
      </c>
      <c r="B5" s="14" t="str">
        <f>CONCATENATE("Total Tax Levy Amount in ",J1-1,"")</f>
        <v>Total Tax Levy Amount in 2012</v>
      </c>
      <c r="C5" s="14"/>
      <c r="D5" s="14"/>
      <c r="E5" s="55"/>
      <c r="F5" s="55"/>
      <c r="G5" s="55"/>
      <c r="H5" s="246" t="s">
        <v>15</v>
      </c>
      <c r="I5" s="55" t="s">
        <v>2</v>
      </c>
      <c r="J5" s="247">
        <f>inputPrYr!E26</f>
        <v>12685</v>
      </c>
    </row>
    <row r="6" spans="1:10" x14ac:dyDescent="0.25">
      <c r="A6" s="245" t="s">
        <v>81</v>
      </c>
      <c r="B6" s="14" t="str">
        <f>CONCATENATE("Debt Service Levy in ",J1-1,"")</f>
        <v>Debt Service Levy in 2012</v>
      </c>
      <c r="C6" s="14"/>
      <c r="D6" s="14"/>
      <c r="E6" s="55"/>
      <c r="F6" s="55"/>
      <c r="G6" s="55"/>
      <c r="H6" s="246" t="s">
        <v>82</v>
      </c>
      <c r="I6" s="55" t="s">
        <v>2</v>
      </c>
      <c r="J6" s="248">
        <f>inputPrYr!E17</f>
        <v>0</v>
      </c>
    </row>
    <row r="7" spans="1:10" x14ac:dyDescent="0.25">
      <c r="A7" s="245" t="s">
        <v>83</v>
      </c>
      <c r="B7" s="17" t="s">
        <v>107</v>
      </c>
      <c r="C7" s="14"/>
      <c r="D7" s="14"/>
      <c r="E7" s="55"/>
      <c r="F7" s="55"/>
      <c r="G7" s="55"/>
      <c r="H7" s="55"/>
      <c r="I7" s="55" t="s">
        <v>2</v>
      </c>
      <c r="J7" s="249">
        <f>J5-J6</f>
        <v>12685</v>
      </c>
    </row>
    <row r="8" spans="1:10" x14ac:dyDescent="0.25">
      <c r="A8" s="14"/>
      <c r="B8" s="14"/>
      <c r="C8" s="14"/>
      <c r="D8" s="14"/>
      <c r="E8" s="55"/>
      <c r="F8" s="55"/>
      <c r="G8" s="55"/>
      <c r="H8" s="55"/>
      <c r="I8" s="55"/>
      <c r="J8" s="55"/>
    </row>
    <row r="9" spans="1:10" x14ac:dyDescent="0.25">
      <c r="A9" s="14"/>
      <c r="B9" s="17" t="str">
        <f>CONCATENATE("",J1-1," Valuation Information for Valuation Adjustments:")</f>
        <v>2012 Valuation Information for Valuation Adjustments:</v>
      </c>
      <c r="C9" s="14"/>
      <c r="D9" s="14"/>
      <c r="E9" s="55"/>
      <c r="F9" s="55"/>
      <c r="G9" s="55"/>
      <c r="H9" s="55"/>
      <c r="I9" s="55"/>
      <c r="J9" s="55"/>
    </row>
    <row r="10" spans="1:10" x14ac:dyDescent="0.25">
      <c r="A10" s="14"/>
      <c r="B10" s="14"/>
      <c r="C10" s="17"/>
      <c r="D10" s="14"/>
      <c r="E10" s="55"/>
      <c r="F10" s="55"/>
      <c r="G10" s="55"/>
      <c r="H10" s="55"/>
      <c r="I10" s="55"/>
      <c r="J10" s="55"/>
    </row>
    <row r="11" spans="1:10" x14ac:dyDescent="0.25">
      <c r="A11" s="245" t="s">
        <v>84</v>
      </c>
      <c r="B11" s="17" t="str">
        <f>CONCATENATE("New Improvements for ",J1-1,":")</f>
        <v>New Improvements for 2012:</v>
      </c>
      <c r="C11" s="14"/>
      <c r="D11" s="14"/>
      <c r="E11" s="246"/>
      <c r="F11" s="246" t="s">
        <v>15</v>
      </c>
      <c r="G11" s="247">
        <f>inputOth!E8</f>
        <v>0</v>
      </c>
      <c r="H11" s="53"/>
      <c r="I11" s="55"/>
      <c r="J11" s="55"/>
    </row>
    <row r="12" spans="1:10" x14ac:dyDescent="0.25">
      <c r="A12" s="245"/>
      <c r="B12" s="245"/>
      <c r="C12" s="14"/>
      <c r="D12" s="14"/>
      <c r="E12" s="246"/>
      <c r="F12" s="246"/>
      <c r="G12" s="53"/>
      <c r="H12" s="53"/>
      <c r="I12" s="55"/>
      <c r="J12" s="55"/>
    </row>
    <row r="13" spans="1:10" x14ac:dyDescent="0.25">
      <c r="A13" s="245" t="s">
        <v>85</v>
      </c>
      <c r="B13" s="17" t="str">
        <f>CONCATENATE("Increase in Personal Property for ",J1-1,":")</f>
        <v>Increase in Personal Property for 2012:</v>
      </c>
      <c r="C13" s="14"/>
      <c r="D13" s="14"/>
      <c r="E13" s="246"/>
      <c r="F13" s="246"/>
      <c r="G13" s="53"/>
      <c r="H13" s="53"/>
      <c r="I13" s="55"/>
      <c r="J13" s="55"/>
    </row>
    <row r="14" spans="1:10" x14ac:dyDescent="0.25">
      <c r="A14" s="14"/>
      <c r="B14" s="14" t="s">
        <v>86</v>
      </c>
      <c r="C14" s="14" t="str">
        <f>CONCATENATE("Personal Property ",J1-1,"")</f>
        <v>Personal Property 2012</v>
      </c>
      <c r="D14" s="245" t="s">
        <v>15</v>
      </c>
      <c r="E14" s="247">
        <f>inputOth!E9</f>
        <v>11798</v>
      </c>
      <c r="F14" s="246"/>
      <c r="G14" s="55"/>
      <c r="H14" s="55"/>
      <c r="I14" s="53"/>
      <c r="J14" s="55"/>
    </row>
    <row r="15" spans="1:10" x14ac:dyDescent="0.25">
      <c r="A15" s="245"/>
      <c r="B15" s="14" t="s">
        <v>87</v>
      </c>
      <c r="C15" s="14" t="str">
        <f>CONCATENATE("Personal Property ",J1-2,"")</f>
        <v>Personal Property 2011</v>
      </c>
      <c r="D15" s="245" t="s">
        <v>82</v>
      </c>
      <c r="E15" s="249">
        <f>inputOth!E11</f>
        <v>154340</v>
      </c>
      <c r="F15" s="246"/>
      <c r="G15" s="53"/>
      <c r="H15" s="53"/>
      <c r="I15" s="55"/>
      <c r="J15" s="55"/>
    </row>
    <row r="16" spans="1:10" x14ac:dyDescent="0.25">
      <c r="A16" s="245"/>
      <c r="B16" s="14" t="s">
        <v>88</v>
      </c>
      <c r="C16" s="14" t="s">
        <v>108</v>
      </c>
      <c r="D16" s="14"/>
      <c r="E16" s="55"/>
      <c r="F16" s="55" t="s">
        <v>15</v>
      </c>
      <c r="G16" s="247">
        <f>IF(E14&gt;E15,E14-E15,0)</f>
        <v>0</v>
      </c>
      <c r="H16" s="53"/>
      <c r="I16" s="55"/>
      <c r="J16" s="55"/>
    </row>
    <row r="17" spans="1:10" x14ac:dyDescent="0.25">
      <c r="A17" s="245"/>
      <c r="B17" s="245"/>
      <c r="C17" s="14"/>
      <c r="D17" s="14"/>
      <c r="E17" s="55"/>
      <c r="F17" s="55"/>
      <c r="G17" s="53" t="s">
        <v>96</v>
      </c>
      <c r="H17" s="53"/>
      <c r="I17" s="55"/>
      <c r="J17" s="55"/>
    </row>
    <row r="18" spans="1:10" x14ac:dyDescent="0.25">
      <c r="A18" s="245" t="s">
        <v>89</v>
      </c>
      <c r="B18" s="17" t="str">
        <f>CONCATENATE("Valuation of Property that Changed in Use during ",J1-1,":")</f>
        <v>Valuation of Property that Changed in Use during 2012:</v>
      </c>
      <c r="C18" s="14"/>
      <c r="D18" s="14"/>
      <c r="E18" s="55"/>
      <c r="F18" s="246" t="s">
        <v>15</v>
      </c>
      <c r="G18" s="247">
        <f>inputOth!E10</f>
        <v>0</v>
      </c>
      <c r="H18" s="55"/>
      <c r="I18" s="55"/>
      <c r="J18" s="55"/>
    </row>
    <row r="19" spans="1:10" x14ac:dyDescent="0.25">
      <c r="A19" s="14" t="s">
        <v>278</v>
      </c>
      <c r="B19" s="14"/>
      <c r="C19" s="14"/>
      <c r="D19" s="245"/>
      <c r="E19" s="53"/>
      <c r="F19" s="53"/>
      <c r="G19" s="53"/>
      <c r="H19" s="55"/>
      <c r="I19" s="55"/>
      <c r="J19" s="55"/>
    </row>
    <row r="20" spans="1:10" x14ac:dyDescent="0.25">
      <c r="A20" s="245" t="s">
        <v>90</v>
      </c>
      <c r="B20" s="17" t="s">
        <v>109</v>
      </c>
      <c r="C20" s="14"/>
      <c r="D20" s="14"/>
      <c r="E20" s="55"/>
      <c r="F20" s="55"/>
      <c r="G20" s="247">
        <f>G11+G16+G18</f>
        <v>0</v>
      </c>
      <c r="H20" s="53"/>
      <c r="I20" s="55"/>
      <c r="J20" s="55"/>
    </row>
    <row r="21" spans="1:10" x14ac:dyDescent="0.25">
      <c r="A21" s="245"/>
      <c r="B21" s="245"/>
      <c r="C21" s="17"/>
      <c r="D21" s="14"/>
      <c r="E21" s="55"/>
      <c r="F21" s="55"/>
      <c r="G21" s="53"/>
      <c r="H21" s="53"/>
      <c r="I21" s="55"/>
      <c r="J21" s="55"/>
    </row>
    <row r="22" spans="1:10" x14ac:dyDescent="0.25">
      <c r="A22" s="245" t="s">
        <v>91</v>
      </c>
      <c r="B22" s="14" t="str">
        <f>CONCATENATE("Total Estimated Valuation July 1,",J1-1,"")</f>
        <v>Total Estimated Valuation July 1,2012</v>
      </c>
      <c r="C22" s="14"/>
      <c r="D22" s="14"/>
      <c r="E22" s="247">
        <f>inputOth!E7</f>
        <v>682005</v>
      </c>
      <c r="F22" s="55"/>
      <c r="G22" s="55"/>
      <c r="H22" s="55"/>
      <c r="I22" s="246"/>
      <c r="J22" s="55"/>
    </row>
    <row r="23" spans="1:10" x14ac:dyDescent="0.25">
      <c r="A23" s="245"/>
      <c r="B23" s="245"/>
      <c r="C23" s="14"/>
      <c r="D23" s="14"/>
      <c r="E23" s="53"/>
      <c r="F23" s="55"/>
      <c r="G23" s="55"/>
      <c r="H23" s="55"/>
      <c r="I23" s="246"/>
      <c r="J23" s="55"/>
    </row>
    <row r="24" spans="1:10" x14ac:dyDescent="0.25">
      <c r="A24" s="245" t="s">
        <v>92</v>
      </c>
      <c r="B24" s="17" t="s">
        <v>110</v>
      </c>
      <c r="C24" s="14"/>
      <c r="D24" s="14"/>
      <c r="E24" s="55"/>
      <c r="F24" s="55"/>
      <c r="G24" s="247">
        <f>E22-G20</f>
        <v>682005</v>
      </c>
      <c r="H24" s="53"/>
      <c r="I24" s="246"/>
      <c r="J24" s="55"/>
    </row>
    <row r="25" spans="1:10" x14ac:dyDescent="0.25">
      <c r="A25" s="245"/>
      <c r="B25" s="245"/>
      <c r="C25" s="17"/>
      <c r="D25" s="14"/>
      <c r="E25" s="14"/>
      <c r="F25" s="14"/>
      <c r="G25" s="250"/>
      <c r="H25" s="19"/>
      <c r="I25" s="245"/>
      <c r="J25" s="14"/>
    </row>
    <row r="26" spans="1:10" x14ac:dyDescent="0.25">
      <c r="A26" s="245" t="s">
        <v>93</v>
      </c>
      <c r="B26" s="14" t="s">
        <v>111</v>
      </c>
      <c r="C26" s="14"/>
      <c r="D26" s="14"/>
      <c r="E26" s="14"/>
      <c r="F26" s="14"/>
      <c r="G26" s="251">
        <f>IF(G20&gt;0,G20/G24,0)</f>
        <v>0</v>
      </c>
      <c r="H26" s="19"/>
      <c r="I26" s="14"/>
      <c r="J26" s="14"/>
    </row>
    <row r="27" spans="1:10" x14ac:dyDescent="0.25">
      <c r="A27" s="245"/>
      <c r="B27" s="245"/>
      <c r="C27" s="14"/>
      <c r="D27" s="14"/>
      <c r="E27" s="14"/>
      <c r="F27" s="14"/>
      <c r="G27" s="19"/>
      <c r="H27" s="19"/>
      <c r="I27" s="14"/>
      <c r="J27" s="14"/>
    </row>
    <row r="28" spans="1:10" x14ac:dyDescent="0.25">
      <c r="A28" s="245" t="s">
        <v>94</v>
      </c>
      <c r="B28" s="14" t="s">
        <v>112</v>
      </c>
      <c r="C28" s="14"/>
      <c r="D28" s="14"/>
      <c r="E28" s="14"/>
      <c r="F28" s="14"/>
      <c r="G28" s="19"/>
      <c r="H28" s="252" t="s">
        <v>15</v>
      </c>
      <c r="I28" s="14" t="s">
        <v>2</v>
      </c>
      <c r="J28" s="247">
        <f>ROUND(G26*J7,0)</f>
        <v>0</v>
      </c>
    </row>
    <row r="29" spans="1:10" x14ac:dyDescent="0.25">
      <c r="A29" s="245"/>
      <c r="B29" s="245"/>
      <c r="C29" s="14"/>
      <c r="D29" s="14"/>
      <c r="E29" s="14"/>
      <c r="F29" s="14"/>
      <c r="G29" s="19"/>
      <c r="H29" s="252"/>
      <c r="I29" s="14"/>
      <c r="J29" s="53"/>
    </row>
    <row r="30" spans="1:10" ht="16.5" thickBot="1" x14ac:dyDescent="0.3">
      <c r="A30" s="245" t="s">
        <v>95</v>
      </c>
      <c r="B30" s="17" t="s">
        <v>116</v>
      </c>
      <c r="C30" s="14"/>
      <c r="D30" s="14"/>
      <c r="E30" s="14"/>
      <c r="F30" s="14"/>
      <c r="G30" s="14"/>
      <c r="H30" s="14"/>
      <c r="I30" s="14" t="s">
        <v>2</v>
      </c>
      <c r="J30" s="253">
        <f>J7+J28</f>
        <v>12685</v>
      </c>
    </row>
    <row r="31" spans="1:10" ht="16.5" thickTop="1" x14ac:dyDescent="0.25">
      <c r="A31" s="14"/>
      <c r="B31" s="14"/>
      <c r="C31" s="14"/>
      <c r="D31" s="14"/>
      <c r="E31" s="14"/>
      <c r="F31" s="14"/>
      <c r="G31" s="14"/>
      <c r="H31" s="14"/>
      <c r="I31" s="14"/>
      <c r="J31" s="14"/>
    </row>
    <row r="32" spans="1:10" x14ac:dyDescent="0.25">
      <c r="A32" s="245" t="s">
        <v>114</v>
      </c>
      <c r="B32" s="17" t="str">
        <f>CONCATENATE("Debt Service Levy in this ",J1,"")</f>
        <v>Debt Service Levy in this 2013</v>
      </c>
      <c r="C32" s="14"/>
      <c r="D32" s="14"/>
      <c r="E32" s="14"/>
      <c r="F32" s="14"/>
      <c r="G32" s="14"/>
      <c r="H32" s="14"/>
      <c r="I32" s="14"/>
      <c r="J32" s="247">
        <f>'DebtSvs-Library'!E40</f>
        <v>0</v>
      </c>
    </row>
    <row r="33" spans="1:10" x14ac:dyDescent="0.25">
      <c r="A33" s="245"/>
      <c r="B33" s="17"/>
      <c r="C33" s="14"/>
      <c r="D33" s="14"/>
      <c r="E33" s="14"/>
      <c r="F33" s="14"/>
      <c r="G33" s="14"/>
      <c r="H33" s="14"/>
      <c r="I33" s="14"/>
      <c r="J33" s="19"/>
    </row>
    <row r="34" spans="1:10" ht="16.5" thickBot="1" x14ac:dyDescent="0.3">
      <c r="A34" s="245" t="s">
        <v>115</v>
      </c>
      <c r="B34" s="17" t="s">
        <v>117</v>
      </c>
      <c r="C34" s="14"/>
      <c r="D34" s="14"/>
      <c r="E34" s="14"/>
      <c r="F34" s="14"/>
      <c r="G34" s="14"/>
      <c r="H34" s="14"/>
      <c r="I34" s="14"/>
      <c r="J34" s="253">
        <f>J30+J32</f>
        <v>12685</v>
      </c>
    </row>
    <row r="35" spans="1:10" ht="16.5" thickTop="1" x14ac:dyDescent="0.25">
      <c r="A35" s="14"/>
      <c r="B35" s="14"/>
      <c r="C35" s="14"/>
      <c r="D35" s="14"/>
      <c r="E35" s="14"/>
      <c r="F35" s="14"/>
      <c r="G35" s="14"/>
      <c r="H35" s="14"/>
      <c r="I35" s="14"/>
      <c r="J35" s="14"/>
    </row>
    <row r="36" spans="1:10" s="254" customFormat="1" ht="18.75" x14ac:dyDescent="0.25">
      <c r="A36" s="789" t="str">
        <f>CONCATENATE("If the ",J1," budget includes tax levies exceeding the total on line 14, you must")</f>
        <v>If the 2013 budget includes tax levies exceeding the total on line 14, you must</v>
      </c>
      <c r="B36" s="789"/>
      <c r="C36" s="789"/>
      <c r="D36" s="789"/>
      <c r="E36" s="789"/>
      <c r="F36" s="789"/>
      <c r="G36" s="789"/>
      <c r="H36" s="789"/>
      <c r="I36" s="789"/>
      <c r="J36" s="789"/>
    </row>
    <row r="37" spans="1:10" s="254" customFormat="1" ht="18.75" x14ac:dyDescent="0.25">
      <c r="A37" s="789" t="s">
        <v>113</v>
      </c>
      <c r="B37" s="789"/>
      <c r="C37" s="789"/>
      <c r="D37" s="789"/>
      <c r="E37" s="789"/>
      <c r="F37" s="789"/>
      <c r="G37" s="789"/>
      <c r="H37" s="789"/>
      <c r="I37" s="789"/>
      <c r="J37" s="789"/>
    </row>
  </sheetData>
  <sheetProtection sheet="1"/>
  <mergeCells count="4">
    <mergeCell ref="A36:J36"/>
    <mergeCell ref="A37:J37"/>
    <mergeCell ref="A3:J3"/>
    <mergeCell ref="E4:G4"/>
  </mergeCells>
  <phoneticPr fontId="0" type="noConversion"/>
  <pageMargins left="0.4" right="0.4" top="0.83" bottom="0.85" header="0.3" footer="0.6"/>
  <pageSetup scale="86" orientation="portrait" blackAndWhite="1" r:id="rId1"/>
  <headerFooter alignWithMargins="0">
    <oddHeader xml:space="preserve">&amp;RState of Kansas
Township
</oddHeader>
    <oddFooter>&amp;CPage No. 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zoomScale="85" workbookViewId="0">
      <selection activeCell="J17" sqref="J17"/>
    </sheetView>
  </sheetViews>
  <sheetFormatPr defaultRowHeight="15.75" x14ac:dyDescent="0.25"/>
  <cols>
    <col min="1" max="1" width="20.69921875" style="90" customWidth="1"/>
    <col min="2" max="2" width="17.796875" style="80" customWidth="1"/>
    <col min="3" max="3" width="8.69921875" style="80" hidden="1" customWidth="1"/>
    <col min="4" max="4" width="17.3984375" style="80" customWidth="1"/>
    <col min="5" max="5" width="0.19921875" style="80" customWidth="1"/>
    <col min="6" max="6" width="9.765625E-2" style="80" hidden="1" customWidth="1"/>
    <col min="7" max="7" width="13.69921875" style="80" customWidth="1"/>
    <col min="8" max="8" width="12.3984375" style="80" hidden="1" customWidth="1"/>
    <col min="9" max="10" width="13.69921875" style="80" customWidth="1"/>
    <col min="11" max="11" width="15.19921875" style="80" customWidth="1"/>
    <col min="12" max="12" width="6.296875" style="80" customWidth="1"/>
    <col min="13" max="16384" width="8.796875" style="80"/>
  </cols>
  <sheetData>
    <row r="1" spans="2:13" x14ac:dyDescent="0.25">
      <c r="B1" s="13" t="str">
        <f>inputPrYr!D2</f>
        <v>Liberty Township</v>
      </c>
      <c r="C1" s="14"/>
      <c r="D1" s="14"/>
      <c r="E1" s="14"/>
      <c r="F1" s="14"/>
      <c r="G1" s="14"/>
      <c r="H1" s="14"/>
      <c r="I1" s="14"/>
      <c r="J1" s="15">
        <f>inputPrYr!D5</f>
        <v>2013</v>
      </c>
      <c r="K1" s="15"/>
      <c r="L1" s="90"/>
    </row>
    <row r="2" spans="2:13" x14ac:dyDescent="0.25">
      <c r="B2" s="13" t="str">
        <f>inputPrYr!D3</f>
        <v>Osborne County</v>
      </c>
      <c r="C2" s="14"/>
      <c r="D2" s="14"/>
      <c r="E2" s="14"/>
      <c r="F2" s="14"/>
      <c r="G2" s="14"/>
      <c r="H2" s="14"/>
      <c r="I2" s="14"/>
      <c r="J2" s="52"/>
      <c r="K2" s="52"/>
      <c r="L2" s="90"/>
    </row>
    <row r="3" spans="2:13" x14ac:dyDescent="0.25">
      <c r="B3" s="13"/>
      <c r="C3" s="14"/>
      <c r="D3" s="14"/>
      <c r="E3" s="14"/>
      <c r="F3" s="14"/>
      <c r="G3" s="14"/>
      <c r="H3" s="14"/>
      <c r="I3" s="14"/>
      <c r="J3" s="52"/>
      <c r="K3" s="52"/>
      <c r="L3" s="90"/>
    </row>
    <row r="4" spans="2:13" x14ac:dyDescent="0.25">
      <c r="B4" s="13"/>
      <c r="C4" s="14"/>
      <c r="D4" s="14"/>
      <c r="E4" s="14"/>
      <c r="F4" s="14"/>
      <c r="G4" s="14"/>
      <c r="H4" s="14"/>
      <c r="I4" s="14"/>
      <c r="J4" s="52"/>
      <c r="K4" s="52"/>
      <c r="L4" s="90"/>
    </row>
    <row r="5" spans="2:13" x14ac:dyDescent="0.25">
      <c r="B5" s="14"/>
      <c r="C5" s="14"/>
      <c r="D5" s="14"/>
      <c r="E5" s="14"/>
      <c r="F5" s="14"/>
      <c r="G5" s="14"/>
      <c r="H5" s="14"/>
      <c r="I5" s="14"/>
      <c r="J5" s="14"/>
      <c r="K5" s="14"/>
      <c r="L5" s="90"/>
    </row>
    <row r="6" spans="2:13" x14ac:dyDescent="0.25">
      <c r="B6" s="796" t="s">
        <v>769</v>
      </c>
      <c r="C6" s="782"/>
      <c r="D6" s="782"/>
      <c r="E6" s="782"/>
      <c r="F6" s="782"/>
      <c r="G6" s="782"/>
      <c r="H6" s="782"/>
      <c r="I6" s="782"/>
      <c r="J6" s="782"/>
      <c r="K6" s="14"/>
      <c r="L6" s="14"/>
    </row>
    <row r="7" spans="2:13" x14ac:dyDescent="0.25">
      <c r="B7" s="230"/>
      <c r="C7" s="12"/>
      <c r="D7" s="140"/>
      <c r="E7" s="140"/>
      <c r="F7" s="140"/>
      <c r="G7" s="140"/>
      <c r="H7" s="140"/>
      <c r="I7" s="140"/>
      <c r="J7" s="140"/>
      <c r="K7" s="140"/>
      <c r="L7" s="140"/>
    </row>
    <row r="8" spans="2:13" x14ac:dyDescent="0.25">
      <c r="B8" s="14"/>
      <c r="C8" s="231"/>
      <c r="D8" s="231"/>
      <c r="E8" s="231"/>
      <c r="F8" s="231"/>
      <c r="G8" s="232"/>
      <c r="H8" s="145"/>
      <c r="I8" s="145"/>
      <c r="J8" s="14"/>
      <c r="K8" s="19"/>
      <c r="L8" s="560"/>
    </row>
    <row r="9" spans="2:13" ht="21" customHeight="1" x14ac:dyDescent="0.25">
      <c r="B9" s="214" t="s">
        <v>767</v>
      </c>
      <c r="C9" s="171"/>
      <c r="D9" s="562" t="s">
        <v>768</v>
      </c>
      <c r="E9" s="791" t="str">
        <f>CONCATENATE("Budget Tax Levy Rate for ",J1-1,"")</f>
        <v>Budget Tax Levy Rate for 2012</v>
      </c>
      <c r="F9" s="233"/>
      <c r="G9" s="793" t="str">
        <f>CONCATENATE("Allocation for Proposed Year ",J1,"")</f>
        <v>Allocation for Proposed Year 2013</v>
      </c>
      <c r="H9" s="794"/>
      <c r="I9" s="794"/>
      <c r="J9" s="795"/>
      <c r="K9" s="90"/>
      <c r="L9" s="90"/>
      <c r="M9" s="559"/>
    </row>
    <row r="10" spans="2:13" ht="15.75" customHeight="1" x14ac:dyDescent="0.25">
      <c r="B10" s="561" t="str">
        <f>CONCATENATE("for ",J1-1,"")</f>
        <v>for 2012</v>
      </c>
      <c r="C10" s="177"/>
      <c r="D10" s="91" t="str">
        <f>CONCATENATE("Amount for ",J1,"")</f>
        <v>Amount for 2013</v>
      </c>
      <c r="E10" s="792"/>
      <c r="F10" s="25"/>
      <c r="G10" s="26" t="s">
        <v>77</v>
      </c>
      <c r="H10" s="26"/>
      <c r="I10" s="26" t="s">
        <v>78</v>
      </c>
      <c r="J10" s="161" t="s">
        <v>121</v>
      </c>
      <c r="K10" s="90"/>
      <c r="L10" s="90"/>
      <c r="M10" s="559"/>
    </row>
    <row r="11" spans="2:13" x14ac:dyDescent="0.25">
      <c r="B11" s="85" t="str">
        <f>inputPrYr!B16</f>
        <v>General</v>
      </c>
      <c r="C11" s="234"/>
      <c r="D11" s="161">
        <f>IF(inputPrYr!E16&gt;0,inputPrYr!E16,"  ")</f>
        <v>988</v>
      </c>
      <c r="E11" s="131">
        <f>IF(inputOth!D17&gt;0,inputOth!D17,"  ")</f>
        <v>1.577</v>
      </c>
      <c r="F11" s="727"/>
      <c r="G11" s="161">
        <f>IF(inputPrYr!E16=0,0,G23-SUM(G12:G20))</f>
        <v>37</v>
      </c>
      <c r="H11" s="728"/>
      <c r="I11" s="161">
        <f>IF(inputPrYr!E16=0,0,I25-SUM(I12:I20))</f>
        <v>1</v>
      </c>
      <c r="J11" s="161">
        <f>IF(inputPrYr!E16=0,0,J27-SUM(J12:J20))</f>
        <v>8</v>
      </c>
      <c r="K11" s="90"/>
      <c r="L11" s="90"/>
      <c r="M11" s="559"/>
    </row>
    <row r="12" spans="2:13" x14ac:dyDescent="0.25">
      <c r="B12" s="85" t="str">
        <f>inputPrYr!B17</f>
        <v>Debt Service</v>
      </c>
      <c r="C12" s="234"/>
      <c r="D12" s="161">
        <f>IF(inputPrYr!E17&gt;=0,inputPrYr!E17,"  ")</f>
        <v>0</v>
      </c>
      <c r="E12" s="131" t="str">
        <f>IF(inputOth!D18&gt;0,inputOth!D18,"  ")</f>
        <v xml:space="preserve">  </v>
      </c>
      <c r="F12" s="727"/>
      <c r="G12" s="161">
        <f>IF(inputPrYr!E17=0,0,ROUND(D12*$G$30,0))</f>
        <v>0</v>
      </c>
      <c r="H12" s="728"/>
      <c r="I12" s="161">
        <f>IF(inputPrYr!$E$17=0,0,ROUND($D$12*$I$32,0))</f>
        <v>0</v>
      </c>
      <c r="J12" s="161">
        <f>IF(inputPrYr!E17=0,0,ROUND($D12*$J$34,0))</f>
        <v>0</v>
      </c>
      <c r="K12" s="90"/>
      <c r="L12" s="90"/>
      <c r="M12" s="559"/>
    </row>
    <row r="13" spans="2:13" x14ac:dyDescent="0.25">
      <c r="B13" s="85" t="str">
        <f>inputPrYr!B18</f>
        <v>Library</v>
      </c>
      <c r="C13" s="234"/>
      <c r="D13" s="161">
        <f>IF(inputPrYr!E18&gt;=0,inputPrYr!E18,"  ")</f>
        <v>0</v>
      </c>
      <c r="E13" s="131"/>
      <c r="F13" s="727"/>
      <c r="G13" s="161">
        <f>IF(inputPrYr!E18=0,0,ROUND(D13*$G$30,0))</f>
        <v>0</v>
      </c>
      <c r="H13" s="728"/>
      <c r="I13" s="161">
        <f>IF(inputPrYr!$E$18=0,0,ROUND($D$13*$I$32,0))</f>
        <v>0</v>
      </c>
      <c r="J13" s="161">
        <f>IF(inputPrYr!E18=0,0,ROUND($D13*$J$34,0))</f>
        <v>0</v>
      </c>
      <c r="K13" s="90"/>
      <c r="L13" s="90"/>
      <c r="M13" s="559"/>
    </row>
    <row r="14" spans="2:13" x14ac:dyDescent="0.25">
      <c r="B14" s="85" t="str">
        <f>IF(inputPrYr!$B19&gt;"  ",inputPrYr!$B19,"  ")</f>
        <v>Road</v>
      </c>
      <c r="C14" s="234"/>
      <c r="D14" s="161">
        <f>IF(inputPrYr!E19&gt;=0,inputPrYr!E19,"  ")</f>
        <v>11271</v>
      </c>
      <c r="E14" s="131">
        <f>IF(inputOth!D20&gt;0,inputOth!D20,"  ")</f>
        <v>17.981000000000002</v>
      </c>
      <c r="F14" s="727"/>
      <c r="G14" s="161">
        <f>IF(inputPrYr!E19=0,0,ROUND(D14*$G$30,0))</f>
        <v>425</v>
      </c>
      <c r="H14" s="728"/>
      <c r="I14" s="161">
        <f>IF(inputPrYr!$E$19=0,0,ROUND($D$14*$I$32,0))</f>
        <v>4</v>
      </c>
      <c r="J14" s="161">
        <f>IF(inputPrYr!E19=0,0,ROUND($D14*$J$34,0))</f>
        <v>88</v>
      </c>
      <c r="K14" s="90"/>
      <c r="L14" s="90"/>
      <c r="M14" s="559"/>
    </row>
    <row r="15" spans="2:13" x14ac:dyDescent="0.25">
      <c r="B15" s="85" t="str">
        <f>IF(inputPrYr!$B20&gt;"  ",inputPrYr!$B20,"  ")</f>
        <v>Weed</v>
      </c>
      <c r="C15" s="234"/>
      <c r="D15" s="161">
        <f>IF(inputPrYr!E20&gt;=0,inputPrYr!E20,"  ")</f>
        <v>426</v>
      </c>
      <c r="E15" s="131">
        <f>IF(inputOth!D21&gt;0,inputOth!D21,"  ")</f>
        <v>0.68</v>
      </c>
      <c r="F15" s="727"/>
      <c r="G15" s="161">
        <f>IF(inputPrYr!E20=0,0,ROUND(D15*$G$30,0))</f>
        <v>16</v>
      </c>
      <c r="H15" s="728"/>
      <c r="I15" s="161">
        <f>IF(inputPrYr!$E$20=0,0,ROUND($D$15*$I$32,0))</f>
        <v>0</v>
      </c>
      <c r="J15" s="161">
        <f>IF(inputPrYr!E20=0,0,ROUND($D15*$J$34,0))</f>
        <v>3</v>
      </c>
      <c r="K15" s="90"/>
      <c r="L15" s="90"/>
      <c r="M15" s="559"/>
    </row>
    <row r="16" spans="2:13" x14ac:dyDescent="0.25">
      <c r="B16" s="85" t="str">
        <f>IF(inputPrYr!$B21&gt;"  ",inputPrYr!$B21,"  ")</f>
        <v xml:space="preserve">  </v>
      </c>
      <c r="C16" s="234"/>
      <c r="D16" s="161">
        <f>IF(inputPrYr!E21&gt;=0,inputPrYr!E21,"  ")</f>
        <v>0</v>
      </c>
      <c r="E16" s="131" t="str">
        <f>IF(inputOth!D22&gt;0,inputOth!D22,"  ")</f>
        <v xml:space="preserve">  </v>
      </c>
      <c r="F16" s="727"/>
      <c r="G16" s="161">
        <f>IF(inputPrYr!E21=0,0,ROUND(D16*$G$30,0))</f>
        <v>0</v>
      </c>
      <c r="H16" s="728"/>
      <c r="I16" s="161">
        <f>IF(inputPrYr!$E$21=0,0,ROUND($D$16*$I$32,0))</f>
        <v>0</v>
      </c>
      <c r="J16" s="161">
        <f>IF(inputPrYr!E21=0,0,ROUND($D16*$J$34,0))</f>
        <v>0</v>
      </c>
      <c r="K16" s="90"/>
      <c r="L16" s="90"/>
      <c r="M16" s="559"/>
    </row>
    <row r="17" spans="2:13" x14ac:dyDescent="0.25">
      <c r="B17" s="85" t="str">
        <f>IF(inputPrYr!$B22&gt;"  ",inputPrYr!$B22,"  ")</f>
        <v xml:space="preserve">  </v>
      </c>
      <c r="C17" s="234"/>
      <c r="D17" s="161">
        <f>IF(inputPrYr!E22&gt;=0,inputPrYr!E22,"  ")</f>
        <v>0</v>
      </c>
      <c r="E17" s="131" t="str">
        <f>IF(inputOth!D23&gt;0,inputOth!D23,"  ")</f>
        <v xml:space="preserve">  </v>
      </c>
      <c r="F17" s="727"/>
      <c r="G17" s="161">
        <f>IF(inputPrYr!E22=0,0,ROUND(D17*$G$30,0))</f>
        <v>0</v>
      </c>
      <c r="H17" s="728"/>
      <c r="I17" s="161">
        <f>IF(inputPrYr!$E$22=0,0,ROUND($D$17*$I$32,0))</f>
        <v>0</v>
      </c>
      <c r="J17" s="161">
        <f>IF(inputPrYr!E22=0,0,ROUND($D17*$J$34,0))</f>
        <v>0</v>
      </c>
      <c r="K17" s="90"/>
      <c r="L17" s="90"/>
      <c r="M17" s="559"/>
    </row>
    <row r="18" spans="2:13" x14ac:dyDescent="0.25">
      <c r="B18" s="85" t="str">
        <f>IF(inputPrYr!$B23&gt;"  ",inputPrYr!$B23,"  ")</f>
        <v xml:space="preserve">  </v>
      </c>
      <c r="C18" s="234"/>
      <c r="D18" s="161">
        <f>IF(inputPrYr!E23&gt;=0,inputPrYr!E23,"  ")</f>
        <v>0</v>
      </c>
      <c r="E18" s="131" t="str">
        <f>IF(inputOth!D24&gt;0,inputOth!D24,"  ")</f>
        <v xml:space="preserve">  </v>
      </c>
      <c r="F18" s="727"/>
      <c r="G18" s="161">
        <f>IF(inputPrYr!E23=0,0,ROUND(D18*$G$30,0))</f>
        <v>0</v>
      </c>
      <c r="H18" s="728"/>
      <c r="I18" s="161">
        <f>IF(inputPrYr!$E$23=0,0,ROUND($D$18*$I$32,0))</f>
        <v>0</v>
      </c>
      <c r="J18" s="161">
        <f>IF(inputPrYr!E23=0,0,ROUND($D18*$J$34,0))</f>
        <v>0</v>
      </c>
      <c r="K18" s="90"/>
      <c r="L18" s="90"/>
      <c r="M18" s="559"/>
    </row>
    <row r="19" spans="2:13" x14ac:dyDescent="0.25">
      <c r="B19" s="85" t="str">
        <f>IF(inputPrYr!$B24&gt;"  ",inputPrYr!$B24,"  ")</f>
        <v xml:space="preserve">  </v>
      </c>
      <c r="C19" s="234"/>
      <c r="D19" s="161">
        <f>IF(inputPrYr!E24&gt;=0,inputPrYr!E24,"  ")</f>
        <v>0</v>
      </c>
      <c r="E19" s="131" t="str">
        <f>IF(inputOth!D25&gt;0,inputOth!D25,"  ")</f>
        <v xml:space="preserve">  </v>
      </c>
      <c r="F19" s="727"/>
      <c r="G19" s="161">
        <f>IF(inputPrYr!E24=0,0,ROUND(D19*$G$30,0))</f>
        <v>0</v>
      </c>
      <c r="H19" s="728"/>
      <c r="I19" s="161">
        <f>IF(inputPrYr!$E$24=0,0,ROUND($D$19*$I$32,0))</f>
        <v>0</v>
      </c>
      <c r="J19" s="161">
        <f>IF(inputPrYr!E24=0,0,ROUND($D19*$J$34,0))</f>
        <v>0</v>
      </c>
      <c r="K19" s="90"/>
      <c r="L19" s="90"/>
      <c r="M19" s="559"/>
    </row>
    <row r="20" spans="2:13" x14ac:dyDescent="0.25">
      <c r="B20" s="85" t="str">
        <f>IF(inputPrYr!$B25&gt;"  ",inputPrYr!$B25,"  ")</f>
        <v xml:space="preserve">  </v>
      </c>
      <c r="C20" s="234"/>
      <c r="D20" s="161">
        <f>IF(inputPrYr!E25&gt;=0,inputPrYr!E25,"  ")</f>
        <v>0</v>
      </c>
      <c r="E20" s="131" t="str">
        <f>IF(inputOth!D26&gt;0,inputOth!D26,"  ")</f>
        <v xml:space="preserve">  </v>
      </c>
      <c r="F20" s="727"/>
      <c r="G20" s="161">
        <f>IF(inputPrYr!E25=0,0,ROUND(D20*$G$30,0))</f>
        <v>0</v>
      </c>
      <c r="H20" s="728"/>
      <c r="I20" s="161">
        <f>IF(inputPrYr!$E$25=0,0,ROUND($D$20*$I$32,0))</f>
        <v>0</v>
      </c>
      <c r="J20" s="161">
        <f>IF(inputPrYr!E25=0,0,ROUND($D20*$J$34,0))</f>
        <v>0</v>
      </c>
      <c r="K20" s="90"/>
      <c r="L20" s="90"/>
      <c r="M20" s="559"/>
    </row>
    <row r="21" spans="2:13" ht="16.5" thickBot="1" x14ac:dyDescent="0.3">
      <c r="B21" s="72" t="s">
        <v>276</v>
      </c>
      <c r="C21" s="237"/>
      <c r="D21" s="729">
        <f>SUM(D11:D20)</f>
        <v>12685</v>
      </c>
      <c r="E21" s="730">
        <f>SUM(E11:E20)</f>
        <v>20.238</v>
      </c>
      <c r="F21" s="731"/>
      <c r="G21" s="729">
        <f>SUM(G11:G20)</f>
        <v>478</v>
      </c>
      <c r="H21" s="729"/>
      <c r="I21" s="729">
        <f>SUM(I11:I20)</f>
        <v>5</v>
      </c>
      <c r="J21" s="729">
        <f>SUM(J11:J20)</f>
        <v>99</v>
      </c>
      <c r="K21" s="90"/>
      <c r="L21" s="90"/>
      <c r="M21" s="559"/>
    </row>
    <row r="22" spans="2:13" ht="16.5" thickTop="1" x14ac:dyDescent="0.25">
      <c r="B22" s="14"/>
      <c r="C22" s="14"/>
      <c r="D22" s="14"/>
      <c r="E22" s="14"/>
      <c r="F22" s="14"/>
      <c r="G22" s="14"/>
      <c r="H22" s="14"/>
      <c r="I22" s="14"/>
      <c r="J22" s="14"/>
      <c r="K22" s="14"/>
      <c r="L22" s="90"/>
    </row>
    <row r="23" spans="2:13" x14ac:dyDescent="0.25">
      <c r="B23" s="22" t="s">
        <v>5</v>
      </c>
      <c r="C23" s="61"/>
      <c r="D23" s="14"/>
      <c r="E23" s="14"/>
      <c r="F23" s="14"/>
      <c r="G23" s="79">
        <f>inputOth!E32</f>
        <v>478</v>
      </c>
      <c r="H23" s="14"/>
      <c r="I23" s="14"/>
      <c r="J23" s="14"/>
      <c r="K23" s="14"/>
      <c r="L23" s="90"/>
    </row>
    <row r="24" spans="2:13" x14ac:dyDescent="0.25">
      <c r="B24" s="14"/>
      <c r="C24" s="14"/>
      <c r="D24" s="14"/>
      <c r="E24" s="14"/>
      <c r="F24" s="14"/>
      <c r="G24" s="14"/>
      <c r="H24" s="14"/>
      <c r="I24" s="14"/>
      <c r="J24" s="14"/>
      <c r="K24" s="14"/>
      <c r="L24" s="90"/>
    </row>
    <row r="25" spans="2:13" x14ac:dyDescent="0.25">
      <c r="B25" s="22" t="s">
        <v>6</v>
      </c>
      <c r="C25" s="14"/>
      <c r="D25" s="14"/>
      <c r="E25" s="14"/>
      <c r="F25" s="14"/>
      <c r="G25" s="14"/>
      <c r="H25" s="79">
        <f>inputPrYr!E75</f>
        <v>0</v>
      </c>
      <c r="I25" s="79">
        <f>inputOth!E33</f>
        <v>5</v>
      </c>
      <c r="J25" s="14"/>
      <c r="K25" s="14"/>
      <c r="L25" s="90"/>
    </row>
    <row r="26" spans="2:13" x14ac:dyDescent="0.25">
      <c r="B26" s="14"/>
      <c r="C26" s="14"/>
      <c r="D26" s="14"/>
      <c r="E26" s="14"/>
      <c r="F26" s="14"/>
      <c r="G26" s="14"/>
      <c r="H26" s="14"/>
      <c r="I26" s="14"/>
      <c r="J26" s="14"/>
      <c r="K26" s="14"/>
      <c r="L26" s="90"/>
    </row>
    <row r="27" spans="2:13" x14ac:dyDescent="0.25">
      <c r="B27" s="22" t="s">
        <v>75</v>
      </c>
      <c r="C27" s="14"/>
      <c r="D27" s="14"/>
      <c r="E27" s="14"/>
      <c r="F27" s="14"/>
      <c r="G27" s="14"/>
      <c r="H27" s="14"/>
      <c r="I27" s="14"/>
      <c r="J27" s="79">
        <f>inputOth!E34</f>
        <v>99</v>
      </c>
      <c r="K27" s="24"/>
      <c r="L27" s="90"/>
    </row>
    <row r="28" spans="2:13" x14ac:dyDescent="0.25">
      <c r="B28" s="14"/>
      <c r="C28" s="14"/>
      <c r="D28" s="14"/>
      <c r="E28" s="14"/>
      <c r="F28" s="14"/>
      <c r="G28" s="14"/>
      <c r="H28" s="14"/>
      <c r="I28" s="14"/>
      <c r="J28" s="14"/>
      <c r="K28" s="14"/>
      <c r="L28" s="90"/>
    </row>
    <row r="29" spans="2:13" x14ac:dyDescent="0.25">
      <c r="B29" s="14"/>
      <c r="C29" s="14"/>
      <c r="D29" s="14"/>
      <c r="E29" s="14"/>
      <c r="F29" s="14"/>
      <c r="G29" s="14"/>
      <c r="H29" s="14"/>
      <c r="I29" s="14"/>
      <c r="J29" s="14"/>
      <c r="K29" s="24"/>
      <c r="L29" s="90"/>
    </row>
    <row r="30" spans="2:13" x14ac:dyDescent="0.25">
      <c r="B30" s="22" t="s">
        <v>7</v>
      </c>
      <c r="C30" s="14"/>
      <c r="D30" s="14"/>
      <c r="E30" s="14"/>
      <c r="F30" s="14"/>
      <c r="G30" s="238">
        <f>IF(D21=0,0,G23/D21)</f>
        <v>3.7682301931415058E-2</v>
      </c>
      <c r="H30" s="14"/>
      <c r="I30" s="14"/>
      <c r="J30" s="14"/>
      <c r="K30" s="14"/>
      <c r="L30" s="90"/>
    </row>
    <row r="31" spans="2:13" x14ac:dyDescent="0.25">
      <c r="B31" s="14"/>
      <c r="C31" s="239"/>
      <c r="D31" s="14"/>
      <c r="E31" s="14"/>
      <c r="F31" s="14"/>
      <c r="G31" s="14"/>
      <c r="H31" s="14"/>
      <c r="I31" s="14"/>
      <c r="J31" s="14"/>
      <c r="K31" s="14"/>
      <c r="L31" s="90"/>
    </row>
    <row r="32" spans="2:13" x14ac:dyDescent="0.25">
      <c r="B32" s="22"/>
      <c r="C32" s="14"/>
      <c r="D32" s="22" t="s">
        <v>8</v>
      </c>
      <c r="E32" s="14"/>
      <c r="F32" s="14"/>
      <c r="G32" s="14"/>
      <c r="H32" s="240">
        <f>IF(D21=0,0,H25/D21)</f>
        <v>0</v>
      </c>
      <c r="I32" s="241">
        <f>IF(D21=0,0,I25/D21)</f>
        <v>3.9416633819471815E-4</v>
      </c>
      <c r="J32" s="14"/>
      <c r="K32" s="14"/>
      <c r="L32" s="90"/>
    </row>
    <row r="33" spans="2:12" x14ac:dyDescent="0.25">
      <c r="B33" s="14"/>
      <c r="C33" s="14"/>
      <c r="D33" s="14"/>
      <c r="E33" s="14"/>
      <c r="F33" s="14"/>
      <c r="G33" s="14"/>
      <c r="H33" s="14"/>
      <c r="I33" s="14"/>
      <c r="J33" s="14"/>
      <c r="K33" s="14"/>
      <c r="L33" s="90"/>
    </row>
    <row r="34" spans="2:12" x14ac:dyDescent="0.25">
      <c r="B34" s="22"/>
      <c r="C34" s="14"/>
      <c r="D34" s="14"/>
      <c r="E34" s="14"/>
      <c r="F34" s="14"/>
      <c r="G34" s="22" t="s">
        <v>76</v>
      </c>
      <c r="H34" s="14"/>
      <c r="I34" s="14"/>
      <c r="J34" s="238">
        <f>IF(D21=0,0,J27/D21)</f>
        <v>7.8044934962554196E-3</v>
      </c>
      <c r="K34" s="242"/>
      <c r="L34" s="90"/>
    </row>
    <row r="35" spans="2:12" x14ac:dyDescent="0.25">
      <c r="B35" s="90"/>
      <c r="C35" s="90"/>
      <c r="D35" s="90"/>
      <c r="E35" s="90"/>
      <c r="F35" s="90"/>
      <c r="G35" s="90"/>
      <c r="H35" s="90"/>
      <c r="I35" s="90"/>
      <c r="J35" s="90"/>
      <c r="K35" s="90"/>
      <c r="L35" s="90"/>
    </row>
    <row r="36" spans="2:12" x14ac:dyDescent="0.25">
      <c r="B36" s="90"/>
      <c r="C36" s="90"/>
      <c r="D36" s="90"/>
      <c r="E36" s="90"/>
      <c r="F36" s="90"/>
      <c r="G36" s="90"/>
      <c r="H36" s="90"/>
      <c r="I36" s="90"/>
      <c r="J36" s="90"/>
      <c r="K36" s="90"/>
      <c r="L36" s="90"/>
    </row>
    <row r="40" spans="2:12" x14ac:dyDescent="0.25">
      <c r="B40" s="243"/>
      <c r="C40" s="243"/>
      <c r="D40" s="243"/>
      <c r="E40" s="243"/>
      <c r="F40" s="243"/>
      <c r="G40" s="243"/>
      <c r="H40" s="243"/>
      <c r="I40" s="16"/>
    </row>
  </sheetData>
  <sheetProtection sheet="1"/>
  <mergeCells count="3">
    <mergeCell ref="E9:E10"/>
    <mergeCell ref="G9:J9"/>
    <mergeCell ref="B6:J6"/>
  </mergeCells>
  <phoneticPr fontId="0" type="noConversion"/>
  <pageMargins left="0.4" right="0.4" top="0.83" bottom="0.85" header="0.3" footer="0.6"/>
  <pageSetup scale="85" orientation="landscape" blackAndWhite="1" horizontalDpi="4294967292" verticalDpi="300" r:id="rId1"/>
  <headerFooter alignWithMargins="0">
    <oddHeader xml:space="preserve">&amp;RState of Kansas
Township
</oddHeader>
    <oddFooter>&amp;CPage No. 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workbookViewId="0">
      <selection activeCell="C23" sqref="C22:E23"/>
    </sheetView>
  </sheetViews>
  <sheetFormatPr defaultRowHeight="15.75" x14ac:dyDescent="0.25"/>
  <cols>
    <col min="1" max="2" width="16" style="16" customWidth="1"/>
    <col min="3" max="6" width="11.5" style="16" customWidth="1"/>
    <col min="7" max="16384" width="8.796875" style="16"/>
  </cols>
  <sheetData>
    <row r="1" spans="1:6" x14ac:dyDescent="0.25">
      <c r="A1" s="13"/>
      <c r="B1" s="14"/>
      <c r="C1" s="14"/>
      <c r="D1" s="14"/>
      <c r="E1" s="52"/>
      <c r="F1" s="14">
        <f>inputPrYr!D5</f>
        <v>2013</v>
      </c>
    </row>
    <row r="2" spans="1:6" x14ac:dyDescent="0.25">
      <c r="A2" s="88" t="str">
        <f>inputPrYr!D2</f>
        <v>Liberty Township</v>
      </c>
      <c r="B2" s="88"/>
      <c r="C2" s="14"/>
      <c r="D2" s="14"/>
      <c r="E2" s="52"/>
      <c r="F2" s="14"/>
    </row>
    <row r="3" spans="1:6" x14ac:dyDescent="0.25">
      <c r="A3" s="13"/>
      <c r="B3" s="88"/>
      <c r="C3" s="14"/>
      <c r="D3" s="14"/>
      <c r="E3" s="52"/>
      <c r="F3" s="14"/>
    </row>
    <row r="4" spans="1:6" x14ac:dyDescent="0.25">
      <c r="A4" s="13"/>
      <c r="B4" s="14"/>
      <c r="C4" s="14"/>
      <c r="D4" s="14"/>
      <c r="E4" s="52"/>
      <c r="F4" s="14"/>
    </row>
    <row r="5" spans="1:6" ht="15" customHeight="1" x14ac:dyDescent="0.25">
      <c r="A5" s="768" t="s">
        <v>169</v>
      </c>
      <c r="B5" s="768"/>
      <c r="C5" s="768"/>
      <c r="D5" s="768"/>
      <c r="E5" s="768"/>
      <c r="F5" s="768"/>
    </row>
    <row r="6" spans="1:6" ht="14.25" customHeight="1" x14ac:dyDescent="0.25">
      <c r="A6" s="125"/>
      <c r="B6" s="213"/>
      <c r="C6" s="213"/>
      <c r="D6" s="213"/>
      <c r="E6" s="213"/>
      <c r="F6" s="213"/>
    </row>
    <row r="7" spans="1:6" ht="15" customHeight="1" x14ac:dyDescent="0.25">
      <c r="A7" s="214" t="s">
        <v>284</v>
      </c>
      <c r="B7" s="214" t="s">
        <v>611</v>
      </c>
      <c r="C7" s="215" t="s">
        <v>32</v>
      </c>
      <c r="D7" s="215" t="s">
        <v>170</v>
      </c>
      <c r="E7" s="214" t="s">
        <v>171</v>
      </c>
      <c r="F7" s="214" t="s">
        <v>172</v>
      </c>
    </row>
    <row r="8" spans="1:6" ht="15" customHeight="1" x14ac:dyDescent="0.25">
      <c r="A8" s="216" t="s">
        <v>612</v>
      </c>
      <c r="B8" s="216" t="s">
        <v>613</v>
      </c>
      <c r="C8" s="217" t="s">
        <v>173</v>
      </c>
      <c r="D8" s="217" t="s">
        <v>173</v>
      </c>
      <c r="E8" s="217" t="s">
        <v>173</v>
      </c>
      <c r="F8" s="217" t="s">
        <v>174</v>
      </c>
    </row>
    <row r="9" spans="1:6" s="220" customFormat="1" ht="15" customHeight="1" thickBot="1" x14ac:dyDescent="0.3">
      <c r="A9" s="218" t="s">
        <v>175</v>
      </c>
      <c r="B9" s="219" t="s">
        <v>176</v>
      </c>
      <c r="C9" s="219">
        <f>F1-2</f>
        <v>2011</v>
      </c>
      <c r="D9" s="219">
        <f>F1-1</f>
        <v>2012</v>
      </c>
      <c r="E9" s="219">
        <f>F1</f>
        <v>2013</v>
      </c>
      <c r="F9" s="219" t="s">
        <v>271</v>
      </c>
    </row>
    <row r="10" spans="1:6" ht="15" customHeight="1" thickTop="1" x14ac:dyDescent="0.25">
      <c r="A10" s="221"/>
      <c r="B10" s="221"/>
      <c r="C10" s="222"/>
      <c r="D10" s="222"/>
      <c r="E10" s="222"/>
      <c r="F10" s="221"/>
    </row>
    <row r="11" spans="1:6" ht="15" customHeight="1" x14ac:dyDescent="0.25">
      <c r="A11" s="73" t="s">
        <v>249</v>
      </c>
      <c r="B11" s="73" t="s">
        <v>288</v>
      </c>
      <c r="C11" s="223">
        <f>gen!$C$43</f>
        <v>0</v>
      </c>
      <c r="D11" s="223">
        <f>gen!$D$43</f>
        <v>0</v>
      </c>
      <c r="E11" s="223">
        <f>gen!$E$43</f>
        <v>0</v>
      </c>
      <c r="F11" s="73" t="str">
        <f>IF(C11+D11+E11&gt;0,"80-1406b","")</f>
        <v/>
      </c>
    </row>
    <row r="12" spans="1:6" ht="15" customHeight="1" x14ac:dyDescent="0.25">
      <c r="A12" s="73" t="s">
        <v>249</v>
      </c>
      <c r="B12" s="73" t="s">
        <v>288</v>
      </c>
      <c r="C12" s="223">
        <f>gen!$C$45</f>
        <v>0</v>
      </c>
      <c r="D12" s="223">
        <f>gen!$D$45</f>
        <v>0</v>
      </c>
      <c r="E12" s="223">
        <f>gen!$E$45</f>
        <v>0</v>
      </c>
      <c r="F12" s="73" t="str">
        <f>IF(C12+D12+E12&gt;0,"80-122","")</f>
        <v/>
      </c>
    </row>
    <row r="13" spans="1:6" ht="15" customHeight="1" x14ac:dyDescent="0.25">
      <c r="A13" s="73" t="s">
        <v>275</v>
      </c>
      <c r="B13" s="73" t="s">
        <v>288</v>
      </c>
      <c r="C13" s="223">
        <f>road!$C$38</f>
        <v>0</v>
      </c>
      <c r="D13" s="223">
        <f>road!$D$38</f>
        <v>0</v>
      </c>
      <c r="E13" s="223">
        <f>road!$E$38</f>
        <v>0</v>
      </c>
      <c r="F13" s="73" t="str">
        <f>IF(C13+D13+E13&gt;0,"68-141g","")</f>
        <v/>
      </c>
    </row>
    <row r="14" spans="1:6" ht="15" customHeight="1" x14ac:dyDescent="0.25">
      <c r="A14" s="224"/>
      <c r="B14" s="224"/>
      <c r="C14" s="225"/>
      <c r="D14" s="225"/>
      <c r="E14" s="225"/>
      <c r="F14" s="224"/>
    </row>
    <row r="15" spans="1:6" ht="15" customHeight="1" x14ac:dyDescent="0.25">
      <c r="A15" s="224"/>
      <c r="B15" s="224"/>
      <c r="C15" s="225"/>
      <c r="D15" s="225"/>
      <c r="E15" s="225"/>
      <c r="F15" s="224"/>
    </row>
    <row r="16" spans="1:6" ht="15" customHeight="1" x14ac:dyDescent="0.25">
      <c r="A16" s="224"/>
      <c r="B16" s="224"/>
      <c r="C16" s="225"/>
      <c r="D16" s="225"/>
      <c r="E16" s="225"/>
      <c r="F16" s="224"/>
    </row>
    <row r="17" spans="1:6" ht="15" customHeight="1" x14ac:dyDescent="0.25">
      <c r="A17" s="224"/>
      <c r="B17" s="224"/>
      <c r="C17" s="225"/>
      <c r="D17" s="225"/>
      <c r="E17" s="225"/>
      <c r="F17" s="224"/>
    </row>
    <row r="18" spans="1:6" ht="15" customHeight="1" x14ac:dyDescent="0.25">
      <c r="A18" s="224"/>
      <c r="B18" s="224"/>
      <c r="C18" s="225"/>
      <c r="D18" s="225"/>
      <c r="E18" s="225"/>
      <c r="F18" s="224"/>
    </row>
    <row r="19" spans="1:6" ht="15" customHeight="1" x14ac:dyDescent="0.25">
      <c r="A19" s="224"/>
      <c r="B19" s="226"/>
      <c r="C19" s="225"/>
      <c r="D19" s="225"/>
      <c r="E19" s="225"/>
      <c r="F19" s="224"/>
    </row>
    <row r="20" spans="1:6" ht="15" customHeight="1" x14ac:dyDescent="0.25">
      <c r="A20" s="224"/>
      <c r="B20" s="224"/>
      <c r="C20" s="225"/>
      <c r="D20" s="225"/>
      <c r="E20" s="225"/>
      <c r="F20" s="224"/>
    </row>
    <row r="21" spans="1:6" ht="15" customHeight="1" x14ac:dyDescent="0.25">
      <c r="A21" s="224"/>
      <c r="B21" s="224"/>
      <c r="C21" s="225"/>
      <c r="D21" s="225"/>
      <c r="E21" s="225"/>
      <c r="F21" s="224"/>
    </row>
    <row r="22" spans="1:6" ht="15" customHeight="1" x14ac:dyDescent="0.25">
      <c r="A22" s="224"/>
      <c r="B22" s="224"/>
      <c r="C22" s="225"/>
      <c r="D22" s="225"/>
      <c r="E22" s="225"/>
      <c r="F22" s="224"/>
    </row>
    <row r="23" spans="1:6" ht="15" customHeight="1" x14ac:dyDescent="0.25">
      <c r="A23" s="224"/>
      <c r="B23" s="224"/>
      <c r="C23" s="225"/>
      <c r="D23" s="225"/>
      <c r="E23" s="225"/>
      <c r="F23" s="224"/>
    </row>
    <row r="24" spans="1:6" ht="15" customHeight="1" x14ac:dyDescent="0.25">
      <c r="A24" s="224"/>
      <c r="B24" s="224"/>
      <c r="C24" s="225"/>
      <c r="D24" s="225"/>
      <c r="E24" s="225"/>
      <c r="F24" s="224"/>
    </row>
    <row r="25" spans="1:6" ht="15" customHeight="1" x14ac:dyDescent="0.25">
      <c r="A25" s="224"/>
      <c r="B25" s="224"/>
      <c r="C25" s="225"/>
      <c r="D25" s="225"/>
      <c r="E25" s="225"/>
      <c r="F25" s="224"/>
    </row>
    <row r="26" spans="1:6" ht="15" customHeight="1" x14ac:dyDescent="0.25">
      <c r="A26" s="224"/>
      <c r="B26" s="224"/>
      <c r="C26" s="225"/>
      <c r="D26" s="225"/>
      <c r="E26" s="225"/>
      <c r="F26" s="224"/>
    </row>
    <row r="27" spans="1:6" x14ac:dyDescent="0.25">
      <c r="A27" s="129"/>
      <c r="B27" s="227" t="s">
        <v>276</v>
      </c>
      <c r="C27" s="228">
        <f>SUM(C10:C26)</f>
        <v>0</v>
      </c>
      <c r="D27" s="228">
        <f>SUM(D10:D26)</f>
        <v>0</v>
      </c>
      <c r="E27" s="228">
        <f>SUM(E10:E26)</f>
        <v>0</v>
      </c>
      <c r="F27" s="129"/>
    </row>
    <row r="28" spans="1:6" x14ac:dyDescent="0.25">
      <c r="A28" s="129"/>
      <c r="B28" s="227" t="s">
        <v>610</v>
      </c>
      <c r="C28" s="129"/>
      <c r="D28" s="224"/>
      <c r="E28" s="224"/>
      <c r="F28" s="129"/>
    </row>
    <row r="29" spans="1:6" x14ac:dyDescent="0.25">
      <c r="A29" s="129"/>
      <c r="B29" s="179" t="s">
        <v>177</v>
      </c>
      <c r="C29" s="229">
        <f>C27</f>
        <v>0</v>
      </c>
      <c r="D29" s="229">
        <f>SUM(D27-D28)</f>
        <v>0</v>
      </c>
      <c r="E29" s="229">
        <f>SUM(E27-E28)</f>
        <v>0</v>
      </c>
      <c r="F29" s="129"/>
    </row>
    <row r="30" spans="1:6" x14ac:dyDescent="0.25">
      <c r="A30" s="129"/>
      <c r="B30" s="14"/>
      <c r="C30" s="14"/>
      <c r="D30" s="14"/>
      <c r="E30" s="14"/>
      <c r="F30" s="129"/>
    </row>
    <row r="31" spans="1:6" x14ac:dyDescent="0.25">
      <c r="A31" s="129"/>
      <c r="B31" s="14"/>
      <c r="C31" s="14"/>
      <c r="D31" s="14"/>
      <c r="E31" s="14"/>
      <c r="F31" s="129"/>
    </row>
    <row r="32" spans="1:6" x14ac:dyDescent="0.25">
      <c r="A32" s="377" t="s">
        <v>614</v>
      </c>
      <c r="B32" s="378" t="str">
        <f>CONCATENATE("Adjustments are required only if the transfer is being made in ",D9," and/or ",E9," from a non-budgeted fund.")</f>
        <v>Adjustments are required only if the transfer is being made in 2012 and/or 2013 from a non-budgeted fund.</v>
      </c>
      <c r="C32" s="14"/>
      <c r="D32" s="14"/>
      <c r="E32" s="14"/>
      <c r="F32" s="129"/>
    </row>
  </sheetData>
  <sheetProtection sheet="1"/>
  <mergeCells count="1">
    <mergeCell ref="A5:F5"/>
  </mergeCells>
  <phoneticPr fontId="11" type="noConversion"/>
  <pageMargins left="0.75" right="0.75" top="1" bottom="1" header="0.5" footer="0.5"/>
  <pageSetup scale="89" orientation="portrait" blackAndWhite="1" r:id="rId1"/>
  <headerFooter alignWithMargins="0">
    <oddHeader>&amp;RState of Kansas
Township</oddHeader>
    <oddFooter>&amp;CPage No. 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5"/>
  <sheetViews>
    <sheetView zoomScaleNormal="100" workbookViewId="0">
      <selection activeCell="B30" sqref="B30"/>
    </sheetView>
  </sheetViews>
  <sheetFormatPr defaultColWidth="62.3984375" defaultRowHeight="15.75" x14ac:dyDescent="0.25"/>
  <cols>
    <col min="1" max="16384" width="62.3984375" style="12"/>
  </cols>
  <sheetData>
    <row r="1" spans="1:1" ht="18.75" x14ac:dyDescent="0.25">
      <c r="A1" s="212" t="s">
        <v>318</v>
      </c>
    </row>
    <row r="2" spans="1:1" x14ac:dyDescent="0.25">
      <c r="A2" s="80"/>
    </row>
    <row r="3" spans="1:1" ht="51" customHeight="1" x14ac:dyDescent="0.25">
      <c r="A3" s="396" t="s">
        <v>711</v>
      </c>
    </row>
    <row r="4" spans="1:1" ht="17.25" customHeight="1" x14ac:dyDescent="0.2">
      <c r="A4" s="396"/>
    </row>
    <row r="5" spans="1:1" x14ac:dyDescent="0.25">
      <c r="A5" s="80"/>
    </row>
    <row r="6" spans="1:1" ht="52.5" customHeight="1" x14ac:dyDescent="0.25">
      <c r="A6" s="164" t="s">
        <v>359</v>
      </c>
    </row>
    <row r="7" spans="1:1" x14ac:dyDescent="0.25">
      <c r="A7" s="80"/>
    </row>
    <row r="8" spans="1:1" x14ac:dyDescent="0.25">
      <c r="A8" s="80"/>
    </row>
    <row r="9" spans="1:1" ht="70.5" customHeight="1" x14ac:dyDescent="0.25">
      <c r="A9" s="164" t="s">
        <v>360</v>
      </c>
    </row>
    <row r="10" spans="1:1" x14ac:dyDescent="0.25">
      <c r="A10" s="165"/>
    </row>
    <row r="11" spans="1:1" x14ac:dyDescent="0.25">
      <c r="A11" s="165"/>
    </row>
    <row r="12" spans="1:1" ht="63" x14ac:dyDescent="0.25">
      <c r="A12" s="485" t="s">
        <v>712</v>
      </c>
    </row>
    <row r="13" spans="1:1" x14ac:dyDescent="0.25">
      <c r="A13" s="165"/>
    </row>
    <row r="14" spans="1:1" x14ac:dyDescent="0.25">
      <c r="A14" s="165"/>
    </row>
    <row r="15" spans="1:1" ht="63" x14ac:dyDescent="0.25">
      <c r="A15" s="485" t="s">
        <v>713</v>
      </c>
    </row>
    <row r="16" spans="1:1" x14ac:dyDescent="0.25">
      <c r="A16" s="165"/>
    </row>
    <row r="17" spans="1:1" x14ac:dyDescent="0.25">
      <c r="A17" s="80"/>
    </row>
    <row r="18" spans="1:1" ht="56.25" customHeight="1" x14ac:dyDescent="0.25">
      <c r="A18" s="164" t="s">
        <v>361</v>
      </c>
    </row>
    <row r="19" spans="1:1" x14ac:dyDescent="0.25">
      <c r="A19" s="165"/>
    </row>
    <row r="20" spans="1:1" x14ac:dyDescent="0.25">
      <c r="A20" s="165"/>
    </row>
    <row r="21" spans="1:1" ht="87.75" customHeight="1" x14ac:dyDescent="0.25">
      <c r="A21" s="164" t="s">
        <v>362</v>
      </c>
    </row>
    <row r="22" spans="1:1" x14ac:dyDescent="0.25">
      <c r="A22" s="165"/>
    </row>
    <row r="23" spans="1:1" x14ac:dyDescent="0.25">
      <c r="A23" s="80"/>
    </row>
    <row r="24" spans="1:1" ht="54.75" customHeight="1" x14ac:dyDescent="0.25">
      <c r="A24" s="164" t="s">
        <v>363</v>
      </c>
    </row>
    <row r="25" spans="1:1" x14ac:dyDescent="0.25">
      <c r="A25" s="80"/>
    </row>
    <row r="26" spans="1:1" ht="15.75" customHeight="1" x14ac:dyDescent="0.25">
      <c r="A26" s="80"/>
    </row>
    <row r="27" spans="1:1" ht="69" customHeight="1" x14ac:dyDescent="0.25">
      <c r="A27" s="164" t="s">
        <v>364</v>
      </c>
    </row>
    <row r="28" spans="1:1" ht="15.75" customHeight="1" x14ac:dyDescent="0.25">
      <c r="A28" s="164"/>
    </row>
    <row r="29" spans="1:1" ht="15.75" customHeight="1" x14ac:dyDescent="0.25">
      <c r="A29" s="164"/>
    </row>
    <row r="30" spans="1:1" ht="87" customHeight="1" x14ac:dyDescent="0.25">
      <c r="A30" s="164" t="s">
        <v>766</v>
      </c>
    </row>
    <row r="31" spans="1:1" x14ac:dyDescent="0.25">
      <c r="A31" s="80"/>
    </row>
    <row r="32" spans="1:1" x14ac:dyDescent="0.25">
      <c r="A32" s="209"/>
    </row>
    <row r="33" spans="1:1" ht="47.25" customHeight="1" x14ac:dyDescent="0.25">
      <c r="A33" s="210" t="s">
        <v>365</v>
      </c>
    </row>
    <row r="34" spans="1:1" x14ac:dyDescent="0.25">
      <c r="A34" s="211"/>
    </row>
    <row r="35" spans="1:1" x14ac:dyDescent="0.25">
      <c r="A35" s="209"/>
    </row>
  </sheetData>
  <sheetProtection sheet="1"/>
  <pageMargins left="0.7" right="0.7" top="0.75" bottom="0.75" header="0.3" footer="0.3"/>
  <pageSetup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9</vt:i4>
      </vt:variant>
    </vt:vector>
  </HeadingPairs>
  <TitlesOfParts>
    <vt:vector size="40" baseType="lpstr">
      <vt:lpstr>instructions</vt:lpstr>
      <vt:lpstr>inputPrYr</vt:lpstr>
      <vt:lpstr>inputOth</vt:lpstr>
      <vt:lpstr>inputBudSum</vt:lpstr>
      <vt:lpstr>cert</vt:lpstr>
      <vt:lpstr>computation</vt:lpstr>
      <vt:lpstr>mvalloc</vt:lpstr>
      <vt:lpstr>transfer</vt:lpstr>
      <vt:lpstr>TransferStatutes</vt:lpstr>
      <vt:lpstr>debt-lease</vt:lpstr>
      <vt:lpstr>Library Grant</vt:lpstr>
      <vt:lpstr>gen</vt:lpstr>
      <vt:lpstr>DebtSvs-Library</vt:lpstr>
      <vt:lpstr>road</vt:lpstr>
      <vt:lpstr>levypage9</vt:lpstr>
      <vt:lpstr>levypage10</vt:lpstr>
      <vt:lpstr>levypage11</vt:lpstr>
      <vt:lpstr>nolevypage12</vt:lpstr>
      <vt:lpstr>nonbud</vt:lpstr>
      <vt:lpstr>NonBudFunds</vt:lpstr>
      <vt:lpstr>summ</vt:lpstr>
      <vt:lpstr>nhood</vt:lpstr>
      <vt:lpstr>Resolution</vt:lpstr>
      <vt:lpstr>Tab A</vt:lpstr>
      <vt:lpstr>Tab B</vt:lpstr>
      <vt:lpstr>Tab C</vt:lpstr>
      <vt:lpstr>Tab D</vt:lpstr>
      <vt:lpstr>Tab E</vt:lpstr>
      <vt:lpstr>Mill Rate Computation</vt:lpstr>
      <vt:lpstr>Helpful Links</vt:lpstr>
      <vt:lpstr>legend</vt:lpstr>
      <vt:lpstr>'DebtSvs-Library'!Print_Area</vt:lpstr>
      <vt:lpstr>gen!Print_Area</vt:lpstr>
      <vt:lpstr>inputPrYr!Print_Area</vt:lpstr>
      <vt:lpstr>levypage10!Print_Area</vt:lpstr>
      <vt:lpstr>levypage11!Print_Area</vt:lpstr>
      <vt:lpstr>levypage9!Print_Area</vt:lpstr>
      <vt:lpstr>'Library Grant'!Print_Area</vt:lpstr>
      <vt:lpstr>road!Print_Area</vt:lpstr>
      <vt:lpstr>summ!Print_Area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Dept. of Administration</dc:creator>
  <cp:lastModifiedBy>vienna</cp:lastModifiedBy>
  <cp:lastPrinted>2012-07-11T18:10:55Z</cp:lastPrinted>
  <dcterms:created xsi:type="dcterms:W3CDTF">1998-08-26T16:30:41Z</dcterms:created>
  <dcterms:modified xsi:type="dcterms:W3CDTF">2012-12-05T17:05:12Z</dcterms:modified>
</cp:coreProperties>
</file>