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30" windowWidth="12975" windowHeight="8175" tabRatio="718" activeTab="4"/>
  </bookViews>
  <sheets>
    <sheet name="instructions" sheetId="1" r:id="rId1"/>
    <sheet name="inputPrYr" sheetId="2" r:id="rId2"/>
    <sheet name="inputOth" sheetId="20" r:id="rId3"/>
    <sheet name="inputBudSum" sheetId="32" r:id="rId4"/>
    <sheet name="summ" sheetId="12" r:id="rId5"/>
    <sheet name="cert" sheetId="3" r:id="rId6"/>
    <sheet name="computation" sheetId="14" r:id="rId7"/>
    <sheet name="gen" sheetId="6" r:id="rId8"/>
    <sheet name="road" sheetId="7" r:id="rId9"/>
    <sheet name="SpecRoad&amp;Noxious" sheetId="8" r:id="rId10"/>
    <sheet name="levypage10" sheetId="9" r:id="rId11"/>
    <sheet name="levypage11" sheetId="10" r:id="rId12"/>
    <sheet name="levypage12" sheetId="11" r:id="rId13"/>
    <sheet name="nolevypage13" sheetId="17" r:id="rId14"/>
    <sheet name="nolevypage14" sheetId="18" r:id="rId15"/>
    <sheet name="mvalloc" sheetId="4" r:id="rId16"/>
    <sheet name="transfer" sheetId="21" r:id="rId17"/>
    <sheet name="TransferStatutes" sheetId="24" r:id="rId18"/>
    <sheet name="debt" sheetId="13" r:id="rId19"/>
    <sheet name="DebtService" sheetId="19" r:id="rId20"/>
    <sheet name="nonbud" sheetId="25" r:id="rId21"/>
    <sheet name="NonBudFunds" sheetId="31" r:id="rId22"/>
    <sheet name="nhood" sheetId="23" r:id="rId23"/>
    <sheet name="Resolution" sheetId="16" r:id="rId24"/>
    <sheet name="Tab A" sheetId="26" r:id="rId25"/>
    <sheet name="Tab B" sheetId="27" r:id="rId26"/>
    <sheet name="Tab C" sheetId="28" r:id="rId27"/>
    <sheet name="Tab D" sheetId="29" r:id="rId28"/>
    <sheet name="Tab E" sheetId="30" r:id="rId29"/>
    <sheet name="legend" sheetId="15" r:id="rId30"/>
  </sheets>
  <externalReferences>
    <externalReference r:id="rId31"/>
  </externalReferences>
  <definedNames>
    <definedName name="_xlnm.Print_Area" localSheetId="7">gen!$A$1:$G$56</definedName>
    <definedName name="_xlnm.Print_Area" localSheetId="1">inputPrYr!$A$1:$E$92</definedName>
  </definedNames>
  <calcPr calcId="114210"/>
</workbook>
</file>

<file path=xl/calcChain.xml><?xml version="1.0" encoding="utf-8"?>
<calcChain xmlns="http://schemas.openxmlformats.org/spreadsheetml/2006/main">
  <c r="A36" i="3"/>
  <c r="A8" i="30"/>
  <c r="A46" i="29"/>
  <c r="A41"/>
  <c r="A6"/>
  <c r="A38" i="28"/>
  <c r="A33"/>
  <c r="A19"/>
  <c r="A6"/>
  <c r="A34" i="27"/>
  <c r="A33"/>
  <c r="A6"/>
  <c r="A77" i="26"/>
  <c r="A74"/>
  <c r="A33"/>
  <c r="A28"/>
  <c r="A25"/>
  <c r="A16"/>
  <c r="A6"/>
  <c r="A8" i="12"/>
  <c r="A6"/>
  <c r="J30" i="25"/>
  <c r="H30"/>
  <c r="D30"/>
  <c r="A32" i="12"/>
  <c r="A31"/>
  <c r="C35" i="3"/>
  <c r="I5" i="25"/>
  <c r="G5"/>
  <c r="E5"/>
  <c r="C5"/>
  <c r="A5"/>
  <c r="K1"/>
  <c r="F2"/>
  <c r="A1"/>
  <c r="J28"/>
  <c r="H28"/>
  <c r="F28"/>
  <c r="D28"/>
  <c r="B28"/>
  <c r="J17"/>
  <c r="J18"/>
  <c r="H17"/>
  <c r="H18"/>
  <c r="F17"/>
  <c r="F18"/>
  <c r="D17"/>
  <c r="D18"/>
  <c r="B17"/>
  <c r="B18"/>
  <c r="K7"/>
  <c r="A35" i="3"/>
  <c r="E18" i="2"/>
  <c r="D18"/>
  <c r="K21" i="4"/>
  <c r="K20"/>
  <c r="G48" i="10"/>
  <c r="K19" i="4"/>
  <c r="K18"/>
  <c r="K17"/>
  <c r="K16"/>
  <c r="K15"/>
  <c r="K13"/>
  <c r="J21"/>
  <c r="J20"/>
  <c r="J19"/>
  <c r="J18"/>
  <c r="J17"/>
  <c r="G12" i="9"/>
  <c r="J16" i="4"/>
  <c r="J15"/>
  <c r="J13"/>
  <c r="I21"/>
  <c r="G11" i="11"/>
  <c r="I20" i="4"/>
  <c r="I19"/>
  <c r="I18"/>
  <c r="I17"/>
  <c r="I16"/>
  <c r="I15"/>
  <c r="I13"/>
  <c r="G21"/>
  <c r="G20"/>
  <c r="G19"/>
  <c r="G18"/>
  <c r="G17"/>
  <c r="G16"/>
  <c r="G15"/>
  <c r="G13"/>
  <c r="E13" i="21"/>
  <c r="D13"/>
  <c r="C13"/>
  <c r="F13"/>
  <c r="B33" i="12"/>
  <c r="D22" i="4"/>
  <c r="J22"/>
  <c r="G47" i="11"/>
  <c r="D21" i="4"/>
  <c r="D20"/>
  <c r="D19"/>
  <c r="D18"/>
  <c r="D17"/>
  <c r="D16"/>
  <c r="D15"/>
  <c r="D14"/>
  <c r="D13"/>
  <c r="D12"/>
  <c r="J6" i="14"/>
  <c r="C25" i="6"/>
  <c r="C26"/>
  <c r="C46"/>
  <c r="E8"/>
  <c r="E25"/>
  <c r="E46"/>
  <c r="K31" i="4"/>
  <c r="G25"/>
  <c r="I27"/>
  <c r="J29"/>
  <c r="G12" i="11"/>
  <c r="G15" i="6"/>
  <c r="E6" i="23"/>
  <c r="G43" i="6"/>
  <c r="G46"/>
  <c r="F51"/>
  <c r="G51"/>
  <c r="B55" i="7"/>
  <c r="B56"/>
  <c r="E32" i="2"/>
  <c r="D37" i="12"/>
  <c r="E43" i="11"/>
  <c r="E55"/>
  <c r="C55"/>
  <c r="C56"/>
  <c r="C66"/>
  <c r="E66"/>
  <c r="E16" i="23"/>
  <c r="G63" i="11"/>
  <c r="G66"/>
  <c r="F71"/>
  <c r="G71"/>
  <c r="E8"/>
  <c r="E20"/>
  <c r="C20"/>
  <c r="C21"/>
  <c r="C31"/>
  <c r="E31"/>
  <c r="G13"/>
  <c r="G10"/>
  <c r="E15" i="23"/>
  <c r="G28" i="11"/>
  <c r="G31"/>
  <c r="F36"/>
  <c r="G36"/>
  <c r="G45" i="10"/>
  <c r="G46"/>
  <c r="G47"/>
  <c r="E43"/>
  <c r="E55"/>
  <c r="C55"/>
  <c r="C56"/>
  <c r="C66"/>
  <c r="C67"/>
  <c r="B70"/>
  <c r="E66"/>
  <c r="E14" i="23"/>
  <c r="G63" i="10"/>
  <c r="G66"/>
  <c r="F71"/>
  <c r="G71"/>
  <c r="E8"/>
  <c r="E20"/>
  <c r="C20"/>
  <c r="C21"/>
  <c r="C31"/>
  <c r="E31"/>
  <c r="G13"/>
  <c r="G10"/>
  <c r="G11"/>
  <c r="G12"/>
  <c r="E13" i="23"/>
  <c r="G28" i="10"/>
  <c r="G31"/>
  <c r="F36"/>
  <c r="G36"/>
  <c r="G48" i="9"/>
  <c r="G45"/>
  <c r="G46"/>
  <c r="G47"/>
  <c r="E43"/>
  <c r="E55"/>
  <c r="C55"/>
  <c r="C56"/>
  <c r="C66"/>
  <c r="E66"/>
  <c r="E12" i="23"/>
  <c r="G63" i="9"/>
  <c r="G66"/>
  <c r="F71"/>
  <c r="G71"/>
  <c r="G13"/>
  <c r="G10"/>
  <c r="G11"/>
  <c r="E8"/>
  <c r="E20"/>
  <c r="C20"/>
  <c r="C21"/>
  <c r="C31"/>
  <c r="E31"/>
  <c r="E11" i="23"/>
  <c r="G28" i="9"/>
  <c r="G31"/>
  <c r="F36"/>
  <c r="G36"/>
  <c r="G48" i="8"/>
  <c r="G45"/>
  <c r="G46"/>
  <c r="G47"/>
  <c r="E43"/>
  <c r="E55"/>
  <c r="C55"/>
  <c r="C56"/>
  <c r="C66"/>
  <c r="E66"/>
  <c r="E10" i="23"/>
  <c r="G63" i="8"/>
  <c r="G66"/>
  <c r="F71"/>
  <c r="G71"/>
  <c r="G13"/>
  <c r="G10"/>
  <c r="G11"/>
  <c r="G12"/>
  <c r="E8"/>
  <c r="E20"/>
  <c r="C20"/>
  <c r="C21"/>
  <c r="C31"/>
  <c r="E31"/>
  <c r="E9" i="23"/>
  <c r="G28" i="8"/>
  <c r="G31"/>
  <c r="F36"/>
  <c r="G36"/>
  <c r="G11" i="19"/>
  <c r="G12"/>
  <c r="G13"/>
  <c r="G14"/>
  <c r="E7" i="23"/>
  <c r="G48" i="19"/>
  <c r="G51"/>
  <c r="C29"/>
  <c r="C30"/>
  <c r="C51"/>
  <c r="E9"/>
  <c r="E29"/>
  <c r="E51"/>
  <c r="F56"/>
  <c r="G56"/>
  <c r="D6" i="23"/>
  <c r="G41" i="7"/>
  <c r="G44"/>
  <c r="C23"/>
  <c r="C24"/>
  <c r="E8"/>
  <c r="E23"/>
  <c r="G14"/>
  <c r="F46"/>
  <c r="G46"/>
  <c r="B54"/>
  <c r="B60"/>
  <c r="B62"/>
  <c r="E40" i="6"/>
  <c r="C40"/>
  <c r="E12" i="21"/>
  <c r="E11"/>
  <c r="D12"/>
  <c r="D11"/>
  <c r="C12"/>
  <c r="F12"/>
  <c r="E8" i="23"/>
  <c r="G38" i="7"/>
  <c r="B68" i="11"/>
  <c r="B69"/>
  <c r="B33"/>
  <c r="B34"/>
  <c r="B68" i="10"/>
  <c r="B69"/>
  <c r="B33"/>
  <c r="B34"/>
  <c r="B68" i="9"/>
  <c r="B69"/>
  <c r="B33"/>
  <c r="B34"/>
  <c r="B68" i="8"/>
  <c r="B69"/>
  <c r="B33"/>
  <c r="B34"/>
  <c r="B53" i="19"/>
  <c r="B54"/>
  <c r="C33" i="8"/>
  <c r="C34"/>
  <c r="C68"/>
  <c r="C69"/>
  <c r="C33" i="9"/>
  <c r="C34"/>
  <c r="C68"/>
  <c r="C69"/>
  <c r="C33" i="10"/>
  <c r="C34"/>
  <c r="C68"/>
  <c r="C69"/>
  <c r="C33" i="11"/>
  <c r="C34"/>
  <c r="C68"/>
  <c r="C69"/>
  <c r="G1"/>
  <c r="C72"/>
  <c r="G1" i="10"/>
  <c r="C72"/>
  <c r="G1" i="9"/>
  <c r="C72"/>
  <c r="G1" i="8"/>
  <c r="C72"/>
  <c r="D30" i="18"/>
  <c r="D61"/>
  <c r="D61" i="17"/>
  <c r="D30"/>
  <c r="C43" i="7"/>
  <c r="B43"/>
  <c r="G1"/>
  <c r="C53" i="19"/>
  <c r="C54"/>
  <c r="G1"/>
  <c r="B48" i="6"/>
  <c r="B49"/>
  <c r="C48"/>
  <c r="C49"/>
  <c r="G1"/>
  <c r="A63" i="2"/>
  <c r="A62"/>
  <c r="D47"/>
  <c r="J5" i="14"/>
  <c r="J7"/>
  <c r="D39" i="2"/>
  <c r="A39"/>
  <c r="A32"/>
  <c r="C30" i="18"/>
  <c r="C61"/>
  <c r="C30" i="17"/>
  <c r="C61"/>
  <c r="E1"/>
  <c r="E59"/>
  <c r="D32" i="3"/>
  <c r="E1" i="18"/>
  <c r="E1" i="20"/>
  <c r="A54"/>
  <c r="E16"/>
  <c r="G11" i="14"/>
  <c r="E21" i="20"/>
  <c r="E14" i="14"/>
  <c r="E31" i="20"/>
  <c r="E15" i="14"/>
  <c r="E26" i="20"/>
  <c r="G18" i="14"/>
  <c r="E11" i="20"/>
  <c r="D20" i="23"/>
  <c r="D22"/>
  <c r="E22" i="14"/>
  <c r="C41" i="3"/>
  <c r="C40"/>
  <c r="D15" i="23"/>
  <c r="D16"/>
  <c r="D13"/>
  <c r="D14"/>
  <c r="D12"/>
  <c r="D11"/>
  <c r="D10"/>
  <c r="D9"/>
  <c r="D8"/>
  <c r="G13" i="6"/>
  <c r="B46" i="3"/>
  <c r="D7" i="23"/>
  <c r="E28" i="17"/>
  <c r="D31" i="3"/>
  <c r="E28" i="18"/>
  <c r="D33" i="3"/>
  <c r="E59" i="18"/>
  <c r="D34" i="3"/>
  <c r="E58" i="18"/>
  <c r="D59"/>
  <c r="D58"/>
  <c r="C59"/>
  <c r="C62"/>
  <c r="D28"/>
  <c r="D31"/>
  <c r="C28"/>
  <c r="C31"/>
  <c r="D59" i="17"/>
  <c r="D62"/>
  <c r="C59"/>
  <c r="C62"/>
  <c r="D28"/>
  <c r="D27"/>
  <c r="C28"/>
  <c r="C31"/>
  <c r="E15" i="18"/>
  <c r="E14"/>
  <c r="D15"/>
  <c r="D14"/>
  <c r="C15"/>
  <c r="C14"/>
  <c r="E46"/>
  <c r="E45"/>
  <c r="D46"/>
  <c r="D45"/>
  <c r="C46"/>
  <c r="C45"/>
  <c r="E46" i="17"/>
  <c r="E45"/>
  <c r="D46"/>
  <c r="D45"/>
  <c r="C46"/>
  <c r="C45"/>
  <c r="C54" i="11"/>
  <c r="C19"/>
  <c r="C54" i="10"/>
  <c r="C19"/>
  <c r="C19" i="9"/>
  <c r="C54"/>
  <c r="C54" i="8"/>
  <c r="C19"/>
  <c r="E65" i="11"/>
  <c r="C65"/>
  <c r="E30"/>
  <c r="C30"/>
  <c r="E65" i="10"/>
  <c r="C65"/>
  <c r="E30"/>
  <c r="C30"/>
  <c r="E65" i="9"/>
  <c r="C65"/>
  <c r="E30"/>
  <c r="C30"/>
  <c r="E65" i="8"/>
  <c r="C65"/>
  <c r="E30"/>
  <c r="C30"/>
  <c r="E50" i="19"/>
  <c r="C50"/>
  <c r="C22" i="7"/>
  <c r="C28" i="19"/>
  <c r="E15" i="17"/>
  <c r="D15"/>
  <c r="C15"/>
  <c r="C24" i="6"/>
  <c r="B16" i="23"/>
  <c r="B15"/>
  <c r="B14"/>
  <c r="B13"/>
  <c r="B12"/>
  <c r="B11"/>
  <c r="B10"/>
  <c r="B9"/>
  <c r="B8"/>
  <c r="B7"/>
  <c r="B6"/>
  <c r="D24"/>
  <c r="D26"/>
  <c r="F1"/>
  <c r="E5"/>
  <c r="A1"/>
  <c r="E17"/>
  <c r="C17"/>
  <c r="K1" i="4"/>
  <c r="D10"/>
  <c r="B21" i="3"/>
  <c r="J1" i="14"/>
  <c r="B18"/>
  <c r="F39" i="12"/>
  <c r="C47" i="18"/>
  <c r="C60"/>
  <c r="C63"/>
  <c r="C16"/>
  <c r="C29"/>
  <c r="C32"/>
  <c r="C47" i="17"/>
  <c r="A97" i="20"/>
  <c r="A96"/>
  <c r="A95"/>
  <c r="A94"/>
  <c r="A93"/>
  <c r="A92"/>
  <c r="A91"/>
  <c r="A90"/>
  <c r="A89"/>
  <c r="A88"/>
  <c r="A87"/>
  <c r="A86"/>
  <c r="A85"/>
  <c r="A84"/>
  <c r="A83"/>
  <c r="C81"/>
  <c r="B81"/>
  <c r="E13" i="4"/>
  <c r="E14"/>
  <c r="E15"/>
  <c r="E16"/>
  <c r="E17"/>
  <c r="E18"/>
  <c r="E19"/>
  <c r="E20"/>
  <c r="E21"/>
  <c r="E22"/>
  <c r="E12"/>
  <c r="A33" i="20"/>
  <c r="A16"/>
  <c r="A26"/>
  <c r="A11"/>
  <c r="A30"/>
  <c r="A29"/>
  <c r="A25"/>
  <c r="A24"/>
  <c r="A20"/>
  <c r="A19"/>
  <c r="A15"/>
  <c r="A14"/>
  <c r="A10"/>
  <c r="A9"/>
  <c r="A22"/>
  <c r="A12"/>
  <c r="F38" i="12"/>
  <c r="B38"/>
  <c r="E54" i="20"/>
  <c r="D38" i="12"/>
  <c r="A50" i="20"/>
  <c r="A56"/>
  <c r="A6"/>
  <c r="A7"/>
  <c r="A53"/>
  <c r="A52"/>
  <c r="A45" i="3"/>
  <c r="A44"/>
  <c r="A43"/>
  <c r="F31" i="12"/>
  <c r="D31"/>
  <c r="F30"/>
  <c r="D30"/>
  <c r="F29"/>
  <c r="D29"/>
  <c r="F28"/>
  <c r="D28"/>
  <c r="D48" i="20"/>
  <c r="E27" i="12"/>
  <c r="E26"/>
  <c r="E25"/>
  <c r="E24"/>
  <c r="E23"/>
  <c r="E22"/>
  <c r="E21"/>
  <c r="E20"/>
  <c r="E19"/>
  <c r="E18"/>
  <c r="E17"/>
  <c r="A47" i="20"/>
  <c r="A46"/>
  <c r="A45"/>
  <c r="A44"/>
  <c r="A43"/>
  <c r="A42"/>
  <c r="A41"/>
  <c r="A40"/>
  <c r="A39"/>
  <c r="A38"/>
  <c r="A37"/>
  <c r="C21" i="3"/>
  <c r="C20"/>
  <c r="A32" i="20"/>
  <c r="H27" i="4"/>
  <c r="E15" i="13"/>
  <c r="F44" i="12"/>
  <c r="D27" i="21"/>
  <c r="D29"/>
  <c r="D35" i="12"/>
  <c r="F1" i="21"/>
  <c r="D9"/>
  <c r="A2"/>
  <c r="G1" i="3"/>
  <c r="B57"/>
  <c r="A60" i="2"/>
  <c r="D45" i="12"/>
  <c r="D44"/>
  <c r="B45"/>
  <c r="B44"/>
  <c r="D43"/>
  <c r="B43"/>
  <c r="E65" i="2"/>
  <c r="D65"/>
  <c r="A2" i="20"/>
  <c r="A1"/>
  <c r="A76"/>
  <c r="A35"/>
  <c r="A48" i="2"/>
  <c r="A17"/>
  <c r="A7" i="16"/>
  <c r="A11"/>
  <c r="A26"/>
  <c r="A30"/>
  <c r="E11" i="13"/>
  <c r="F43" i="12"/>
  <c r="K15" i="13"/>
  <c r="J15"/>
  <c r="I15"/>
  <c r="H15"/>
  <c r="K11"/>
  <c r="K16"/>
  <c r="J11"/>
  <c r="J16"/>
  <c r="I11"/>
  <c r="I16"/>
  <c r="H11"/>
  <c r="H16"/>
  <c r="H1" i="12"/>
  <c r="B42"/>
  <c r="B18"/>
  <c r="D18"/>
  <c r="C18"/>
  <c r="G5" i="6"/>
  <c r="E5" i="18"/>
  <c r="E36"/>
  <c r="E5" i="6"/>
  <c r="D5" i="18"/>
  <c r="D36"/>
  <c r="C5" i="6"/>
  <c r="C5" i="18"/>
  <c r="C36"/>
  <c r="E5" i="10"/>
  <c r="E40"/>
  <c r="B13" i="4"/>
  <c r="B11"/>
  <c r="K1" i="13"/>
  <c r="F23"/>
  <c r="B50" i="2"/>
  <c r="A1" i="19"/>
  <c r="A3" i="3"/>
  <c r="D11"/>
  <c r="A36" i="14"/>
  <c r="B32"/>
  <c r="B22"/>
  <c r="C15"/>
  <c r="C14"/>
  <c r="B9"/>
  <c r="B6"/>
  <c r="B5"/>
  <c r="A3"/>
  <c r="D33" i="16"/>
  <c r="A21"/>
  <c r="A6"/>
  <c r="B30" i="12"/>
  <c r="B28"/>
  <c r="B31"/>
  <c r="B29"/>
  <c r="C34" i="3"/>
  <c r="C33"/>
  <c r="C32"/>
  <c r="C31"/>
  <c r="A30" i="12"/>
  <c r="A29"/>
  <c r="A28"/>
  <c r="A34" i="3"/>
  <c r="A33"/>
  <c r="A32"/>
  <c r="A31"/>
  <c r="A1" i="18"/>
  <c r="A1" i="17"/>
  <c r="A36" i="18"/>
  <c r="A5"/>
  <c r="A36" i="17"/>
  <c r="A5"/>
  <c r="D37" i="18"/>
  <c r="D47"/>
  <c r="D60"/>
  <c r="D6"/>
  <c r="D16"/>
  <c r="D29"/>
  <c r="E6"/>
  <c r="E16"/>
  <c r="E29"/>
  <c r="E30"/>
  <c r="A12" i="16"/>
  <c r="I6"/>
  <c r="B30" i="3"/>
  <c r="B29"/>
  <c r="B28"/>
  <c r="B27"/>
  <c r="B26"/>
  <c r="B25"/>
  <c r="B24"/>
  <c r="B23"/>
  <c r="B22"/>
  <c r="A30"/>
  <c r="A29"/>
  <c r="A28"/>
  <c r="A27"/>
  <c r="A26"/>
  <c r="A25"/>
  <c r="A24"/>
  <c r="A23"/>
  <c r="A22"/>
  <c r="C37"/>
  <c r="C30"/>
  <c r="C29"/>
  <c r="C28"/>
  <c r="C27"/>
  <c r="C26"/>
  <c r="C25"/>
  <c r="C24"/>
  <c r="C23"/>
  <c r="C22"/>
  <c r="C39"/>
  <c r="B20"/>
  <c r="A20"/>
  <c r="C5"/>
  <c r="C1" i="14"/>
  <c r="H36" i="13"/>
  <c r="G36"/>
  <c r="F36"/>
  <c r="A2"/>
  <c r="A1"/>
  <c r="A5" i="6"/>
  <c r="A1"/>
  <c r="D60" i="2"/>
  <c r="B59"/>
  <c r="B58"/>
  <c r="B57"/>
  <c r="B56"/>
  <c r="B55"/>
  <c r="B54"/>
  <c r="B53"/>
  <c r="B52"/>
  <c r="B51"/>
  <c r="B49"/>
  <c r="B22" i="4"/>
  <c r="B21"/>
  <c r="B20"/>
  <c r="B19"/>
  <c r="B18"/>
  <c r="B17"/>
  <c r="B16"/>
  <c r="B15"/>
  <c r="B14"/>
  <c r="B12"/>
  <c r="B1"/>
  <c r="A1" i="7"/>
  <c r="A5"/>
  <c r="F45" i="12"/>
  <c r="A27"/>
  <c r="A26"/>
  <c r="A25"/>
  <c r="A24"/>
  <c r="A23"/>
  <c r="A22"/>
  <c r="A21"/>
  <c r="A20"/>
  <c r="A19"/>
  <c r="C27"/>
  <c r="C26"/>
  <c r="C25"/>
  <c r="C24"/>
  <c r="C23"/>
  <c r="C22"/>
  <c r="C21"/>
  <c r="C20"/>
  <c r="C19"/>
  <c r="C17"/>
  <c r="B37"/>
  <c r="A17"/>
  <c r="A5"/>
  <c r="A4"/>
  <c r="D46"/>
  <c r="B46"/>
  <c r="E34"/>
  <c r="D23"/>
  <c r="B23"/>
  <c r="B22"/>
  <c r="D22"/>
  <c r="D25"/>
  <c r="B25"/>
  <c r="B24"/>
  <c r="D24"/>
  <c r="D27"/>
  <c r="B27"/>
  <c r="B26"/>
  <c r="D26"/>
  <c r="D21"/>
  <c r="B21"/>
  <c r="B20"/>
  <c r="D20"/>
  <c r="A1" i="8"/>
  <c r="A40"/>
  <c r="A5"/>
  <c r="A40" i="9"/>
  <c r="A5"/>
  <c r="A1"/>
  <c r="A40" i="10"/>
  <c r="A5"/>
  <c r="A1"/>
  <c r="A40" i="11"/>
  <c r="A5"/>
  <c r="A1"/>
  <c r="C16" i="17"/>
  <c r="C29"/>
  <c r="C32"/>
  <c r="D6"/>
  <c r="D16"/>
  <c r="D29"/>
  <c r="E6"/>
  <c r="E16"/>
  <c r="E29"/>
  <c r="E30"/>
  <c r="C14"/>
  <c r="D14"/>
  <c r="E14"/>
  <c r="C11" i="21"/>
  <c r="F11"/>
  <c r="E45" i="6"/>
  <c r="C45"/>
  <c r="B17" i="12"/>
  <c r="D17"/>
  <c r="G40" i="7"/>
  <c r="H43"/>
  <c r="D22" i="3"/>
  <c r="F19" i="12"/>
  <c r="G20" i="10"/>
  <c r="A80" i="20"/>
  <c r="C27" i="21"/>
  <c r="C29"/>
  <c r="B35" i="12"/>
  <c r="A15" i="3"/>
  <c r="E12"/>
  <c r="A9"/>
  <c r="A68"/>
  <c r="G5" i="8"/>
  <c r="G40"/>
  <c r="E5" i="9"/>
  <c r="E40"/>
  <c r="G5" i="10"/>
  <c r="G40"/>
  <c r="E5" i="11"/>
  <c r="E40"/>
  <c r="E5" i="17"/>
  <c r="E36"/>
  <c r="C9" i="21"/>
  <c r="F46" i="12"/>
  <c r="E23" i="4"/>
  <c r="B13" i="14"/>
  <c r="E6" i="19"/>
  <c r="A17" i="20"/>
  <c r="A27"/>
  <c r="A30" i="17"/>
  <c r="A61"/>
  <c r="A53" i="19"/>
  <c r="C37" i="9"/>
  <c r="A33" i="10"/>
  <c r="A68"/>
  <c r="A33" i="11"/>
  <c r="E27" i="21"/>
  <c r="E29"/>
  <c r="F35" i="12"/>
  <c r="D23" i="4"/>
  <c r="G33"/>
  <c r="H6" i="13"/>
  <c r="H23"/>
  <c r="E5" i="7"/>
  <c r="A11" i="12"/>
  <c r="D13"/>
  <c r="G14"/>
  <c r="F42"/>
  <c r="E16" i="13"/>
  <c r="B11" i="14"/>
  <c r="C27" i="17"/>
  <c r="D27" i="18"/>
  <c r="E27"/>
  <c r="A30"/>
  <c r="A43" i="7"/>
  <c r="A68" i="9"/>
  <c r="A68" i="11"/>
  <c r="G29" i="19"/>
  <c r="H35" i="4"/>
  <c r="G55" i="9"/>
  <c r="J37" i="4"/>
  <c r="G20" i="8"/>
  <c r="G55"/>
  <c r="G22" i="4"/>
  <c r="G45" i="11"/>
  <c r="K22" i="4"/>
  <c r="I22"/>
  <c r="G5" i="7"/>
  <c r="G5" i="9"/>
  <c r="G40"/>
  <c r="G5" i="11"/>
  <c r="G40"/>
  <c r="A10" i="12"/>
  <c r="F13"/>
  <c r="D42"/>
  <c r="D5" i="23"/>
  <c r="C47" i="7"/>
  <c r="E7" i="13"/>
  <c r="E10" i="4"/>
  <c r="B3" i="23"/>
  <c r="A61" i="18"/>
  <c r="C5" i="7"/>
  <c r="C5" i="8"/>
  <c r="C40"/>
  <c r="C5" i="9"/>
  <c r="C40"/>
  <c r="C5" i="10"/>
  <c r="C40"/>
  <c r="C5" i="11"/>
  <c r="C40"/>
  <c r="C5" i="17"/>
  <c r="C36"/>
  <c r="E9" i="21"/>
  <c r="A31" i="20"/>
  <c r="A48" i="6"/>
  <c r="C37" i="11"/>
  <c r="A21" i="20"/>
  <c r="C57" i="19"/>
  <c r="C37" i="8"/>
  <c r="A33" i="9"/>
  <c r="C37" i="10"/>
  <c r="C60" i="17"/>
  <c r="C63"/>
  <c r="C58"/>
  <c r="D58"/>
  <c r="E58"/>
  <c r="E41" i="10"/>
  <c r="G46" i="11"/>
  <c r="G48"/>
  <c r="D17" i="23"/>
  <c r="J29" i="25"/>
  <c r="H29"/>
  <c r="D29"/>
  <c r="K28"/>
  <c r="B32" i="12"/>
  <c r="A8" i="3"/>
  <c r="A69"/>
  <c r="G6" i="19"/>
  <c r="B50" i="7"/>
  <c r="G23" i="13"/>
  <c r="E5" i="8"/>
  <c r="E40"/>
  <c r="D5" i="17"/>
  <c r="D36"/>
  <c r="K39" i="4"/>
  <c r="C6" i="19"/>
  <c r="C52" i="6"/>
  <c r="A68" i="8"/>
  <c r="E24" i="6"/>
  <c r="E28" i="19"/>
  <c r="E19" i="8"/>
  <c r="J6" i="13"/>
  <c r="B13" i="12"/>
  <c r="G10" i="4"/>
  <c r="A33" i="8"/>
  <c r="B29" i="25"/>
  <c r="B30"/>
  <c r="K17"/>
  <c r="C34" i="12"/>
  <c r="C52" i="19"/>
  <c r="C67" i="8"/>
  <c r="C67" i="9"/>
  <c r="C67" i="11"/>
  <c r="C32" i="9"/>
  <c r="C32" i="10"/>
  <c r="C32" i="11"/>
  <c r="C32" i="8"/>
  <c r="D37" i="17"/>
  <c r="D47"/>
  <c r="D60"/>
  <c r="D62" i="18"/>
  <c r="D63"/>
  <c r="E37"/>
  <c r="E47"/>
  <c r="E60"/>
  <c r="E61"/>
  <c r="C58"/>
  <c r="C27"/>
  <c r="D31" i="17"/>
  <c r="E27"/>
  <c r="E7" i="19"/>
  <c r="E30"/>
  <c r="E52"/>
  <c r="B55"/>
  <c r="B70" i="8"/>
  <c r="E41"/>
  <c r="B70" i="9"/>
  <c r="E41"/>
  <c r="B70" i="11"/>
  <c r="E41"/>
  <c r="B35" i="9"/>
  <c r="E6"/>
  <c r="B35" i="10"/>
  <c r="E6"/>
  <c r="B35" i="11"/>
  <c r="E6"/>
  <c r="E6" i="8"/>
  <c r="E21"/>
  <c r="E32"/>
  <c r="B35"/>
  <c r="D63" i="17"/>
  <c r="E37"/>
  <c r="E47"/>
  <c r="E60"/>
  <c r="E61"/>
  <c r="E21" i="11"/>
  <c r="E32"/>
  <c r="E19"/>
  <c r="E56" i="8"/>
  <c r="E67"/>
  <c r="E54"/>
  <c r="A20" i="23"/>
  <c r="I35" i="4"/>
  <c r="G41" i="8"/>
  <c r="G56"/>
  <c r="C70"/>
  <c r="C5" i="23"/>
  <c r="A30"/>
  <c r="B5"/>
  <c r="K30" i="25"/>
  <c r="K18"/>
  <c r="F29"/>
  <c r="C55" i="7"/>
  <c r="F30" i="25"/>
  <c r="K29"/>
  <c r="G16" i="14"/>
  <c r="G20"/>
  <c r="G24"/>
  <c r="I14" i="4"/>
  <c r="G11" i="7"/>
  <c r="G20" i="9"/>
  <c r="C37" i="7"/>
  <c r="C41"/>
  <c r="C54"/>
  <c r="C42"/>
  <c r="C42" i="6"/>
  <c r="C47"/>
  <c r="E22" i="7"/>
  <c r="G14" i="4"/>
  <c r="G10" i="7"/>
  <c r="I12" i="4"/>
  <c r="G11" i="6"/>
  <c r="J14" i="4"/>
  <c r="G12" i="7"/>
  <c r="K14" i="4"/>
  <c r="G13" i="7"/>
  <c r="J12" i="4"/>
  <c r="J23"/>
  <c r="G12" i="6"/>
  <c r="I23" i="4"/>
  <c r="G55" i="11"/>
  <c r="G55" i="10"/>
  <c r="G20" i="11"/>
  <c r="B32" i="21"/>
  <c r="G6" i="8"/>
  <c r="G21"/>
  <c r="C35"/>
  <c r="G7" i="19"/>
  <c r="G30"/>
  <c r="C55"/>
  <c r="D25" i="3"/>
  <c r="G30" i="9"/>
  <c r="F22" i="12"/>
  <c r="G34" i="9"/>
  <c r="H33"/>
  <c r="E54"/>
  <c r="E56"/>
  <c r="E67"/>
  <c r="G34" i="10"/>
  <c r="D27" i="3"/>
  <c r="G30" i="10"/>
  <c r="H33"/>
  <c r="F24" i="12"/>
  <c r="E19" i="10"/>
  <c r="E21"/>
  <c r="E32"/>
  <c r="G69"/>
  <c r="D28" i="3"/>
  <c r="G65" i="10"/>
  <c r="H68"/>
  <c r="F25" i="12"/>
  <c r="E56" i="10"/>
  <c r="E67"/>
  <c r="E54"/>
  <c r="G34" i="11"/>
  <c r="H33"/>
  <c r="D29" i="3"/>
  <c r="G30" i="11"/>
  <c r="F26" i="12"/>
  <c r="E54" i="11"/>
  <c r="E56"/>
  <c r="E67"/>
  <c r="G49" i="6"/>
  <c r="D20" i="3"/>
  <c r="F17" i="12"/>
  <c r="H48" i="6"/>
  <c r="G45"/>
  <c r="G6" i="11"/>
  <c r="C35"/>
  <c r="H53" i="19"/>
  <c r="D21" i="3"/>
  <c r="G54" i="19"/>
  <c r="G55"/>
  <c r="G57"/>
  <c r="F21" i="3"/>
  <c r="F18" i="12"/>
  <c r="G50" i="19"/>
  <c r="D23" i="3"/>
  <c r="G30" i="8"/>
  <c r="H33"/>
  <c r="F20" i="12"/>
  <c r="G34" i="8"/>
  <c r="G35"/>
  <c r="G37"/>
  <c r="F21" i="12"/>
  <c r="G69" i="8"/>
  <c r="G70"/>
  <c r="G72"/>
  <c r="D24" i="3"/>
  <c r="G65" i="8"/>
  <c r="H68"/>
  <c r="E19" i="9"/>
  <c r="E21"/>
  <c r="E32"/>
  <c r="G69"/>
  <c r="D26" i="3"/>
  <c r="G65" i="9"/>
  <c r="F23" i="12"/>
  <c r="H68" i="9"/>
  <c r="G21" i="11"/>
  <c r="G65"/>
  <c r="F27" i="12"/>
  <c r="H68" i="11"/>
  <c r="G69"/>
  <c r="D30" i="3"/>
  <c r="G26" i="14"/>
  <c r="J28"/>
  <c r="J30"/>
  <c r="G12" i="4"/>
  <c r="B45" i="7"/>
  <c r="E6"/>
  <c r="E24"/>
  <c r="E37"/>
  <c r="E41"/>
  <c r="D19" i="12"/>
  <c r="D34"/>
  <c r="D36"/>
  <c r="B19"/>
  <c r="B34"/>
  <c r="B36"/>
  <c r="C40" i="7"/>
  <c r="B44"/>
  <c r="C44"/>
  <c r="B50" i="6"/>
  <c r="E6"/>
  <c r="E26"/>
  <c r="G23" i="7"/>
  <c r="K12" i="4"/>
  <c r="G6" i="9"/>
  <c r="G21"/>
  <c r="C35"/>
  <c r="G41"/>
  <c r="G56"/>
  <c r="C70"/>
  <c r="F34" i="12"/>
  <c r="F36"/>
  <c r="G54" i="8"/>
  <c r="G21" i="12"/>
  <c r="H21"/>
  <c r="E24" i="3"/>
  <c r="F24"/>
  <c r="H20" i="12"/>
  <c r="F23" i="3"/>
  <c r="G20" i="12"/>
  <c r="E23" i="3"/>
  <c r="G19" i="8"/>
  <c r="J32" i="14"/>
  <c r="G18" i="12"/>
  <c r="G28" i="19"/>
  <c r="E21" i="3"/>
  <c r="H18" i="12"/>
  <c r="G41" i="11"/>
  <c r="G56"/>
  <c r="C70"/>
  <c r="C70" i="10"/>
  <c r="G41"/>
  <c r="G56"/>
  <c r="G70"/>
  <c r="G72"/>
  <c r="G6"/>
  <c r="G21"/>
  <c r="C35"/>
  <c r="G70" i="11"/>
  <c r="G72"/>
  <c r="G70" i="9"/>
  <c r="G72"/>
  <c r="D38" i="3"/>
  <c r="G35" i="11"/>
  <c r="G37"/>
  <c r="G35" i="10"/>
  <c r="G37"/>
  <c r="G35" i="9"/>
  <c r="G37"/>
  <c r="J34" i="14"/>
  <c r="G10" i="6"/>
  <c r="G23" i="4"/>
  <c r="E40" i="7"/>
  <c r="E42"/>
  <c r="E42" i="6"/>
  <c r="E47"/>
  <c r="G14"/>
  <c r="G25"/>
  <c r="K23" i="4"/>
  <c r="G25" i="12"/>
  <c r="H25"/>
  <c r="E28" i="3"/>
  <c r="F28"/>
  <c r="G54" i="10"/>
  <c r="G22" i="12"/>
  <c r="H22"/>
  <c r="F25" i="3"/>
  <c r="E25"/>
  <c r="G19" i="9"/>
  <c r="G23" i="12"/>
  <c r="H23"/>
  <c r="E26" i="3"/>
  <c r="G54" i="9"/>
  <c r="F26" i="3"/>
  <c r="G19" i="10"/>
  <c r="F27" i="3"/>
  <c r="G24" i="12"/>
  <c r="E27" i="3"/>
  <c r="H24" i="12"/>
  <c r="G27"/>
  <c r="H27"/>
  <c r="E30" i="3"/>
  <c r="F30"/>
  <c r="G54" i="11"/>
  <c r="H26" i="12"/>
  <c r="G26"/>
  <c r="F29" i="3"/>
  <c r="E29"/>
  <c r="G19" i="11"/>
  <c r="G6" i="7"/>
  <c r="G24"/>
  <c r="G45"/>
  <c r="G47"/>
  <c r="G37"/>
  <c r="C45"/>
  <c r="C50" i="6"/>
  <c r="G6"/>
  <c r="G26"/>
  <c r="G19" i="12"/>
  <c r="E22" i="3"/>
  <c r="F22"/>
  <c r="G22" i="7"/>
  <c r="G50" i="6"/>
  <c r="G52"/>
  <c r="G42"/>
  <c r="H19" i="12"/>
  <c r="G40" i="6"/>
  <c r="G17" i="12"/>
  <c r="G34"/>
  <c r="E20" i="3"/>
  <c r="G24" i="6"/>
  <c r="H17" i="12"/>
  <c r="H34"/>
  <c r="F20" i="3"/>
  <c r="F38"/>
  <c r="E38"/>
  <c r="E40"/>
</calcChain>
</file>

<file path=xl/sharedStrings.xml><?xml version="1.0" encoding="utf-8"?>
<sst xmlns="http://schemas.openxmlformats.org/spreadsheetml/2006/main" count="1275" uniqueCount="708">
  <si>
    <t>12. On inputpryr, using the actual ad valorem rates from the Clerk's information versus from the Certificate page.</t>
  </si>
  <si>
    <t>17. On inputpryr page add two spaces for Third Class City names, and levy amounts with links to Budget Summary.</t>
  </si>
  <si>
    <t>18. On inputoth page add two spaces for Third Class City for vehicle allocation, clerk's Nov assessed valuation, and  current year valuation.</t>
  </si>
  <si>
    <t>19. Budget Summary page add places to the Third Class City valuations.</t>
  </si>
  <si>
    <t xml:space="preserve">  Other</t>
  </si>
  <si>
    <t>1b. Information for up to two third class cities can be entered into the spreadsheet for the township's budget.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</si>
  <si>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</si>
  <si>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forms in the appropriate locations.  If any of the numbers are wrong, change them on this input sheet.</t>
  </si>
  <si>
    <t>Outstanding Indebtedness, January 1:</t>
  </si>
  <si>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</si>
  <si>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</si>
  <si>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</si>
  <si>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20. Added to instructions about non-appropriated funds limit of 5%.</t>
  </si>
  <si>
    <t>Neighborhood Revitalization</t>
  </si>
  <si>
    <t>23. Added Neighborhood Revitalization receipt to all tax levy fund pages.</t>
  </si>
  <si>
    <t>County Treasurer's Slider Estimate</t>
  </si>
  <si>
    <t>Slider Factor</t>
  </si>
  <si>
    <t>Alloc of MVT, RVT, 16/20M Vehicles &amp; Slider</t>
  </si>
  <si>
    <t>25. Added Slider to the Vehicle Allocation table and linked to the fund pages.</t>
  </si>
  <si>
    <t>Funds</t>
  </si>
  <si>
    <t>Budget Authority</t>
  </si>
  <si>
    <t xml:space="preserve">expenditure amounts should reflect the amended </t>
  </si>
  <si>
    <t>expenditure amounts.</t>
  </si>
  <si>
    <t>26. Added to all budgeted fund pages the budget authority for the actual year, budget violation, and cash violation.</t>
  </si>
  <si>
    <t>27. Added instruction on the addition for item 26.</t>
  </si>
  <si>
    <t>Noxious Weed</t>
  </si>
  <si>
    <t>2-1318</t>
  </si>
  <si>
    <t>Total Assessed Valuation</t>
  </si>
  <si>
    <t xml:space="preserve">FUND PAGE </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</si>
  <si>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</si>
  <si>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</si>
  <si>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</si>
  <si>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Red areas are for notes or indicate a problem area that will need possible corrective action taken.</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</si>
  <si>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Do not use the copy and move functions on this page.   Do not add or delete lines on this page</t>
    </r>
    <r>
      <rPr>
        <sz val="12"/>
        <rFont val="Times New Roman"/>
        <family val="1"/>
      </rPr>
      <t>.</t>
    </r>
  </si>
  <si>
    <r>
      <t xml:space="preserve">2. The information entered into the Input Other (inputoth) worksheet is obtained from the County Clerk, County Treasurer, and the budget from two years ago (the year for actual column of current budget).  </t>
    </r>
    <r>
      <rPr>
        <b/>
        <sz val="12"/>
        <rFont val="Times New Roman"/>
        <family val="1"/>
      </rPr>
      <t>Please note</t>
    </r>
    <r>
      <rPr>
        <sz val="12"/>
        <rFont val="Times New Roman"/>
        <family val="1"/>
      </rPr>
      <t xml:space="preserve">, if the County Treasurer information has already added the third class city vehicle estimates together with the township, then the third class city estimates would be left blank. After the information has been entered, please verify the data is correct. </t>
    </r>
    <r>
      <rPr>
        <b/>
        <sz val="12"/>
        <rFont val="Times New Roman"/>
        <family val="1"/>
      </rPr>
      <t>Do not</t>
    </r>
    <r>
      <rPr>
        <sz val="12"/>
        <rFont val="Times New Roman"/>
        <family val="1"/>
      </rPr>
      <t xml:space="preserve"> use the copy and move functions on this page.  </t>
    </r>
    <r>
      <rPr>
        <b/>
        <sz val="12"/>
        <rFont val="Times New Roman"/>
        <family val="1"/>
      </rPr>
      <t>Do not</t>
    </r>
    <r>
      <rPr>
        <sz val="12"/>
        <rFont val="Times New Roman"/>
        <family val="1"/>
      </rPr>
      <t xml:space="preserve"> add or delete lines on this page.</t>
    </r>
  </si>
  <si>
    <t>28. Added 9a to instructions to explain County Treasurers Jan 1 and Dec 31 balances.</t>
  </si>
  <si>
    <t>29. Added 'excluding oil, gas, and mobile homes' to lines 17,21,27, and 31 on Clerks budget info on tab inputoth.</t>
  </si>
  <si>
    <t>***If you are merely leasing/renting with no intent to purchase, do not list--such transactions are not lease-purchases.</t>
  </si>
  <si>
    <t>Non-Appr Bal</t>
  </si>
  <si>
    <t>Tot Exp/Non-Appr Bal</t>
  </si>
  <si>
    <t>Del Comp Rate:</t>
  </si>
  <si>
    <t>Transfer to Spec. Mach.(No Levy)</t>
  </si>
  <si>
    <t>Does the General Fund have a tax levy</t>
  </si>
  <si>
    <t>Transfer to Spec. Mach.(Gen has Levy)</t>
  </si>
  <si>
    <t>The transfer can not exceed 25% of Resouces Available</t>
  </si>
  <si>
    <t xml:space="preserve">General </t>
  </si>
  <si>
    <t>Does the transfer exceed 25% of Resources Available</t>
  </si>
  <si>
    <t xml:space="preserve">  General Fund (No Levy)</t>
  </si>
  <si>
    <t xml:space="preserve">  General Fund (Gen has Levy)</t>
  </si>
  <si>
    <t>1. Input tab (inputPrYr) added column for the current year expenditures.</t>
  </si>
  <si>
    <t>2. Added to all tax levy fund pages the miscellaneous receipt for the proposed year comparison takes into account the ad valorem taxes for the 10% Rule.</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</si>
  <si>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</si>
  <si>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</si>
  <si>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</si>
  <si>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</si>
  <si>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</si>
  <si>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</si>
  <si>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21. Added warning "Exceeds 5%" on all levy fund pages for the non-appropriated balance.</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</si>
  <si>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</si>
  <si>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</si>
  <si>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</si>
  <si>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</si>
  <si>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17. Deleted lines pertaining to the beginning and ending balance for the County Treasurer.</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</si>
  <si>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</si>
  <si>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</si>
  <si>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</si>
  <si>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</si>
  <si>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</si>
  <si>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</si>
  <si>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</si>
  <si>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</si>
  <si>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</si>
  <si>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</si>
  <si>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</si>
  <si>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</si>
  <si>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Allow the General Fund transfer of 25% to Special Machinery to include ad valorem taxes into the computation of the 25% limitation in the proposed column.</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</si>
  <si>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</si>
  <si>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The following were changed to this spreadsheet on 10/17/2008</t>
  </si>
  <si>
    <t>Enter Township Name followed by 'Township'</t>
  </si>
  <si>
    <t>Enter County Name followed by 'County'</t>
  </si>
  <si>
    <t>Note: The green shaded areas will automatically expand.</t>
  </si>
  <si>
    <t>68-518c</t>
  </si>
  <si>
    <t>Allocation of Motor, Recreational, 16/20M Vehicle Tax, and Slider</t>
  </si>
  <si>
    <t>TOTAL</t>
  </si>
  <si>
    <t>Miscellaneous</t>
  </si>
  <si>
    <t>Does miscellaneous exceed 10% of Total Receipts</t>
  </si>
  <si>
    <t>Neighborhood Revitalization Rebate</t>
  </si>
  <si>
    <t>Does miscellaneous exceed 10% of Total Expenditures</t>
  </si>
  <si>
    <t>24. Added Neighborhood Revitalization line to the Certificate page.</t>
  </si>
  <si>
    <t>22. Added Neighborhood Revitalization table and linked to the fund pages.</t>
  </si>
  <si>
    <t>8. Added  LAVTR to the input page and to the General Fund page.</t>
  </si>
  <si>
    <t>15. Budget Summary changed the sentence "will meet…" so the year appears as YYYY.</t>
  </si>
  <si>
    <t>Township Assessed Valuation Only</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</si>
  <si>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</si>
  <si>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</si>
  <si>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</si>
  <si>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</si>
  <si>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</si>
  <si>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</si>
  <si>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</si>
  <si>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</si>
  <si>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</si>
  <si>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</si>
  <si>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</si>
  <si>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</si>
  <si>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</si>
  <si>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</si>
  <si>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</si>
  <si>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</si>
  <si>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</si>
  <si>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</si>
  <si>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</si>
  <si>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</si>
  <si>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</si>
  <si>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</si>
  <si>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</si>
  <si>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</si>
  <si>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Special Road Election held ___________ for ___Mills for ___ years.</t>
  </si>
  <si>
    <t>First levy in ______.</t>
  </si>
  <si>
    <t>with the IRS.</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</si>
  <si>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</si>
  <si>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</si>
  <si>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</si>
  <si>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</si>
  <si>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</si>
  <si>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</si>
  <si>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</si>
  <si>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</si>
  <si>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</si>
  <si>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</si>
  <si>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</si>
  <si>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</si>
  <si>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</si>
  <si>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</si>
  <si>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</si>
  <si>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</si>
  <si>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</si>
  <si>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</si>
  <si>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</si>
  <si>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</si>
  <si>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</si>
  <si>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</si>
  <si>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</si>
  <si>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</si>
  <si>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</si>
  <si>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</si>
  <si>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</si>
  <si>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</si>
  <si>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</si>
  <si>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</si>
  <si>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</si>
  <si>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</si>
  <si>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</si>
  <si>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</si>
  <si>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</si>
  <si>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</si>
  <si>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</si>
  <si>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 xml:space="preserve">     </t>
  </si>
  <si>
    <t>The governing body of</t>
  </si>
  <si>
    <t>Est.</t>
  </si>
  <si>
    <t>Tax</t>
  </si>
  <si>
    <t>Expenditures</t>
  </si>
  <si>
    <t>Rate*</t>
  </si>
  <si>
    <t>Less: Transfers</t>
  </si>
  <si>
    <t>Net Expenditure</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</si>
  <si>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</si>
  <si>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</si>
  <si>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</si>
  <si>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80 change from Budget Summary to Budget Certificate.</t>
  </si>
  <si>
    <t>Debt Service</t>
  </si>
  <si>
    <t>The following were changed to this spreadsheet on 3/19/09</t>
  </si>
  <si>
    <t>1. Certificate page changed fund name from Bond &amp; Interest to Debt Service</t>
  </si>
  <si>
    <t>2. Debt Service fund page name changed from Bond &amp; Interest to Debt Service</t>
  </si>
  <si>
    <t>3. Budget Summary changed fund name from Bond &amp; Interest to Debt Service</t>
  </si>
  <si>
    <t>The following were changed to this spreadsheet on 4/3/09</t>
  </si>
  <si>
    <t>1. Changed mvalloc column d to pickup ad valorem versus equipments from inputPrYr</t>
  </si>
  <si>
    <t>The following were changed to this spreadsheet on 5/5/09</t>
  </si>
  <si>
    <t>1. Summ tab, special machinery's expenditure cell b34 was changed from C61 to B61</t>
  </si>
  <si>
    <t>Special Road</t>
  </si>
  <si>
    <t>80-1413</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</si>
  <si>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</si>
  <si>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8/21/09</t>
  </si>
  <si>
    <t>1. InputPrYr tab changed the Bond &amp; Interest to Debt Service</t>
  </si>
  <si>
    <t>2. InputPrYr tab added line 18 'If amended…..</t>
  </si>
  <si>
    <t>3. Cert tab changed the mill rate computation for Special Road and Noxious Weed to use township valuation only</t>
  </si>
  <si>
    <t>4. Transfer tab changed line 13 from General/Road to Road/Special Machinery</t>
  </si>
  <si>
    <t>5. Transfer tab change line 13 link from 38 to 36</t>
  </si>
  <si>
    <t>6. Summ tab change mill levy computation for Special Road and Noxious Weed to use township valuation only</t>
  </si>
  <si>
    <t>7. Mvalloc tab change vehicle table reference from D to E for all cells</t>
  </si>
  <si>
    <t>Transfers - Townships</t>
  </si>
  <si>
    <t>8.TransferStatutes tab created</t>
  </si>
  <si>
    <t>9. Instructions tab added 6c for TransferStatutes tab</t>
  </si>
  <si>
    <t>Township2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</si>
  <si>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</si>
  <si>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</si>
  <si>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</si>
  <si>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</si>
  <si>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</si>
  <si>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</si>
  <si>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</si>
  <si>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</si>
  <si>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</si>
  <si>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</si>
  <si>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</si>
  <si>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</si>
  <si>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</si>
  <si>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</si>
  <si>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10. Instruction tab added 9m to explain about Non-Budgeted Form</t>
  </si>
  <si>
    <t>11. Cert tab added Non-Budgeted Funds line A35</t>
  </si>
  <si>
    <t>12. Added nonbud tab for the Non-Budgeted Funds</t>
  </si>
  <si>
    <t>13.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</si>
  <si>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</si>
  <si>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 xml:space="preserve">Township2.xls spreadsheet has General Fund, Debt Service, Road Bridge, 8 levy fund pages, 4 no levy fund pages, and 1 non-budgeted fund page which holds 5 funds. Additionally, the spreadsheet is setup to take in two Third Class Cities valuation and vehicle allocation. </t>
  </si>
  <si>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</si>
  <si>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</si>
  <si>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</si>
  <si>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</si>
  <si>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</si>
  <si>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</si>
  <si>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</si>
  <si>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</si>
  <si>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</si>
  <si>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</si>
  <si>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</si>
  <si>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</si>
  <si>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14. Added Tabs A to E for violations</t>
  </si>
  <si>
    <t>15. Changed each fund page taking out the 'Yes' and 'No' and replacing them with 'See Tab' for a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</si>
  <si>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</si>
  <si>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</si>
  <si>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</si>
  <si>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</si>
  <si>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</si>
  <si>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</si>
  <si>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</si>
  <si>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</si>
  <si>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</si>
  <si>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Neighborhood Revitalization Subj to Rebate:</t>
  </si>
  <si>
    <t>Neighborhood Revitalization factor:</t>
  </si>
  <si>
    <t>16. NonBud tab changed Net Valuation to July 1</t>
  </si>
  <si>
    <t>17. Certificate tab moved the Assisted By: and added more lines for governing body signatures</t>
  </si>
  <si>
    <t>Fire Protection</t>
  </si>
  <si>
    <t>80-1503</t>
  </si>
  <si>
    <t>The following were changed to this spreadsheet on 12/08/09</t>
  </si>
  <si>
    <t>1. Instruction tab, added in the 'General Instruction' section about Funds mill rate computed</t>
  </si>
  <si>
    <t>2. Change the Certificate and Budget Summary page for 'Funds' in step 1</t>
  </si>
  <si>
    <t>Date:</t>
  </si>
  <si>
    <t>Time:</t>
  </si>
  <si>
    <t>Location:</t>
  </si>
  <si>
    <t>Available at:</t>
  </si>
  <si>
    <t>August 12, 2010</t>
  </si>
  <si>
    <t>This tab will put the date and time and location of the budget hearing on the Budget Summary page.  Also, provide the location where as the budget can be reveiwed.  Please input information in the green areas.</t>
  </si>
  <si>
    <t>Examples</t>
  </si>
  <si>
    <t>7:00 PM or 7:00 AM</t>
  </si>
  <si>
    <t>John Brown's residence  at 1410 N Corner, Freedom</t>
  </si>
  <si>
    <t>Shawnee County Clerk's Office</t>
  </si>
  <si>
    <r>
      <rPr>
        <b/>
        <sz val="12"/>
        <rFont val="Times New Roman"/>
        <family val="1"/>
      </rPr>
      <t>Funds</t>
    </r>
    <r>
      <rPr>
        <sz val="12"/>
        <rFont val="Times New Roman"/>
        <family val="1"/>
      </rPr>
      <t xml:space="preserve"> - The Road, Special Road, Noxious Weed, and Fire Protection on the Certificate and Budget Summary pages are set so as to use the valuation for the township only will be used to compute the mill rate.  Be aware, if you subsitute a different fund for one of these, then you might have to adjust how the mill rate will be computed. </t>
    </r>
  </si>
  <si>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</si>
  <si>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</si>
  <si>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</si>
  <si>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</si>
  <si>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 Don't forget to number the resolution page as the page number is linked to the Budget Summary page.</t>
  </si>
  <si>
    <t>6.  Motor Vehicle Allocation and Slider (mvalloc) are completed from information entered on the input pages (inputpryr and inputoth).  Once calculated, the table information is linked to the applicable fund pages.  If the information is not correct, please do not change the tables, but rather correct the information on the input pages.</t>
  </si>
  <si>
    <t>7. The Schedule of Transfers (transfers) is completed from the individual completed fund pages. Be sure to provide the statute that authorizes the transfer.</t>
  </si>
  <si>
    <r>
      <t xml:space="preserve">8.  Statement of Indebtedness (debt) must show all the debt owed or proposed to be issued.  The current general obligation and other totals for budget year is linked to the Budget Summary and prior years information is linked from the input page (inputpryr). </t>
    </r>
    <r>
      <rPr>
        <b/>
        <sz val="12"/>
        <rFont val="Times New Roman"/>
        <family val="1"/>
      </rPr>
      <t>If the township does not have any debt, then on the first line enter 'none'.</t>
    </r>
  </si>
  <si>
    <t>10.  The spreadsheet has individual fund sheets for General Fund (general), Debt Service (DebtService), Road (road),  8 levy pages (levy page9 to levy page12), and 4 no levy fund pages (nolevypage12 to nolevypage13),   Only complete the fund pages needed.  When the fund pages are completed, the totals will be linked to the Certificate and Budget Summary pages.</t>
  </si>
  <si>
    <r>
      <t xml:space="preserve">10a.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10 for instructions for the neighborhood revitalization rebate for the proposed budget year. </t>
    </r>
  </si>
  <si>
    <r>
      <t xml:space="preserve">10b.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</si>
  <si>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10c.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</si>
  <si>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10d.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</si>
  <si>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t>Gudenkauf &amp;  Malone, Inc</t>
  </si>
  <si>
    <t>639 N Main St.</t>
  </si>
  <si>
    <t>Russell, KS 67665</t>
  </si>
  <si>
    <t>785-483-6220</t>
  </si>
  <si>
    <t>July 30, 2012</t>
  </si>
  <si>
    <r>
      <t>10e.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</si>
  <si>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10f.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</si>
  <si>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10g.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</si>
  <si>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10h.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Road. If the transferred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</si>
  <si>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10i.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Road.  </t>
    </r>
  </si>
  <si>
    <r>
      <t xml:space="preserve">10j. The General Fund has two line expenditures for transfers to the Special Machinery Fund. The transfers are labeled, 'Transfer to Spec. Mach.(No Levy), for explanation see item 9j and 'Transfer to Spec. Mach.(Gen has Levy), for explanation see item 9k.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You are not required to make a transfer.</t>
    </r>
  </si>
  <si>
    <r>
      <t xml:space="preserve">10k.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</si>
  <si>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10l.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</si>
  <si>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10m.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</si>
  <si>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11.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</si>
  <si>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11a.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</si>
  <si>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11b.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</si>
  <si>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11c. </t>
    </r>
    <r>
      <rPr>
        <b/>
        <sz val="12"/>
        <rFont val="Times New Roman"/>
        <family val="1"/>
      </rPr>
      <t>Note: If you do not have Neighborhood Revitalization, this step is not done.</t>
    </r>
  </si>
  <si>
    <t xml:space="preserve">12.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</si>
  <si>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</si>
  <si>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r>
      <t xml:space="preserve">9.  Statement of Conditional Lease, Lease-Purchases and Certificate of Participation (debt) must be completed for all transactions which at the end of lease period, the township will own the item leased.  Principal Balance Due for the actual year is linked to the Budget Summary page and prior year information is linked to he input page (inputpryr). </t>
    </r>
    <r>
      <rPr>
        <b/>
        <sz val="12"/>
        <rFont val="Times New Roman"/>
        <family val="1"/>
      </rPr>
      <t>If the township does not have any leases, then on the first line enter 'none'.</t>
    </r>
  </si>
  <si>
    <t>12a. At the bottom of the page is a green shaded area, enter the page number.</t>
  </si>
  <si>
    <t xml:space="preserve">13.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</si>
  <si>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t>3. Instruction tab, added step 3 for 'inputBudSum'</t>
  </si>
  <si>
    <t>4. Added tab 'inputBudSum'</t>
  </si>
  <si>
    <t>Must be at least 10 days between date published and hearing held.</t>
  </si>
  <si>
    <t>5. Changed Budget Summary replacing the green areas for date/time/location so info comes from inputBudSum tab</t>
  </si>
  <si>
    <t>answering objections of taxpayers relating to the proposed use of all funds and the amount of ad valorem tax.</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</si>
  <si>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</si>
  <si>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</si>
  <si>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</si>
  <si>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</si>
  <si>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</si>
  <si>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</si>
  <si>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</si>
  <si>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</si>
  <si>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</si>
  <si>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</si>
  <si>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</si>
  <si>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</si>
  <si>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</si>
  <si>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</si>
  <si>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</si>
  <si>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</si>
  <si>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</si>
  <si>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</si>
  <si>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</si>
  <si>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</si>
  <si>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</si>
  <si>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</si>
  <si>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</si>
  <si>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</si>
  <si>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</si>
  <si>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</si>
  <si>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</si>
  <si>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</si>
  <si>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</si>
  <si>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</si>
  <si>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</si>
  <si>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</si>
  <si>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</si>
  <si>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</si>
  <si>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</si>
  <si>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</si>
  <si>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</si>
  <si>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</si>
  <si>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</si>
  <si>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</si>
  <si>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</si>
  <si>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</si>
  <si>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</si>
  <si>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</si>
  <si>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</si>
  <si>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</si>
  <si>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</si>
  <si>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</si>
  <si>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</si>
  <si>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</si>
  <si>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</si>
  <si>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</si>
  <si>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</si>
  <si>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</si>
  <si>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</si>
  <si>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</si>
  <si>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</si>
  <si>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</si>
  <si>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</si>
  <si>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</si>
  <si>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</si>
  <si>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</si>
  <si>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</si>
  <si>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</si>
  <si>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</si>
  <si>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</si>
  <si>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</si>
  <si>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</si>
  <si>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</si>
  <si>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</si>
  <si>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</si>
  <si>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</si>
  <si>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</si>
  <si>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</si>
  <si>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</si>
  <si>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</si>
  <si>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</si>
  <si>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</si>
  <si>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</si>
  <si>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</si>
  <si>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</si>
  <si>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</si>
  <si>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</si>
  <si>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</si>
  <si>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</si>
  <si>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</si>
  <si>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</si>
  <si>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</si>
  <si>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</si>
  <si>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</si>
  <si>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</si>
  <si>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</si>
  <si>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</si>
  <si>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</si>
  <si>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</si>
  <si>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</si>
  <si>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</si>
  <si>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</si>
  <si>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</si>
  <si>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</si>
  <si>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</si>
  <si>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</si>
  <si>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</si>
  <si>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</si>
  <si>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</si>
  <si>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</si>
  <si>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</si>
  <si>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</si>
  <si>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</si>
  <si>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</si>
  <si>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</si>
  <si>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</si>
  <si>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</si>
  <si>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</si>
  <si>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</si>
  <si>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</si>
  <si>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</si>
  <si>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</si>
  <si>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</si>
  <si>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</si>
  <si>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</si>
  <si>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</si>
  <si>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</si>
  <si>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</si>
  <si>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</si>
  <si>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</si>
  <si>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</si>
  <si>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</si>
  <si>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</si>
  <si>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</si>
  <si>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</si>
  <si>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</si>
  <si>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</si>
  <si>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</si>
  <si>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</si>
  <si>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</si>
  <si>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</si>
  <si>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</si>
  <si>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</si>
  <si>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</si>
  <si>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</si>
  <si>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</si>
  <si>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</si>
  <si>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</si>
  <si>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</si>
  <si>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</si>
  <si>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</si>
  <si>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</si>
  <si>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</si>
  <si>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</si>
  <si>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</si>
  <si>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</si>
  <si>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</si>
  <si>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</si>
  <si>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</si>
  <si>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</si>
  <si>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</si>
  <si>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</si>
  <si>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</si>
  <si>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</si>
  <si>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</si>
  <si>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</si>
  <si>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</si>
  <si>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</si>
  <si>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</si>
  <si>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</si>
  <si>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</si>
  <si>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</si>
  <si>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</si>
  <si>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</si>
  <si>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</si>
  <si>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</si>
  <si>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</si>
  <si>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</si>
  <si>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</si>
  <si>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</si>
  <si>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</si>
  <si>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</si>
  <si>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</si>
  <si>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</si>
  <si>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</si>
  <si>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</si>
  <si>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</si>
  <si>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</si>
  <si>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</si>
  <si>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</si>
  <si>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</si>
  <si>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</si>
  <si>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</si>
  <si>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</si>
  <si>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</si>
  <si>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</si>
  <si>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</si>
  <si>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</si>
  <si>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</si>
  <si>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</si>
  <si>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</si>
  <si>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</si>
  <si>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</si>
  <si>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</si>
  <si>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</si>
  <si>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</si>
  <si>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</si>
  <si>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</si>
  <si>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</si>
  <si>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</si>
  <si>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</si>
  <si>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4b. The Certificate page has a statement 'Is a Resolution required?' which will either show 'Yes' or 'No'. This statement compares the Certificate total Ad Valorem Tax to Computation to Determine Limit line 14. If a 'Yes' appears then a resolution is required to be completed and attached to the budget. No action is required if a 'No' appears.</t>
  </si>
  <si>
    <t xml:space="preserve">4c.  If someone other than a municipal employee assists in preparing the budget, please enter the person's or firm's name and address in the area provided. </t>
  </si>
  <si>
    <r>
      <t xml:space="preserve">4a. The certificate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Certificate page, if so desire, but not required.</t>
    </r>
  </si>
  <si>
    <t xml:space="preserve">12c. Before printing, review the form to ensure all the information is provided and the figures are correct. Print the page, have official sign it, and take to the local newspaper for printing. </t>
  </si>
  <si>
    <t>12d.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</si>
  <si>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12b. The Budget Summary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Budget Summary page, if so desire, but not required.  Deleting of the lines might save some printing cost.</t>
    </r>
  </si>
  <si>
    <t>6. Added to instruction tab lines 4a and 12b for computation of levy on Certificate and Budget Summary pages</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</si>
  <si>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</si>
  <si>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</si>
  <si>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</si>
  <si>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</si>
  <si>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</si>
  <si>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</si>
  <si>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</si>
  <si>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</si>
  <si>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</si>
  <si>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</si>
  <si>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</si>
  <si>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</si>
  <si>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</si>
  <si>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</si>
  <si>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</si>
  <si>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</si>
  <si>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</si>
  <si>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</si>
  <si>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Paradise Township</t>
  </si>
  <si>
    <t>Russell County</t>
  </si>
  <si>
    <t>Paradise City</t>
  </si>
  <si>
    <t>the Paradise Township Building</t>
  </si>
  <si>
    <t>8 pm.</t>
  </si>
  <si>
    <t>Chemical</t>
  </si>
  <si>
    <t>Insurance refund</t>
  </si>
  <si>
    <t>Total Tax Levied</t>
  </si>
  <si>
    <t>Outstanding Indebtedness,</t>
  </si>
  <si>
    <t xml:space="preserve">  Jan 1</t>
  </si>
  <si>
    <t>G.O. Bonds</t>
  </si>
  <si>
    <t>Lease Pur Princ</t>
  </si>
  <si>
    <t xml:space="preserve">     Total</t>
  </si>
  <si>
    <t xml:space="preserve">  *Tax rates are expressed in mills.</t>
  </si>
  <si>
    <t>Township Officer</t>
  </si>
  <si>
    <t>Date</t>
  </si>
  <si>
    <t xml:space="preserve">   Amount Due</t>
  </si>
  <si>
    <t>of</t>
  </si>
  <si>
    <t xml:space="preserve">  Date Due</t>
  </si>
  <si>
    <t>Type of Debt</t>
  </si>
  <si>
    <t>Issue</t>
  </si>
  <si>
    <t>Issued</t>
  </si>
  <si>
    <t>Term</t>
  </si>
  <si>
    <t>Interest</t>
  </si>
  <si>
    <t>Principal</t>
  </si>
  <si>
    <t>Payments</t>
  </si>
  <si>
    <t xml:space="preserve">  Contract</t>
  </si>
  <si>
    <t>Contract</t>
  </si>
  <si>
    <t>Financed</t>
  </si>
  <si>
    <t>Due</t>
  </si>
  <si>
    <t>Item Purchased</t>
  </si>
  <si>
    <t>(Months)</t>
  </si>
  <si>
    <t>16/20 M Vehicle Tax</t>
  </si>
  <si>
    <t>CERTIFICATE</t>
  </si>
  <si>
    <t>FUND PAGE - GENERAL</t>
  </si>
  <si>
    <t>FUND PAGE - ROAD AND SPECIAL MACHINERY</t>
  </si>
  <si>
    <t>FUND PAGE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</si>
  <si>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</si>
  <si>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</si>
  <si>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</si>
  <si>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</si>
  <si>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</si>
  <si>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</si>
  <si>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</si>
  <si>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</si>
  <si>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</si>
  <si>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</si>
  <si>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</si>
  <si>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</si>
  <si>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</si>
  <si>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</si>
  <si>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</si>
  <si>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</si>
  <si>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</si>
  <si>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</si>
  <si>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</si>
  <si>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</si>
  <si>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</si>
  <si>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</si>
  <si>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</si>
  <si>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</si>
  <si>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</si>
  <si>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</si>
  <si>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</si>
  <si>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</si>
  <si>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</si>
  <si>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</si>
  <si>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</si>
  <si>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</si>
  <si>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</si>
  <si>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</si>
  <si>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</si>
  <si>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</si>
  <si>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</si>
  <si>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</si>
  <si>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</si>
  <si>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</si>
  <si>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</si>
  <si>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</si>
  <si>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</si>
  <si>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</si>
  <si>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</si>
  <si>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</si>
  <si>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</si>
  <si>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</si>
  <si>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</si>
  <si>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</si>
  <si>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</si>
  <si>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</si>
  <si>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</si>
  <si>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November 1st Valuation</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</si>
  <si>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</si>
  <si>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</si>
  <si>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</si>
  <si>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</si>
  <si>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</si>
  <si>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</si>
  <si>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</si>
  <si>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</si>
  <si>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</si>
  <si>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</si>
  <si>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</si>
  <si>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</si>
  <si>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</si>
  <si>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</si>
  <si>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</si>
  <si>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</si>
  <si>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</si>
  <si>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</si>
  <si>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</si>
  <si>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</si>
  <si>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</si>
  <si>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</si>
  <si>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</si>
  <si>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</si>
  <si>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</si>
  <si>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</si>
  <si>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</si>
  <si>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</si>
  <si>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</si>
  <si>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</si>
  <si>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In Lieu of Tax (IRB)</t>
  </si>
  <si>
    <t>Total G.O. Bonds</t>
  </si>
  <si>
    <t>Total Other</t>
  </si>
  <si>
    <t>Resolution</t>
  </si>
  <si>
    <t>Is a Resolution required?</t>
  </si>
  <si>
    <t>Note:  All amounts are to be entered in as whole numbers only.</t>
  </si>
  <si>
    <t>Motor Vehicle Tax Estimate</t>
  </si>
  <si>
    <t>16\20 M Vehicle Tax</t>
  </si>
  <si>
    <t>LAVTR</t>
  </si>
  <si>
    <t>Slider</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</si>
  <si>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</si>
  <si>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</si>
  <si>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</si>
  <si>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</si>
  <si>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</si>
  <si>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</si>
  <si>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</si>
  <si>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</si>
  <si>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</si>
  <si>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</si>
  <si>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</si>
  <si>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</si>
  <si>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</si>
  <si>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</si>
  <si>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</si>
  <si>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</si>
  <si>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</si>
  <si>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</si>
  <si>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</si>
  <si>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</si>
  <si>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</si>
  <si>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</si>
  <si>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</si>
  <si>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</si>
  <si>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</si>
  <si>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</si>
  <si>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</si>
  <si>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</si>
  <si>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</si>
  <si>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</si>
  <si>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</si>
  <si>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9. Changed the Budget Summary Heading to include Actual/Estimate/Proposed with the budget year.</t>
  </si>
  <si>
    <t>10. Changed the delinquency rate formula for all levy funds.</t>
  </si>
  <si>
    <t>14. Added column to show when debt retired on the Indebtedness page.</t>
  </si>
  <si>
    <t>16. Resolution page has a space for a page number.</t>
  </si>
  <si>
    <t>Input sheet for Township1 budget form</t>
  </si>
  <si>
    <t>Enter name of first Third Class City</t>
  </si>
  <si>
    <t>Enter name of second Third Class City</t>
  </si>
  <si>
    <t>Total Assesed Valuation</t>
  </si>
  <si>
    <t>Township estimates:</t>
  </si>
  <si>
    <t xml:space="preserve">Motor Vehicle Tax Estimate </t>
  </si>
  <si>
    <t xml:space="preserve">Recreational Vehicle Tax Estimate </t>
  </si>
  <si>
    <t xml:space="preserve">16\20 M Vehicle Tax </t>
  </si>
  <si>
    <t>1st Third Class City estimates: ***</t>
  </si>
  <si>
    <t>2nd Third Class City estimates: ***</t>
  </si>
  <si>
    <t>*** Note: These estimates are only completed if the County Treasurer provides a breakout from the Township.</t>
  </si>
  <si>
    <t>Rate used in this budget will be shown on all fund pages with a tax levy**</t>
  </si>
  <si>
    <t>Township</t>
  </si>
</sst>
</file>

<file path=xl/styles.xml><?xml version="1.0" encoding="utf-8"?>
<styleSheet xmlns="http://schemas.openxmlformats.org/spreadsheetml/2006/main">
  <numFmts count="14">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s>
  <fonts count="39">
    <font>
      <sz val="12"/>
      <name val="Courier New"/>
    </font>
    <font>
      <b/>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name val="Courier"/>
      <family val="3"/>
    </font>
    <font>
      <sz val="12"/>
      <color indexed="10"/>
      <name val="Courier"/>
      <family val="3"/>
    </font>
    <font>
      <b/>
      <sz val="12"/>
      <color indexed="10"/>
      <name val="Times New Roman"/>
      <family val="1"/>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2"/>
      <name val="Courier"/>
      <family val="3"/>
    </font>
    <font>
      <b/>
      <u/>
      <sz val="12"/>
      <name val="Courier"/>
      <family val="3"/>
    </font>
    <font>
      <i/>
      <sz val="12"/>
      <name val="Courier"/>
      <family val="3"/>
    </font>
    <font>
      <i/>
      <u/>
      <sz val="12"/>
      <name val="Courier"/>
      <family val="3"/>
    </font>
    <font>
      <b/>
      <u/>
      <sz val="12"/>
      <color indexed="10"/>
      <name val="Times New Roman"/>
      <family val="1"/>
    </font>
    <font>
      <sz val="12"/>
      <color indexed="8"/>
      <name val="Times New Roman"/>
      <family val="1"/>
    </font>
    <font>
      <sz val="11"/>
      <color indexed="8"/>
      <name val="Times New Roman"/>
      <family val="1"/>
    </font>
    <font>
      <u/>
      <sz val="12"/>
      <color indexed="10"/>
      <name val="Times New Roman"/>
      <family val="1"/>
    </font>
  </fonts>
  <fills count="12">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10"/>
        <bgColor indexed="64"/>
      </patternFill>
    </fill>
    <fill>
      <patternFill patternType="solid">
        <fgColor indexed="3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43" fontId="2" fillId="0" borderId="0" applyFont="0" applyFill="0" applyBorder="0" applyAlignment="0" applyProtection="0"/>
    <xf numFmtId="0" fontId="11" fillId="0" borderId="0" applyNumberFormat="0" applyFill="0" applyBorder="0" applyAlignment="0" applyProtection="0">
      <alignment vertical="top"/>
      <protection locked="0"/>
    </xf>
    <xf numFmtId="0" fontId="31" fillId="0" borderId="0"/>
    <xf numFmtId="0" fontId="31" fillId="0" borderId="0"/>
    <xf numFmtId="0" fontId="31"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cellStyleXfs>
  <cellXfs count="548">
    <xf numFmtId="0" fontId="0" fillId="0" borderId="0" xfId="0"/>
    <xf numFmtId="0" fontId="5" fillId="0" borderId="0" xfId="0" applyFont="1"/>
    <xf numFmtId="3" fontId="5" fillId="2" borderId="1" xfId="0" applyNumberFormat="1" applyFont="1" applyFill="1" applyBorder="1" applyProtection="1">
      <protection locked="0"/>
    </xf>
    <xf numFmtId="37" fontId="5" fillId="3" borderId="2" xfId="0" applyNumberFormat="1" applyFont="1" applyFill="1" applyBorder="1" applyProtection="1">
      <protection locked="0"/>
    </xf>
    <xf numFmtId="3" fontId="5" fillId="3" borderId="1" xfId="0" applyNumberFormat="1" applyFont="1" applyFill="1" applyBorder="1" applyProtection="1">
      <protection locked="0"/>
    </xf>
    <xf numFmtId="0" fontId="5" fillId="4" borderId="0" xfId="0" applyFont="1" applyFill="1" applyProtection="1"/>
    <xf numFmtId="37" fontId="5" fillId="4" borderId="0" xfId="0" applyNumberFormat="1" applyFont="1" applyFill="1" applyAlignment="1" applyProtection="1">
      <alignment horizontal="left"/>
    </xf>
    <xf numFmtId="3" fontId="5" fillId="4" borderId="0" xfId="0" applyNumberFormat="1" applyFont="1" applyFill="1" applyProtection="1"/>
    <xf numFmtId="3" fontId="5" fillId="4" borderId="3" xfId="0" applyNumberFormat="1" applyFont="1" applyFill="1" applyBorder="1" applyProtection="1"/>
    <xf numFmtId="3" fontId="5" fillId="4" borderId="0" xfId="0" applyNumberFormat="1" applyFont="1" applyFill="1" applyBorder="1" applyProtection="1"/>
    <xf numFmtId="0" fontId="5" fillId="4" borderId="0" xfId="0" applyFont="1" applyFill="1" applyBorder="1" applyProtection="1"/>
    <xf numFmtId="0" fontId="5" fillId="4" borderId="0" xfId="0" applyFont="1" applyFill="1" applyAlignment="1" applyProtection="1">
      <alignment horizontal="centerContinuous"/>
    </xf>
    <xf numFmtId="37" fontId="4" fillId="4" borderId="0" xfId="0" applyNumberFormat="1" applyFont="1" applyFill="1" applyAlignment="1" applyProtection="1">
      <alignment horizontal="left"/>
    </xf>
    <xf numFmtId="37" fontId="5" fillId="4" borderId="3" xfId="0" applyNumberFormat="1" applyFont="1" applyFill="1" applyBorder="1" applyAlignment="1" applyProtection="1">
      <alignment horizontal="left"/>
    </xf>
    <xf numFmtId="0" fontId="5" fillId="4" borderId="3" xfId="0" applyFont="1" applyFill="1" applyBorder="1" applyProtection="1"/>
    <xf numFmtId="37" fontId="5" fillId="4" borderId="2" xfId="0" applyNumberFormat="1" applyFont="1" applyFill="1" applyBorder="1" applyAlignment="1" applyProtection="1">
      <alignment horizontal="left"/>
    </xf>
    <xf numFmtId="0" fontId="5" fillId="4" borderId="2" xfId="0" applyFont="1" applyFill="1" applyBorder="1" applyProtection="1"/>
    <xf numFmtId="37" fontId="5" fillId="4" borderId="0" xfId="0" applyNumberFormat="1" applyFont="1" applyFill="1" applyBorder="1" applyAlignment="1" applyProtection="1">
      <alignment horizontal="left"/>
    </xf>
    <xf numFmtId="37" fontId="4" fillId="5" borderId="0" xfId="0" applyNumberFormat="1" applyFont="1" applyFill="1" applyAlignment="1" applyProtection="1">
      <alignment horizontal="left"/>
    </xf>
    <xf numFmtId="0" fontId="5" fillId="5" borderId="0" xfId="0" applyFont="1" applyFill="1" applyProtection="1"/>
    <xf numFmtId="0" fontId="5" fillId="4" borderId="4" xfId="0" applyFont="1" applyFill="1" applyBorder="1" applyProtection="1"/>
    <xf numFmtId="0" fontId="13" fillId="0" borderId="0" xfId="0" applyFont="1" applyAlignment="1">
      <alignment horizontal="center"/>
    </xf>
    <xf numFmtId="0" fontId="8" fillId="0" borderId="0" xfId="0" applyFont="1" applyAlignment="1">
      <alignment horizontal="center"/>
    </xf>
    <xf numFmtId="0" fontId="14" fillId="0" borderId="0" xfId="0" applyFont="1"/>
    <xf numFmtId="0" fontId="8" fillId="0" borderId="0" xfId="0" applyFont="1"/>
    <xf numFmtId="0" fontId="8" fillId="0" borderId="0" xfId="0" applyFont="1" applyAlignment="1">
      <alignment horizontal="left" indent="1"/>
    </xf>
    <xf numFmtId="0" fontId="15" fillId="0" borderId="0" xfId="0" applyFont="1"/>
    <xf numFmtId="0" fontId="8"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5" fillId="4" borderId="0" xfId="0" applyFont="1" applyFill="1"/>
    <xf numFmtId="3" fontId="5" fillId="4" borderId="1" xfId="0" applyNumberFormat="1" applyFont="1" applyFill="1" applyBorder="1" applyProtection="1">
      <protection locked="0"/>
    </xf>
    <xf numFmtId="0" fontId="5" fillId="0" borderId="0" xfId="0" applyFont="1" applyAlignment="1">
      <alignment horizontal="right"/>
    </xf>
    <xf numFmtId="0" fontId="0" fillId="4" borderId="0" xfId="0" applyFill="1"/>
    <xf numFmtId="37" fontId="5" fillId="4" borderId="0" xfId="0" applyNumberFormat="1" applyFont="1" applyFill="1" applyBorder="1" applyProtection="1">
      <protection locked="0"/>
    </xf>
    <xf numFmtId="3" fontId="5" fillId="2" borderId="3" xfId="0" applyNumberFormat="1" applyFont="1" applyFill="1" applyBorder="1" applyProtection="1">
      <protection locked="0"/>
    </xf>
    <xf numFmtId="3" fontId="5" fillId="4" borderId="0" xfId="0" applyNumberFormat="1" applyFont="1" applyFill="1" applyBorder="1" applyProtection="1">
      <protection locked="0"/>
    </xf>
    <xf numFmtId="0" fontId="18" fillId="4" borderId="0" xfId="0" applyFont="1" applyFill="1" applyBorder="1" applyAlignment="1" applyProtection="1">
      <alignment horizontal="center"/>
    </xf>
    <xf numFmtId="3" fontId="5" fillId="5" borderId="0" xfId="0" applyNumberFormat="1" applyFont="1" applyFill="1" applyProtection="1"/>
    <xf numFmtId="3" fontId="5" fillId="4" borderId="5" xfId="0" applyNumberFormat="1" applyFont="1" applyFill="1" applyBorder="1" applyProtection="1"/>
    <xf numFmtId="3" fontId="5" fillId="4" borderId="4" xfId="0" applyNumberFormat="1" applyFont="1" applyFill="1" applyBorder="1" applyProtection="1"/>
    <xf numFmtId="172" fontId="5" fillId="3" borderId="1" xfId="0" applyNumberFormat="1" applyFont="1" applyFill="1" applyBorder="1" applyProtection="1">
      <protection locked="0"/>
    </xf>
    <xf numFmtId="171" fontId="5" fillId="2" borderId="1" xfId="0" applyNumberFormat="1" applyFont="1" applyFill="1" applyBorder="1" applyProtection="1">
      <protection locked="0"/>
    </xf>
    <xf numFmtId="37" fontId="5" fillId="4" borderId="0" xfId="0" applyNumberFormat="1" applyFont="1" applyFill="1"/>
    <xf numFmtId="172" fontId="5" fillId="6" borderId="1" xfId="0" applyNumberFormat="1" applyFont="1" applyFill="1" applyBorder="1" applyProtection="1"/>
    <xf numFmtId="37" fontId="4" fillId="4" borderId="3" xfId="0" applyNumberFormat="1" applyFont="1" applyFill="1" applyBorder="1" applyAlignment="1" applyProtection="1">
      <alignment horizontal="left"/>
    </xf>
    <xf numFmtId="37" fontId="4" fillId="7" borderId="3" xfId="0" applyNumberFormat="1" applyFont="1" applyFill="1" applyBorder="1" applyAlignment="1" applyProtection="1">
      <alignment horizontal="left"/>
    </xf>
    <xf numFmtId="0" fontId="5" fillId="7" borderId="2" xfId="0" applyFont="1" applyFill="1" applyBorder="1" applyProtection="1"/>
    <xf numFmtId="3" fontId="5" fillId="6" borderId="1" xfId="0" applyNumberFormat="1" applyFont="1" applyFill="1" applyBorder="1" applyProtection="1"/>
    <xf numFmtId="0" fontId="6" fillId="4" borderId="0" xfId="0" applyFont="1" applyFill="1" applyBorder="1" applyProtection="1"/>
    <xf numFmtId="172" fontId="5" fillId="3" borderId="3" xfId="0" applyNumberFormat="1" applyFont="1" applyFill="1" applyBorder="1" applyProtection="1">
      <protection locked="0"/>
    </xf>
    <xf numFmtId="172" fontId="5" fillId="3" borderId="2" xfId="0" applyNumberFormat="1" applyFont="1" applyFill="1" applyBorder="1" applyProtection="1">
      <protection locked="0"/>
    </xf>
    <xf numFmtId="172" fontId="5" fillId="3" borderId="6" xfId="0" applyNumberFormat="1" applyFont="1" applyFill="1" applyBorder="1" applyProtection="1">
      <protection locked="0"/>
    </xf>
    <xf numFmtId="37" fontId="5" fillId="6" borderId="2" xfId="0" applyNumberFormat="1" applyFont="1" applyFill="1" applyBorder="1" applyProtection="1">
      <protection locked="0"/>
    </xf>
    <xf numFmtId="37" fontId="5" fillId="3" borderId="3" xfId="0" applyNumberFormat="1" applyFont="1" applyFill="1" applyBorder="1" applyProtection="1">
      <protection locked="0"/>
    </xf>
    <xf numFmtId="3" fontId="5" fillId="6" borderId="2" xfId="0" applyNumberFormat="1" applyFont="1" applyFill="1" applyBorder="1" applyProtection="1">
      <protection locked="0"/>
    </xf>
    <xf numFmtId="37" fontId="6" fillId="4" borderId="0" xfId="0" applyNumberFormat="1" applyFont="1" applyFill="1" applyBorder="1" applyAlignment="1" applyProtection="1">
      <alignment horizontal="left"/>
    </xf>
    <xf numFmtId="37" fontId="6" fillId="4" borderId="0" xfId="0" applyNumberFormat="1" applyFont="1" applyFill="1" applyAlignment="1" applyProtection="1">
      <alignment horizontal="left"/>
    </xf>
    <xf numFmtId="3" fontId="5" fillId="8" borderId="0" xfId="0" applyNumberFormat="1" applyFont="1" applyFill="1" applyProtection="1"/>
    <xf numFmtId="0" fontId="5" fillId="9" borderId="7" xfId="0" applyFont="1" applyFill="1" applyBorder="1" applyAlignment="1">
      <alignment horizontal="center"/>
    </xf>
    <xf numFmtId="0" fontId="5" fillId="9" borderId="8" xfId="0" applyFont="1" applyFill="1" applyBorder="1" applyAlignment="1">
      <alignment horizontal="center"/>
    </xf>
    <xf numFmtId="0" fontId="16" fillId="4" borderId="0" xfId="0" applyFont="1" applyFill="1"/>
    <xf numFmtId="0" fontId="20" fillId="4" borderId="0" xfId="0" applyFont="1" applyFill="1" applyAlignment="1"/>
    <xf numFmtId="37" fontId="5" fillId="4" borderId="1" xfId="0" applyNumberFormat="1" applyFont="1" applyFill="1" applyBorder="1"/>
    <xf numFmtId="0" fontId="20" fillId="4" borderId="0" xfId="0" applyFont="1" applyFill="1"/>
    <xf numFmtId="0" fontId="0" fillId="3" borderId="0" xfId="0" applyFill="1" applyAlignment="1" applyProtection="1">
      <alignment horizontal="left"/>
      <protection locked="0"/>
    </xf>
    <xf numFmtId="0" fontId="4" fillId="4" borderId="0" xfId="0" applyFont="1" applyFill="1" applyAlignment="1" applyProtection="1">
      <alignment horizontal="center" vertical="center"/>
    </xf>
    <xf numFmtId="0" fontId="5" fillId="4" borderId="0" xfId="0" applyFont="1" applyFill="1" applyAlignment="1" applyProtection="1">
      <alignment vertical="center"/>
    </xf>
    <xf numFmtId="0" fontId="5" fillId="4" borderId="0" xfId="0" applyFont="1" applyFill="1" applyAlignment="1" applyProtection="1">
      <alignment horizontal="centerContinuous" vertical="center"/>
    </xf>
    <xf numFmtId="37" fontId="5" fillId="4" borderId="0" xfId="0" quotePrefix="1" applyNumberFormat="1" applyFont="1" applyFill="1" applyAlignment="1" applyProtection="1">
      <alignment horizontal="right" vertical="center"/>
    </xf>
    <xf numFmtId="37" fontId="5" fillId="4" borderId="0" xfId="0" applyNumberFormat="1" applyFont="1" applyFill="1" applyAlignment="1" applyProtection="1">
      <alignment horizontal="center" vertical="center"/>
    </xf>
    <xf numFmtId="37" fontId="5" fillId="4" borderId="0" xfId="0" applyNumberFormat="1" applyFont="1" applyFill="1" applyAlignment="1" applyProtection="1">
      <alignment horizontal="centerContinuous" vertical="center"/>
    </xf>
    <xf numFmtId="37" fontId="6" fillId="4" borderId="0" xfId="0" applyNumberFormat="1" applyFont="1" applyFill="1" applyAlignment="1" applyProtection="1">
      <alignment vertical="center"/>
    </xf>
    <xf numFmtId="0" fontId="5" fillId="4" borderId="0" xfId="0" applyFont="1" applyFill="1" applyAlignment="1" applyProtection="1">
      <alignment horizontal="center" vertical="center"/>
    </xf>
    <xf numFmtId="37" fontId="5" fillId="4" borderId="0" xfId="0" applyNumberFormat="1" applyFont="1" applyFill="1" applyBorder="1" applyAlignment="1" applyProtection="1">
      <alignment horizontal="fill" vertical="center"/>
    </xf>
    <xf numFmtId="0" fontId="5" fillId="4" borderId="0" xfId="0" applyFont="1" applyFill="1" applyBorder="1" applyAlignment="1" applyProtection="1">
      <alignment vertical="center"/>
    </xf>
    <xf numFmtId="37" fontId="5" fillId="4" borderId="0" xfId="0" applyNumberFormat="1" applyFont="1" applyFill="1" applyAlignment="1" applyProtection="1">
      <alignment horizontal="left" vertical="center"/>
    </xf>
    <xf numFmtId="37" fontId="5" fillId="4" borderId="7" xfId="0" applyNumberFormat="1" applyFont="1" applyFill="1" applyBorder="1" applyAlignment="1" applyProtection="1">
      <alignment horizontal="left" vertical="center"/>
    </xf>
    <xf numFmtId="37" fontId="5" fillId="4" borderId="7" xfId="0" applyNumberFormat="1" applyFont="1" applyFill="1" applyBorder="1" applyAlignment="1" applyProtection="1">
      <alignment horizontal="center" vertical="center"/>
    </xf>
    <xf numFmtId="0" fontId="5" fillId="4" borderId="9" xfId="0" applyFont="1" applyFill="1" applyBorder="1" applyAlignment="1" applyProtection="1">
      <alignment vertical="center"/>
    </xf>
    <xf numFmtId="37" fontId="5" fillId="4" borderId="9" xfId="0" applyNumberFormat="1" applyFont="1" applyFill="1" applyBorder="1" applyAlignment="1" applyProtection="1">
      <alignment horizontal="center" vertical="center"/>
    </xf>
    <xf numFmtId="37" fontId="5" fillId="4" borderId="3" xfId="0" applyNumberFormat="1" applyFont="1" applyFill="1" applyBorder="1" applyAlignment="1" applyProtection="1">
      <alignment horizontal="left" vertical="center"/>
    </xf>
    <xf numFmtId="0" fontId="5" fillId="4" borderId="3" xfId="0" applyFont="1" applyFill="1" applyBorder="1" applyAlignment="1" applyProtection="1">
      <alignment vertical="center"/>
    </xf>
    <xf numFmtId="37" fontId="5" fillId="4" borderId="8" xfId="0" applyNumberFormat="1" applyFont="1" applyFill="1" applyBorder="1" applyAlignment="1" applyProtection="1">
      <alignment horizontal="center" vertical="center"/>
    </xf>
    <xf numFmtId="37" fontId="5" fillId="4" borderId="10" xfId="0" applyNumberFormat="1" applyFont="1" applyFill="1" applyBorder="1" applyAlignment="1" applyProtection="1">
      <alignment horizontal="left" vertical="center"/>
    </xf>
    <xf numFmtId="0" fontId="5" fillId="4" borderId="4" xfId="0" applyFont="1" applyFill="1" applyBorder="1" applyAlignment="1" applyProtection="1">
      <alignment vertical="center"/>
    </xf>
    <xf numFmtId="0" fontId="5" fillId="4" borderId="11" xfId="0" applyFont="1" applyFill="1" applyBorder="1" applyAlignment="1" applyProtection="1">
      <alignment vertical="center"/>
    </xf>
    <xf numFmtId="37" fontId="5" fillId="4" borderId="1" xfId="0" applyNumberFormat="1" applyFont="1" applyFill="1" applyBorder="1" applyAlignment="1" applyProtection="1">
      <alignment horizontal="center" vertical="center"/>
    </xf>
    <xf numFmtId="0" fontId="5" fillId="4" borderId="12" xfId="0" applyFont="1" applyFill="1" applyBorder="1" applyAlignment="1" applyProtection="1">
      <alignment vertical="center"/>
    </xf>
    <xf numFmtId="37" fontId="5" fillId="4" borderId="13" xfId="0" applyNumberFormat="1" applyFont="1" applyFill="1" applyBorder="1" applyAlignment="1" applyProtection="1">
      <alignment horizontal="left" vertical="center"/>
    </xf>
    <xf numFmtId="37" fontId="6" fillId="4" borderId="13" xfId="0" applyNumberFormat="1" applyFont="1" applyFill="1" applyBorder="1" applyAlignment="1" applyProtection="1">
      <alignment horizontal="left" vertical="center"/>
    </xf>
    <xf numFmtId="37" fontId="6" fillId="4" borderId="0" xfId="0" applyNumberFormat="1" applyFont="1" applyFill="1" applyAlignment="1" applyProtection="1">
      <alignment horizontal="center" vertical="center"/>
    </xf>
    <xf numFmtId="0" fontId="5" fillId="4" borderId="1" xfId="0" applyFont="1" applyFill="1" applyBorder="1" applyAlignment="1" applyProtection="1">
      <alignment horizontal="center" vertical="center"/>
    </xf>
    <xf numFmtId="0" fontId="5" fillId="4" borderId="5" xfId="0" applyFont="1" applyFill="1" applyBorder="1" applyAlignment="1" applyProtection="1">
      <alignment vertical="center"/>
    </xf>
    <xf numFmtId="37" fontId="5" fillId="4" borderId="1" xfId="0" applyNumberFormat="1" applyFont="1" applyFill="1" applyBorder="1" applyAlignment="1" applyProtection="1">
      <alignment vertical="center"/>
    </xf>
    <xf numFmtId="37" fontId="5" fillId="6" borderId="1" xfId="0" applyNumberFormat="1" applyFont="1" applyFill="1" applyBorder="1" applyAlignment="1" applyProtection="1">
      <alignment horizontal="center" vertical="center"/>
    </xf>
    <xf numFmtId="164" fontId="5" fillId="4" borderId="1" xfId="0" applyNumberFormat="1" applyFont="1" applyFill="1" applyBorder="1" applyAlignment="1" applyProtection="1">
      <alignment horizontal="center" vertical="center"/>
    </xf>
    <xf numFmtId="165" fontId="5" fillId="4" borderId="1" xfId="0" applyNumberFormat="1" applyFont="1" applyFill="1" applyBorder="1" applyAlignment="1" applyProtection="1">
      <alignment vertical="center"/>
    </xf>
    <xf numFmtId="37" fontId="5" fillId="4" borderId="10" xfId="0" applyNumberFormat="1" applyFont="1" applyFill="1" applyBorder="1" applyAlignment="1" applyProtection="1">
      <alignment vertical="center"/>
    </xf>
    <xf numFmtId="37" fontId="5" fillId="4" borderId="4" xfId="0" applyNumberFormat="1" applyFont="1" applyFill="1" applyBorder="1" applyAlignment="1" applyProtection="1">
      <alignment horizontal="center" vertical="center"/>
    </xf>
    <xf numFmtId="164" fontId="5" fillId="4" borderId="4" xfId="0" applyNumberFormat="1" applyFont="1" applyFill="1" applyBorder="1" applyAlignment="1" applyProtection="1">
      <alignment horizontal="center" vertical="center"/>
    </xf>
    <xf numFmtId="37" fontId="5" fillId="4" borderId="12" xfId="0" applyNumberFormat="1" applyFont="1" applyFill="1" applyBorder="1" applyAlignment="1" applyProtection="1">
      <alignment horizontal="center" vertical="center"/>
    </xf>
    <xf numFmtId="37" fontId="4" fillId="4" borderId="10" xfId="0" applyNumberFormat="1" applyFont="1" applyFill="1" applyBorder="1" applyAlignment="1" applyProtection="1">
      <alignment horizontal="left" vertical="center"/>
    </xf>
    <xf numFmtId="37" fontId="5" fillId="4" borderId="4" xfId="0" applyNumberFormat="1" applyFont="1" applyFill="1" applyBorder="1" applyAlignment="1" applyProtection="1">
      <alignment horizontal="fill" vertical="center"/>
    </xf>
    <xf numFmtId="37" fontId="5" fillId="6" borderId="14" xfId="0" applyNumberFormat="1" applyFont="1" applyFill="1" applyBorder="1" applyAlignment="1" applyProtection="1">
      <alignment horizontal="center" vertical="center"/>
    </xf>
    <xf numFmtId="170" fontId="5" fillId="6" borderId="14" xfId="0" applyNumberFormat="1" applyFont="1" applyFill="1" applyBorder="1" applyAlignment="1" applyProtection="1">
      <alignment vertical="center"/>
    </xf>
    <xf numFmtId="0" fontId="5" fillId="7" borderId="1" xfId="0" applyFont="1" applyFill="1" applyBorder="1" applyAlignment="1" applyProtection="1">
      <alignment horizontal="center" vertical="center" shrinkToFit="1"/>
    </xf>
    <xf numFmtId="0" fontId="16" fillId="7" borderId="4" xfId="0" applyFont="1" applyFill="1" applyBorder="1" applyAlignment="1" applyProtection="1">
      <alignment horizontal="center" vertical="center"/>
    </xf>
    <xf numFmtId="0" fontId="5" fillId="4" borderId="0" xfId="0" applyFont="1" applyFill="1" applyBorder="1" applyAlignment="1" applyProtection="1">
      <alignment horizontal="center" vertical="center" shrinkToFit="1"/>
    </xf>
    <xf numFmtId="0" fontId="16" fillId="4" borderId="0" xfId="0" applyFont="1" applyFill="1" applyBorder="1" applyAlignment="1" applyProtection="1">
      <alignment horizontal="center" vertical="center"/>
    </xf>
    <xf numFmtId="37" fontId="5" fillId="4" borderId="1" xfId="0" applyNumberFormat="1" applyFont="1" applyFill="1" applyBorder="1" applyAlignment="1" applyProtection="1">
      <alignment horizontal="left" vertical="center"/>
    </xf>
    <xf numFmtId="0" fontId="9" fillId="4" borderId="0" xfId="0" applyFont="1" applyFill="1" applyAlignment="1" applyProtection="1">
      <alignment horizontal="center" vertical="center"/>
    </xf>
    <xf numFmtId="0" fontId="5" fillId="4" borderId="0" xfId="0"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0" fontId="0" fillId="0" borderId="0" xfId="0" applyAlignment="1">
      <alignment vertical="center"/>
    </xf>
    <xf numFmtId="37" fontId="5" fillId="4" borderId="3" xfId="0" applyNumberFormat="1" applyFont="1" applyFill="1" applyBorder="1" applyAlignment="1" applyProtection="1">
      <alignment horizontal="fill" vertical="center"/>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4" borderId="0" xfId="0" applyFont="1" applyFill="1" applyAlignment="1">
      <alignment vertical="center"/>
    </xf>
    <xf numFmtId="0" fontId="5" fillId="0" borderId="0" xfId="0" applyFont="1" applyAlignment="1">
      <alignment vertical="center"/>
    </xf>
    <xf numFmtId="0" fontId="5" fillId="3" borderId="0" xfId="0" applyFont="1" applyFill="1" applyAlignment="1" applyProtection="1">
      <alignment vertical="center"/>
      <protection locked="0"/>
    </xf>
    <xf numFmtId="37" fontId="5" fillId="3" borderId="0" xfId="0" applyNumberFormat="1" applyFont="1" applyFill="1" applyAlignment="1" applyProtection="1">
      <alignment horizontal="left" vertical="center"/>
      <protection locked="0"/>
    </xf>
    <xf numFmtId="0" fontId="5" fillId="4" borderId="0" xfId="0" applyFont="1" applyFill="1" applyAlignment="1" applyProtection="1">
      <alignment horizontal="left" vertical="center"/>
    </xf>
    <xf numFmtId="0" fontId="5" fillId="4" borderId="0" xfId="0" applyFont="1" applyFill="1" applyAlignment="1" applyProtection="1">
      <alignment horizontal="right" vertical="center"/>
    </xf>
    <xf numFmtId="37" fontId="5" fillId="3" borderId="3" xfId="0" applyNumberFormat="1" applyFont="1" applyFill="1" applyBorder="1" applyAlignment="1" applyProtection="1">
      <alignment horizontal="left" vertical="center"/>
      <protection locked="0"/>
    </xf>
    <xf numFmtId="0" fontId="5" fillId="4" borderId="0" xfId="0" applyFont="1" applyFill="1" applyAlignment="1">
      <alignment horizontal="center" vertical="center"/>
    </xf>
    <xf numFmtId="0" fontId="4" fillId="4" borderId="0" xfId="0" applyFont="1" applyFill="1" applyAlignment="1">
      <alignment horizontal="center" vertical="center"/>
    </xf>
    <xf numFmtId="0" fontId="24" fillId="4" borderId="0" xfId="0" applyFont="1" applyFill="1" applyAlignment="1">
      <alignment horizontal="center" vertical="center"/>
    </xf>
    <xf numFmtId="37" fontId="5" fillId="4" borderId="0" xfId="0" applyNumberFormat="1" applyFont="1" applyFill="1" applyAlignment="1">
      <alignment vertical="center"/>
    </xf>
    <xf numFmtId="0" fontId="5" fillId="4" borderId="4" xfId="0" applyFont="1" applyFill="1" applyBorder="1" applyAlignment="1">
      <alignment vertical="center"/>
    </xf>
    <xf numFmtId="0" fontId="5" fillId="4" borderId="3" xfId="0" applyFont="1" applyFill="1" applyBorder="1" applyAlignment="1">
      <alignment vertical="center"/>
    </xf>
    <xf numFmtId="0" fontId="25" fillId="4" borderId="7" xfId="0" applyFont="1" applyFill="1" applyBorder="1" applyAlignment="1">
      <alignment vertical="center"/>
    </xf>
    <xf numFmtId="0" fontId="25" fillId="4" borderId="4" xfId="0" applyFont="1" applyFill="1" applyBorder="1" applyAlignment="1">
      <alignment horizontal="center" vertical="center"/>
    </xf>
    <xf numFmtId="0" fontId="25" fillId="4" borderId="11" xfId="0" applyFont="1" applyFill="1" applyBorder="1" applyAlignment="1">
      <alignment vertical="center"/>
    </xf>
    <xf numFmtId="0" fontId="2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25" fillId="4" borderId="13"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3" xfId="0" applyFont="1" applyFill="1" applyBorder="1" applyAlignment="1">
      <alignment vertical="center"/>
    </xf>
    <xf numFmtId="3" fontId="25" fillId="6"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1" xfId="0" applyFont="1" applyFill="1" applyBorder="1" applyAlignment="1" applyProtection="1">
      <alignment vertical="center"/>
      <protection locked="0"/>
    </xf>
    <xf numFmtId="3" fontId="25" fillId="3" borderId="11"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5" xfId="0" applyNumberFormat="1" applyFont="1" applyFill="1" applyBorder="1" applyAlignment="1" applyProtection="1">
      <alignment horizontal="center" vertical="center"/>
      <protection locked="0"/>
    </xf>
    <xf numFmtId="3" fontId="25" fillId="3" borderId="4" xfId="0" applyNumberFormat="1" applyFont="1" applyFill="1" applyBorder="1" applyAlignment="1" applyProtection="1">
      <alignment horizontal="center" vertical="center"/>
      <protection locked="0"/>
    </xf>
    <xf numFmtId="0" fontId="25" fillId="3" borderId="4" xfId="0" applyFont="1" applyFill="1" applyBorder="1" applyAlignment="1" applyProtection="1">
      <alignment vertical="center"/>
      <protection locked="0"/>
    </xf>
    <xf numFmtId="0" fontId="25" fillId="3" borderId="8" xfId="0" applyFont="1" applyFill="1" applyBorder="1" applyAlignment="1" applyProtection="1">
      <alignment vertical="center"/>
      <protection locked="0"/>
    </xf>
    <xf numFmtId="3" fontId="25" fillId="3" borderId="12" xfId="0" applyNumberFormat="1" applyFont="1" applyFill="1" applyBorder="1" applyAlignment="1" applyProtection="1">
      <alignment horizontal="center" vertical="center"/>
      <protection locked="0"/>
    </xf>
    <xf numFmtId="0" fontId="25" fillId="3" borderId="12" xfId="0" applyFont="1" applyFill="1" applyBorder="1" applyAlignment="1" applyProtection="1">
      <alignment vertical="center"/>
      <protection locked="0"/>
    </xf>
    <xf numFmtId="3" fontId="25" fillId="6" borderId="8" xfId="0" applyNumberFormat="1" applyFont="1" applyFill="1" applyBorder="1" applyAlignment="1">
      <alignment horizontal="center" vertical="center"/>
    </xf>
    <xf numFmtId="3" fontId="25" fillId="7" borderId="1" xfId="0" applyNumberFormat="1" applyFont="1" applyFill="1" applyBorder="1" applyAlignment="1">
      <alignment horizontal="center" vertical="center"/>
    </xf>
    <xf numFmtId="3" fontId="5" fillId="4" borderId="0" xfId="0" applyNumberFormat="1" applyFont="1" applyFill="1" applyAlignment="1">
      <alignment vertical="center"/>
    </xf>
    <xf numFmtId="0" fontId="5" fillId="10" borderId="0" xfId="0" applyFont="1" applyFill="1" applyAlignment="1">
      <alignment vertical="center"/>
    </xf>
    <xf numFmtId="0" fontId="5" fillId="4" borderId="0" xfId="0" applyFont="1" applyFill="1" applyAlignment="1">
      <alignment horizontal="right" vertical="center"/>
    </xf>
    <xf numFmtId="0" fontId="5" fillId="3" borderId="0" xfId="0" applyFont="1" applyFill="1" applyAlignment="1" applyProtection="1">
      <alignment horizontal="left" vertical="center"/>
      <protection locked="0"/>
    </xf>
    <xf numFmtId="3" fontId="5" fillId="0" borderId="0" xfId="0" applyNumberFormat="1" applyFont="1" applyAlignment="1">
      <alignment vertical="center"/>
    </xf>
    <xf numFmtId="37" fontId="18" fillId="4" borderId="0" xfId="0" applyNumberFormat="1" applyFont="1" applyFill="1" applyAlignment="1" applyProtection="1">
      <alignment horizontal="left" vertical="center"/>
    </xf>
    <xf numFmtId="0" fontId="5" fillId="0" borderId="0" xfId="0" applyFont="1" applyAlignment="1" applyProtection="1">
      <alignment vertical="center"/>
      <protection locked="0"/>
    </xf>
    <xf numFmtId="37" fontId="4" fillId="4" borderId="0" xfId="0" applyNumberFormat="1" applyFont="1" applyFill="1" applyAlignment="1" applyProtection="1">
      <alignment horizontal="left" vertical="center"/>
    </xf>
    <xf numFmtId="37" fontId="5" fillId="3" borderId="2" xfId="0" applyNumberFormat="1" applyFont="1" applyFill="1" applyBorder="1" applyAlignment="1" applyProtection="1">
      <alignment horizontal="left" vertical="center"/>
      <protection locked="0"/>
    </xf>
    <xf numFmtId="0" fontId="4" fillId="4" borderId="0" xfId="0" applyFont="1" applyFill="1" applyAlignment="1" applyProtection="1">
      <alignment vertical="center"/>
    </xf>
    <xf numFmtId="0" fontId="4" fillId="3" borderId="1" xfId="0" applyFont="1" applyFill="1" applyBorder="1" applyAlignment="1" applyProtection="1">
      <alignment horizontal="center" vertical="center"/>
      <protection locked="0"/>
    </xf>
    <xf numFmtId="37" fontId="4" fillId="4" borderId="0" xfId="0" applyNumberFormat="1" applyFont="1" applyFill="1" applyAlignment="1" applyProtection="1">
      <alignment horizontal="centerContinuous" vertical="center"/>
    </xf>
    <xf numFmtId="0" fontId="4" fillId="4" borderId="0" xfId="0" applyFont="1" applyFill="1" applyAlignment="1" applyProtection="1">
      <alignment horizontal="centerContinuous" vertical="center"/>
    </xf>
    <xf numFmtId="0" fontId="4" fillId="5" borderId="0" xfId="0" applyFont="1" applyFill="1" applyAlignment="1" applyProtection="1">
      <alignment vertical="center"/>
    </xf>
    <xf numFmtId="0" fontId="5" fillId="5" borderId="0" xfId="0" applyFont="1" applyFill="1" applyAlignment="1" applyProtection="1">
      <alignment vertical="center"/>
    </xf>
    <xf numFmtId="0" fontId="5" fillId="4" borderId="0" xfId="0" applyNumberFormat="1" applyFont="1" applyFill="1" applyAlignment="1" applyProtection="1">
      <alignment horizontal="center" vertical="center"/>
    </xf>
    <xf numFmtId="37" fontId="4" fillId="8" borderId="0" xfId="0" applyNumberFormat="1" applyFont="1" applyFill="1" applyAlignment="1" applyProtection="1">
      <alignment horizontal="left" vertical="center"/>
    </xf>
    <xf numFmtId="0" fontId="5" fillId="8" borderId="0" xfId="0" applyFont="1" applyFill="1" applyAlignment="1" applyProtection="1">
      <alignment vertical="center"/>
    </xf>
    <xf numFmtId="0" fontId="6" fillId="9" borderId="7" xfId="0" applyNumberFormat="1" applyFont="1" applyFill="1" applyBorder="1" applyAlignment="1" applyProtection="1">
      <alignment horizontal="center" vertical="center"/>
    </xf>
    <xf numFmtId="0" fontId="6" fillId="4" borderId="0" xfId="0" applyFont="1" applyFill="1" applyAlignment="1" applyProtection="1">
      <alignment horizontal="center" vertical="center"/>
    </xf>
    <xf numFmtId="0" fontId="5" fillId="9" borderId="8" xfId="0" applyFont="1" applyFill="1" applyBorder="1" applyAlignment="1">
      <alignment horizontal="center" vertical="center"/>
    </xf>
    <xf numFmtId="3" fontId="5" fillId="2" borderId="1" xfId="0" applyNumberFormat="1" applyFont="1" applyFill="1" applyBorder="1" applyAlignment="1" applyProtection="1">
      <alignment vertical="center"/>
      <protection locked="0"/>
    </xf>
    <xf numFmtId="0" fontId="5" fillId="4" borderId="1" xfId="0" applyFont="1" applyFill="1" applyBorder="1" applyAlignment="1" applyProtection="1">
      <alignment horizontal="center" vertical="center"/>
      <protection locked="0"/>
    </xf>
    <xf numFmtId="37" fontId="5" fillId="2" borderId="1" xfId="0" applyNumberFormat="1" applyFont="1" applyFill="1" applyBorder="1" applyAlignment="1" applyProtection="1">
      <alignment horizontal="left" vertical="center"/>
      <protection locked="0"/>
    </xf>
    <xf numFmtId="0" fontId="5" fillId="2" borderId="1" xfId="0" applyFont="1" applyFill="1" applyBorder="1" applyAlignment="1" applyProtection="1">
      <alignment horizontal="center" vertical="center"/>
      <protection locked="0"/>
    </xf>
    <xf numFmtId="0" fontId="5" fillId="4" borderId="3" xfId="0" applyFont="1" applyFill="1" applyBorder="1" applyAlignment="1" applyProtection="1">
      <alignment horizontal="left" vertical="center"/>
    </xf>
    <xf numFmtId="0" fontId="5" fillId="4" borderId="2" xfId="0" applyFont="1" applyFill="1" applyBorder="1" applyAlignment="1" applyProtection="1">
      <alignment vertical="center"/>
    </xf>
    <xf numFmtId="37" fontId="5" fillId="4" borderId="2" xfId="0" applyNumberFormat="1" applyFont="1" applyFill="1" applyBorder="1" applyAlignment="1" applyProtection="1">
      <alignment vertical="center"/>
    </xf>
    <xf numFmtId="37" fontId="5" fillId="6" borderId="1" xfId="0" applyNumberFormat="1" applyFont="1" applyFill="1" applyBorder="1" applyAlignment="1" applyProtection="1">
      <alignment vertical="center"/>
    </xf>
    <xf numFmtId="37" fontId="5" fillId="4" borderId="0" xfId="0" applyNumberFormat="1" applyFont="1" applyFill="1" applyBorder="1" applyAlignment="1" applyProtection="1">
      <alignment vertical="center"/>
    </xf>
    <xf numFmtId="0" fontId="0" fillId="4" borderId="0" xfId="0" applyFill="1" applyAlignment="1">
      <alignment vertical="center"/>
    </xf>
    <xf numFmtId="0" fontId="5" fillId="3" borderId="1" xfId="0" applyFont="1" applyFill="1" applyBorder="1" applyAlignment="1" applyProtection="1">
      <alignment vertical="center"/>
      <protection locked="0"/>
    </xf>
    <xf numFmtId="3" fontId="5" fillId="3" borderId="1" xfId="0" applyNumberFormat="1" applyFont="1" applyFill="1" applyBorder="1" applyAlignment="1" applyProtection="1">
      <alignment vertical="center"/>
      <protection locked="0"/>
    </xf>
    <xf numFmtId="3" fontId="5" fillId="6" borderId="1" xfId="0" applyNumberFormat="1" applyFont="1" applyFill="1" applyBorder="1" applyAlignment="1" applyProtection="1">
      <alignment vertical="center"/>
    </xf>
    <xf numFmtId="0" fontId="5" fillId="9" borderId="0" xfId="0" applyFont="1" applyFill="1" applyAlignment="1" applyProtection="1">
      <alignment vertical="center"/>
    </xf>
    <xf numFmtId="165" fontId="5" fillId="2" borderId="8" xfId="0" applyNumberFormat="1" applyFont="1" applyFill="1" applyBorder="1" applyAlignment="1" applyProtection="1">
      <alignment vertical="center"/>
      <protection locked="0"/>
    </xf>
    <xf numFmtId="165" fontId="5" fillId="2" borderId="1" xfId="0" applyNumberFormat="1" applyFont="1" applyFill="1" applyBorder="1" applyAlignment="1" applyProtection="1">
      <alignment vertical="center"/>
      <protection locked="0"/>
    </xf>
    <xf numFmtId="165" fontId="5" fillId="4" borderId="3" xfId="0" applyNumberFormat="1" applyFont="1" applyFill="1" applyBorder="1" applyAlignment="1" applyProtection="1">
      <alignment vertical="center"/>
    </xf>
    <xf numFmtId="165" fontId="5" fillId="6" borderId="14" xfId="0" applyNumberFormat="1" applyFont="1" applyFill="1" applyBorder="1" applyAlignment="1" applyProtection="1">
      <alignment vertical="center"/>
    </xf>
    <xf numFmtId="37" fontId="5" fillId="5" borderId="0" xfId="0" applyNumberFormat="1" applyFont="1" applyFill="1" applyAlignment="1" applyProtection="1">
      <alignment horizontal="left" vertical="center"/>
    </xf>
    <xf numFmtId="37" fontId="5" fillId="2" borderId="3" xfId="0" applyNumberFormat="1" applyFont="1" applyFill="1" applyBorder="1" applyAlignment="1" applyProtection="1">
      <alignment vertical="center"/>
      <protection locked="0"/>
    </xf>
    <xf numFmtId="3" fontId="5" fillId="4" borderId="0" xfId="0" applyNumberFormat="1" applyFont="1" applyFill="1" applyAlignment="1" applyProtection="1">
      <alignment vertical="center"/>
    </xf>
    <xf numFmtId="0" fontId="5" fillId="5" borderId="3" xfId="0" applyFont="1" applyFill="1" applyBorder="1" applyAlignment="1" applyProtection="1">
      <alignment vertical="center"/>
    </xf>
    <xf numFmtId="0" fontId="5" fillId="4" borderId="0" xfId="0" applyFont="1" applyFill="1" applyAlignment="1" applyProtection="1">
      <alignment vertical="center"/>
      <protection locked="0"/>
    </xf>
    <xf numFmtId="0" fontId="5" fillId="4" borderId="3" xfId="0" applyFont="1" applyFill="1" applyBorder="1" applyAlignment="1" applyProtection="1">
      <alignment horizontal="center" vertical="center"/>
    </xf>
    <xf numFmtId="0" fontId="5" fillId="4" borderId="5" xfId="0" applyFont="1" applyFill="1" applyBorder="1" applyAlignment="1" applyProtection="1">
      <alignment vertical="center"/>
      <protection locked="0"/>
    </xf>
    <xf numFmtId="0" fontId="5" fillId="5" borderId="2" xfId="0" applyFont="1" applyFill="1" applyBorder="1" applyAlignment="1" applyProtection="1">
      <alignment vertical="center"/>
    </xf>
    <xf numFmtId="0" fontId="5" fillId="4" borderId="4"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4" fillId="0" borderId="0" xfId="0" applyFont="1" applyAlignment="1" applyProtection="1">
      <alignment vertical="center"/>
      <protection locked="0"/>
    </xf>
    <xf numFmtId="0" fontId="5" fillId="0" borderId="0" xfId="0" applyFont="1" applyBorder="1" applyAlignment="1" applyProtection="1">
      <alignment vertical="center"/>
      <protection locked="0"/>
    </xf>
    <xf numFmtId="1" fontId="5" fillId="4" borderId="10" xfId="0" applyNumberFormat="1" applyFont="1" applyFill="1" applyBorder="1" applyAlignment="1" applyProtection="1">
      <alignment horizontal="centerContinuous" vertical="center"/>
    </xf>
    <xf numFmtId="1" fontId="5" fillId="4" borderId="4" xfId="0" applyNumberFormat="1" applyFont="1" applyFill="1" applyBorder="1" applyAlignment="1" applyProtection="1">
      <alignment horizontal="centerContinuous" vertical="center"/>
    </xf>
    <xf numFmtId="0" fontId="5" fillId="4" borderId="4" xfId="0" applyFont="1" applyFill="1" applyBorder="1" applyAlignment="1" applyProtection="1">
      <alignment horizontal="centerContinuous" vertical="center"/>
    </xf>
    <xf numFmtId="37" fontId="5" fillId="4" borderId="10" xfId="0" applyNumberFormat="1" applyFont="1" applyFill="1" applyBorder="1" applyAlignment="1" applyProtection="1">
      <alignment horizontal="centerContinuous" vertical="center"/>
    </xf>
    <xf numFmtId="0" fontId="5" fillId="4" borderId="2" xfId="0" applyFont="1" applyFill="1" applyBorder="1" applyAlignment="1" applyProtection="1">
      <alignment horizontal="centerContinuous" vertical="center"/>
    </xf>
    <xf numFmtId="1" fontId="5" fillId="4" borderId="7" xfId="0" applyNumberFormat="1" applyFont="1" applyFill="1" applyBorder="1" applyAlignment="1" applyProtection="1">
      <alignment horizontal="center" vertical="center"/>
    </xf>
    <xf numFmtId="0" fontId="5" fillId="4" borderId="7" xfId="0" applyFont="1" applyFill="1" applyBorder="1" applyAlignment="1" applyProtection="1">
      <alignment vertical="center"/>
    </xf>
    <xf numFmtId="37" fontId="5" fillId="4" borderId="5" xfId="0" applyNumberFormat="1" applyFont="1" applyFill="1" applyBorder="1" applyAlignment="1" applyProtection="1">
      <alignment horizontal="center" vertical="center"/>
    </xf>
    <xf numFmtId="0" fontId="5" fillId="4" borderId="1" xfId="0" applyFont="1" applyFill="1" applyBorder="1" applyAlignment="1" applyProtection="1">
      <alignment vertical="center"/>
    </xf>
    <xf numFmtId="165" fontId="5" fillId="6" borderId="1" xfId="0" applyNumberFormat="1" applyFont="1" applyFill="1" applyBorder="1" applyAlignment="1" applyProtection="1">
      <alignment vertical="center"/>
    </xf>
    <xf numFmtId="164" fontId="5" fillId="4" borderId="0" xfId="0" applyNumberFormat="1" applyFont="1" applyFill="1" applyAlignment="1" applyProtection="1">
      <alignment vertical="center"/>
    </xf>
    <xf numFmtId="37" fontId="5" fillId="4" borderId="1" xfId="0" applyNumberFormat="1" applyFont="1" applyFill="1" applyBorder="1" applyAlignment="1" applyProtection="1">
      <alignment horizontal="fill" vertical="center"/>
    </xf>
    <xf numFmtId="37" fontId="5" fillId="4" borderId="4" xfId="0" applyNumberFormat="1" applyFont="1" applyFill="1" applyBorder="1" applyAlignment="1" applyProtection="1">
      <alignment vertical="center"/>
    </xf>
    <xf numFmtId="1" fontId="5" fillId="4" borderId="3" xfId="0" applyNumberFormat="1" applyFont="1" applyFill="1" applyBorder="1" applyAlignment="1" applyProtection="1">
      <alignment horizontal="center" vertical="center"/>
    </xf>
    <xf numFmtId="37" fontId="5" fillId="4" borderId="0" xfId="0" applyNumberFormat="1" applyFont="1" applyFill="1" applyAlignment="1" applyProtection="1">
      <alignment horizontal="right" vertical="center"/>
    </xf>
    <xf numFmtId="0" fontId="5" fillId="2" borderId="0" xfId="0" applyFont="1" applyFill="1" applyAlignment="1" applyProtection="1">
      <alignment horizontal="left" vertical="center"/>
      <protection locked="0"/>
    </xf>
    <xf numFmtId="0" fontId="4" fillId="0" borderId="0" xfId="0" applyFont="1" applyAlignment="1">
      <alignment horizontal="center" vertical="center"/>
    </xf>
    <xf numFmtId="0" fontId="5" fillId="0" borderId="0" xfId="0" applyFont="1" applyAlignment="1" applyProtection="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pplyProtection="1">
      <alignment vertical="center" wrapText="1"/>
    </xf>
    <xf numFmtId="0" fontId="4" fillId="0" borderId="0" xfId="0" applyFont="1" applyAlignment="1">
      <alignment vertical="center" wrapText="1"/>
    </xf>
    <xf numFmtId="0" fontId="5" fillId="3" borderId="0" xfId="0" applyFont="1" applyFill="1" applyAlignment="1" applyProtection="1">
      <alignment vertical="center" wrapText="1"/>
    </xf>
    <xf numFmtId="0" fontId="5" fillId="0" borderId="0" xfId="0" applyFont="1" applyFill="1" applyAlignment="1" applyProtection="1">
      <alignment vertical="center" wrapText="1"/>
    </xf>
    <xf numFmtId="0" fontId="5" fillId="4" borderId="0" xfId="0" applyFont="1" applyFill="1" applyAlignment="1">
      <alignment vertical="center" wrapText="1"/>
    </xf>
    <xf numFmtId="0" fontId="5" fillId="9" borderId="0" xfId="0" applyFont="1" applyFill="1" applyAlignment="1">
      <alignment vertical="center" wrapText="1"/>
    </xf>
    <xf numFmtId="37" fontId="5" fillId="0" borderId="0" xfId="0" applyNumberFormat="1" applyFont="1" applyFill="1" applyAlignment="1" applyProtection="1">
      <alignment horizontal="left" vertical="center" wrapText="1"/>
    </xf>
    <xf numFmtId="0" fontId="5" fillId="0" borderId="0" xfId="0" applyNumberFormat="1" applyFont="1" applyAlignment="1">
      <alignment vertical="center" wrapText="1"/>
    </xf>
    <xf numFmtId="37" fontId="5" fillId="4" borderId="0" xfId="0" applyNumberFormat="1" applyFont="1" applyFill="1" applyAlignment="1" applyProtection="1">
      <alignment vertical="center"/>
    </xf>
    <xf numFmtId="0" fontId="5" fillId="4" borderId="0" xfId="0" applyNumberFormat="1" applyFont="1" applyFill="1" applyAlignment="1" applyProtection="1">
      <alignment horizontal="right" vertical="center"/>
    </xf>
    <xf numFmtId="0" fontId="5" fillId="0" borderId="0" xfId="0" applyFont="1" applyAlignment="1" applyProtection="1">
      <alignment vertical="center"/>
    </xf>
    <xf numFmtId="0" fontId="6" fillId="4" borderId="0" xfId="0" applyFont="1" applyFill="1" applyBorder="1" applyAlignment="1" applyProtection="1">
      <alignment horizontal="centerContinuous" vertical="center"/>
    </xf>
    <xf numFmtId="0" fontId="5" fillId="4" borderId="0" xfId="0" applyFont="1" applyFill="1" applyBorder="1" applyAlignment="1" applyProtection="1">
      <alignment horizontal="centerContinuous" vertical="center"/>
    </xf>
    <xf numFmtId="0" fontId="5" fillId="4" borderId="7" xfId="0" applyFont="1" applyFill="1" applyBorder="1" applyAlignment="1" applyProtection="1">
      <alignment horizontal="center" vertical="center"/>
    </xf>
    <xf numFmtId="37" fontId="5" fillId="4" borderId="8" xfId="0" applyNumberFormat="1" applyFont="1" applyFill="1" applyBorder="1" applyAlignment="1" applyProtection="1">
      <alignment vertical="center"/>
    </xf>
    <xf numFmtId="0" fontId="5" fillId="4" borderId="8" xfId="0" applyFont="1" applyFill="1" applyBorder="1" applyAlignment="1" applyProtection="1">
      <alignment horizontal="center" vertical="center"/>
    </xf>
    <xf numFmtId="37" fontId="5" fillId="3" borderId="1" xfId="0" applyNumberFormat="1" applyFont="1" applyFill="1" applyBorder="1" applyAlignment="1" applyProtection="1">
      <alignment vertical="center"/>
    </xf>
    <xf numFmtId="174" fontId="5" fillId="4" borderId="1" xfId="0" applyNumberFormat="1" applyFont="1" applyFill="1" applyBorder="1" applyAlignment="1" applyProtection="1">
      <alignment vertical="center"/>
    </xf>
    <xf numFmtId="3" fontId="5" fillId="2" borderId="1" xfId="0" applyNumberFormat="1" applyFont="1" applyFill="1" applyBorder="1" applyAlignment="1" applyProtection="1">
      <alignment vertical="center"/>
    </xf>
    <xf numFmtId="0" fontId="5" fillId="2" borderId="1" xfId="0" applyFont="1" applyFill="1" applyBorder="1" applyAlignment="1" applyProtection="1">
      <alignment vertical="center"/>
    </xf>
    <xf numFmtId="37" fontId="5" fillId="4" borderId="14" xfId="0" applyNumberFormat="1" applyFont="1" applyFill="1" applyBorder="1" applyAlignment="1" applyProtection="1">
      <alignment vertical="center"/>
    </xf>
    <xf numFmtId="37" fontId="5" fillId="11" borderId="14" xfId="0" applyNumberFormat="1" applyFont="1" applyFill="1" applyBorder="1" applyAlignment="1" applyProtection="1">
      <alignment vertical="center"/>
    </xf>
    <xf numFmtId="174" fontId="5" fillId="11" borderId="14" xfId="0" applyNumberFormat="1" applyFont="1" applyFill="1" applyBorder="1" applyAlignment="1" applyProtection="1">
      <alignment vertical="center"/>
    </xf>
    <xf numFmtId="3" fontId="5" fillId="11" borderId="14" xfId="0" applyNumberFormat="1" applyFont="1" applyFill="1" applyBorder="1" applyAlignment="1" applyProtection="1">
      <alignment vertical="center"/>
    </xf>
    <xf numFmtId="37" fontId="5" fillId="4" borderId="3" xfId="0" applyNumberFormat="1" applyFont="1" applyFill="1" applyBorder="1" applyAlignment="1" applyProtection="1">
      <alignment vertical="center"/>
    </xf>
    <xf numFmtId="3" fontId="5" fillId="4" borderId="3" xfId="0" applyNumberFormat="1" applyFont="1" applyFill="1" applyBorder="1" applyAlignment="1" applyProtection="1">
      <alignment vertical="center"/>
    </xf>
    <xf numFmtId="166" fontId="5" fillId="6" borderId="3" xfId="0" applyNumberFormat="1" applyFont="1" applyFill="1" applyBorder="1" applyAlignment="1" applyProtection="1">
      <alignment vertical="center"/>
    </xf>
    <xf numFmtId="0" fontId="6" fillId="4" borderId="0" xfId="0" applyFont="1" applyFill="1" applyAlignment="1" applyProtection="1">
      <alignment vertical="center"/>
    </xf>
    <xf numFmtId="166" fontId="5" fillId="4" borderId="3" xfId="0" applyNumberFormat="1" applyFont="1" applyFill="1" applyBorder="1" applyAlignment="1" applyProtection="1">
      <alignment vertical="center"/>
    </xf>
    <xf numFmtId="167" fontId="5" fillId="6" borderId="3" xfId="0" applyNumberFormat="1" applyFont="1" applyFill="1" applyBorder="1" applyAlignment="1" applyProtection="1">
      <alignment vertical="center"/>
    </xf>
    <xf numFmtId="166" fontId="5" fillId="4" borderId="0" xfId="0" applyNumberFormat="1" applyFont="1" applyFill="1" applyBorder="1" applyAlignment="1" applyProtection="1">
      <alignment vertical="center"/>
    </xf>
    <xf numFmtId="37" fontId="5" fillId="0" borderId="0" xfId="0" applyNumberFormat="1" applyFont="1" applyAlignment="1" applyProtection="1">
      <alignment horizontal="fill" vertical="center"/>
    </xf>
    <xf numFmtId="0" fontId="4" fillId="4" borderId="3"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5" fillId="0" borderId="0" xfId="0" applyFont="1" applyAlignment="1" applyProtection="1">
      <alignment horizontal="center" vertical="center"/>
      <protection locked="0"/>
    </xf>
    <xf numFmtId="0" fontId="5" fillId="3" borderId="8" xfId="0" applyFont="1" applyFill="1" applyBorder="1" applyAlignment="1" applyProtection="1">
      <alignment vertical="center"/>
      <protection locked="0"/>
    </xf>
    <xf numFmtId="173" fontId="5" fillId="3" borderId="8" xfId="1" applyNumberFormat="1" applyFont="1" applyFill="1" applyBorder="1" applyAlignment="1" applyProtection="1">
      <alignment vertical="center"/>
      <protection locked="0"/>
    </xf>
    <xf numFmtId="173" fontId="5" fillId="4" borderId="1" xfId="1" applyNumberFormat="1" applyFont="1" applyFill="1" applyBorder="1" applyAlignment="1" applyProtection="1">
      <alignment vertical="center"/>
    </xf>
    <xf numFmtId="173" fontId="5" fillId="3" borderId="1" xfId="1" applyNumberFormat="1"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3" fontId="5" fillId="4" borderId="1" xfId="0" applyNumberFormat="1" applyFont="1" applyFill="1" applyBorder="1" applyAlignment="1" applyProtection="1">
      <alignment vertical="center"/>
    </xf>
    <xf numFmtId="0" fontId="4" fillId="4" borderId="0" xfId="0" applyFont="1" applyFill="1" applyAlignment="1" applyProtection="1">
      <alignment horizontal="center" vertical="center" wrapText="1"/>
    </xf>
    <xf numFmtId="0" fontId="5" fillId="4" borderId="0" xfId="0" quotePrefix="1" applyFont="1" applyFill="1" applyAlignment="1" applyProtection="1">
      <alignment vertical="center"/>
    </xf>
    <xf numFmtId="3" fontId="5" fillId="4" borderId="0" xfId="0" quotePrefix="1" applyNumberFormat="1" applyFont="1" applyFill="1" applyAlignment="1" applyProtection="1">
      <alignment vertical="center"/>
    </xf>
    <xf numFmtId="3" fontId="5" fillId="6" borderId="3" xfId="0" applyNumberFormat="1" applyFont="1" applyFill="1" applyBorder="1" applyAlignment="1" applyProtection="1">
      <alignment vertical="center"/>
    </xf>
    <xf numFmtId="3" fontId="5" fillId="6" borderId="2" xfId="0" applyNumberFormat="1" applyFont="1" applyFill="1" applyBorder="1" applyAlignment="1" applyProtection="1">
      <alignment vertical="center"/>
    </xf>
    <xf numFmtId="3" fontId="5" fillId="4" borderId="2" xfId="0" applyNumberFormat="1" applyFont="1" applyFill="1" applyBorder="1" applyAlignment="1" applyProtection="1">
      <alignment vertical="center"/>
    </xf>
    <xf numFmtId="3" fontId="5" fillId="4" borderId="0" xfId="0" applyNumberFormat="1" applyFont="1" applyFill="1" applyBorder="1" applyAlignment="1" applyProtection="1">
      <alignment vertical="center"/>
    </xf>
    <xf numFmtId="0" fontId="5" fillId="4" borderId="6" xfId="0" applyFont="1" applyFill="1" applyBorder="1" applyAlignment="1" applyProtection="1">
      <alignment vertical="center"/>
    </xf>
    <xf numFmtId="167" fontId="5" fillId="4" borderId="3" xfId="0" applyNumberFormat="1" applyFont="1" applyFill="1" applyBorder="1" applyAlignment="1" applyProtection="1">
      <alignment vertical="center"/>
    </xf>
    <xf numFmtId="0" fontId="5" fillId="4" borderId="0" xfId="0" quotePrefix="1" applyFont="1" applyFill="1" applyBorder="1" applyAlignment="1" applyProtection="1">
      <alignment vertical="center"/>
    </xf>
    <xf numFmtId="3" fontId="5" fillId="4" borderId="17" xfId="0" applyNumberFormat="1" applyFont="1" applyFill="1" applyBorder="1" applyAlignment="1" applyProtection="1">
      <alignment vertical="center"/>
    </xf>
    <xf numFmtId="0" fontId="7" fillId="0" borderId="0" xfId="0" applyFont="1" applyAlignment="1">
      <alignment vertical="center"/>
    </xf>
    <xf numFmtId="37" fontId="5" fillId="4" borderId="0" xfId="21" applyNumberFormat="1" applyFont="1" applyFill="1" applyAlignment="1" applyProtection="1">
      <alignment vertical="center"/>
    </xf>
    <xf numFmtId="0" fontId="5" fillId="4" borderId="0" xfId="21" applyFont="1" applyFill="1" applyAlignment="1" applyProtection="1">
      <alignment vertical="center"/>
    </xf>
    <xf numFmtId="0" fontId="5" fillId="0" borderId="0" xfId="21" applyFont="1" applyAlignment="1" applyProtection="1">
      <alignment vertical="center"/>
      <protection locked="0"/>
    </xf>
    <xf numFmtId="0" fontId="4" fillId="4" borderId="0" xfId="22" applyFont="1" applyFill="1" applyAlignment="1" applyProtection="1">
      <alignment horizontal="centerContinuous" vertical="center"/>
    </xf>
    <xf numFmtId="0" fontId="5" fillId="4" borderId="0" xfId="21" applyFont="1" applyFill="1" applyAlignment="1" applyProtection="1">
      <alignment horizontal="centerContinuous" vertical="center"/>
    </xf>
    <xf numFmtId="0" fontId="5" fillId="4" borderId="18" xfId="0" applyFont="1" applyFill="1" applyBorder="1" applyAlignment="1" applyProtection="1">
      <alignment horizontal="centerContinuous" vertical="center"/>
    </xf>
    <xf numFmtId="0" fontId="5" fillId="4" borderId="11" xfId="0" applyFont="1" applyFill="1" applyBorder="1" applyAlignment="1" applyProtection="1">
      <alignment horizontal="centerContinuous" vertical="center"/>
    </xf>
    <xf numFmtId="0" fontId="5" fillId="4" borderId="9" xfId="0" applyFont="1" applyFill="1" applyBorder="1" applyAlignment="1" applyProtection="1">
      <alignment horizontal="center" vertical="center"/>
    </xf>
    <xf numFmtId="0" fontId="5" fillId="4" borderId="13" xfId="0" applyFont="1" applyFill="1" applyBorder="1" applyAlignment="1" applyProtection="1">
      <alignment horizontal="centerContinuous" vertical="center"/>
    </xf>
    <xf numFmtId="0" fontId="5" fillId="4" borderId="5" xfId="0" applyFont="1" applyFill="1" applyBorder="1" applyAlignment="1" applyProtection="1">
      <alignment horizontal="centerContinuous" vertical="center"/>
    </xf>
    <xf numFmtId="0" fontId="5" fillId="4" borderId="5" xfId="0" applyFont="1" applyFill="1" applyBorder="1" applyAlignment="1" applyProtection="1">
      <alignment horizontal="left" vertical="center"/>
    </xf>
    <xf numFmtId="14" fontId="5" fillId="4" borderId="8" xfId="0" quotePrefix="1" applyNumberFormat="1" applyFont="1" applyFill="1" applyBorder="1" applyAlignment="1" applyProtection="1">
      <alignment horizontal="center" vertical="center"/>
    </xf>
    <xf numFmtId="0" fontId="5" fillId="4" borderId="1" xfId="0" applyFont="1" applyFill="1" applyBorder="1" applyAlignment="1" applyProtection="1">
      <alignment horizontal="left" vertical="center"/>
    </xf>
    <xf numFmtId="168" fontId="5" fillId="4" borderId="1" xfId="0" applyNumberFormat="1" applyFont="1" applyFill="1" applyBorder="1" applyAlignment="1" applyProtection="1">
      <alignment horizontal="left" vertical="center"/>
    </xf>
    <xf numFmtId="169" fontId="5" fillId="4" borderId="1" xfId="0" applyNumberFormat="1" applyFont="1" applyFill="1" applyBorder="1" applyAlignment="1" applyProtection="1">
      <alignment horizontal="left" vertical="center"/>
    </xf>
    <xf numFmtId="0" fontId="5" fillId="2" borderId="1" xfId="0" applyFont="1" applyFill="1" applyBorder="1" applyAlignment="1" applyProtection="1">
      <alignment vertical="center"/>
      <protection locked="0"/>
    </xf>
    <xf numFmtId="168" fontId="5" fillId="2" borderId="1" xfId="0" applyNumberFormat="1" applyFont="1" applyFill="1" applyBorder="1" applyAlignment="1" applyProtection="1">
      <alignment vertical="center"/>
      <protection locked="0"/>
    </xf>
    <xf numFmtId="2" fontId="5" fillId="2" borderId="1" xfId="0" applyNumberFormat="1" applyFont="1" applyFill="1" applyBorder="1" applyAlignment="1" applyProtection="1">
      <alignment vertical="center"/>
      <protection locked="0"/>
    </xf>
    <xf numFmtId="37" fontId="5" fillId="2" borderId="1" xfId="0" applyNumberFormat="1" applyFont="1" applyFill="1" applyBorder="1" applyAlignment="1" applyProtection="1">
      <alignment vertical="center"/>
      <protection locked="0"/>
    </xf>
    <xf numFmtId="169" fontId="5" fillId="2" borderId="1" xfId="0" applyNumberFormat="1" applyFont="1" applyFill="1" applyBorder="1" applyAlignment="1" applyProtection="1">
      <alignment vertical="center"/>
      <protection locked="0"/>
    </xf>
    <xf numFmtId="168" fontId="5" fillId="4" borderId="1" xfId="0" applyNumberFormat="1" applyFont="1" applyFill="1" applyBorder="1" applyAlignment="1" applyProtection="1">
      <alignment vertical="center"/>
    </xf>
    <xf numFmtId="2" fontId="5" fillId="4" borderId="1" xfId="0" applyNumberFormat="1" applyFont="1" applyFill="1" applyBorder="1" applyAlignment="1" applyProtection="1">
      <alignment vertical="center"/>
    </xf>
    <xf numFmtId="169" fontId="5" fillId="6" borderId="1" xfId="0" applyNumberFormat="1" applyFont="1" applyFill="1" applyBorder="1" applyAlignment="1" applyProtection="1">
      <alignment vertical="center"/>
    </xf>
    <xf numFmtId="169" fontId="5" fillId="4" borderId="1" xfId="0" applyNumberFormat="1" applyFont="1" applyFill="1" applyBorder="1" applyAlignment="1" applyProtection="1">
      <alignment vertical="center"/>
    </xf>
    <xf numFmtId="0" fontId="4" fillId="4" borderId="1" xfId="21" applyFont="1" applyFill="1" applyBorder="1" applyAlignment="1" applyProtection="1">
      <alignment horizontal="left" vertical="center"/>
    </xf>
    <xf numFmtId="0" fontId="4" fillId="4" borderId="18" xfId="21" applyFont="1" applyFill="1" applyBorder="1" applyAlignment="1" applyProtection="1">
      <alignment vertical="center"/>
    </xf>
    <xf numFmtId="0" fontId="4" fillId="4" borderId="6" xfId="21" applyFont="1" applyFill="1" applyBorder="1" applyAlignment="1" applyProtection="1">
      <alignment vertical="center"/>
    </xf>
    <xf numFmtId="3" fontId="4" fillId="4" borderId="11" xfId="21" applyNumberFormat="1" applyFont="1" applyFill="1" applyBorder="1" applyAlignment="1" applyProtection="1">
      <alignment vertical="center"/>
    </xf>
    <xf numFmtId="37" fontId="4" fillId="6" borderId="1" xfId="21" applyNumberFormat="1" applyFont="1" applyFill="1" applyBorder="1" applyAlignment="1" applyProtection="1">
      <alignment vertical="center"/>
    </xf>
    <xf numFmtId="0" fontId="4" fillId="4" borderId="11" xfId="21" applyFont="1" applyFill="1" applyBorder="1" applyAlignment="1" applyProtection="1">
      <alignment vertical="center"/>
    </xf>
    <xf numFmtId="0" fontId="5" fillId="4" borderId="0" xfId="22" applyFont="1" applyFill="1" applyAlignment="1" applyProtection="1">
      <alignment horizontal="centerContinuous" vertical="center"/>
    </xf>
    <xf numFmtId="0" fontId="5" fillId="4" borderId="0" xfId="22" applyFont="1" applyFill="1" applyAlignment="1" applyProtection="1">
      <alignment vertical="center"/>
    </xf>
    <xf numFmtId="0" fontId="5" fillId="0" borderId="0" xfId="22" applyFont="1" applyAlignment="1">
      <alignment vertical="center"/>
    </xf>
    <xf numFmtId="0" fontId="5" fillId="4" borderId="3" xfId="0" applyFont="1" applyFill="1" applyBorder="1" applyAlignment="1" applyProtection="1">
      <alignment horizontal="fill" vertical="center"/>
    </xf>
    <xf numFmtId="0" fontId="5" fillId="4" borderId="0" xfId="0" applyFont="1" applyFill="1" applyBorder="1" applyAlignment="1" applyProtection="1">
      <alignment horizontal="fill" vertical="center"/>
    </xf>
    <xf numFmtId="0" fontId="5" fillId="4" borderId="19" xfId="22" applyFont="1" applyFill="1" applyBorder="1" applyAlignment="1" applyProtection="1">
      <alignment vertical="center"/>
    </xf>
    <xf numFmtId="0" fontId="5" fillId="4" borderId="0" xfId="22" applyFont="1" applyFill="1" applyBorder="1" applyAlignment="1" applyProtection="1">
      <alignment vertical="center"/>
    </xf>
    <xf numFmtId="0" fontId="5" fillId="4" borderId="8" xfId="0" applyFont="1" applyFill="1" applyBorder="1" applyAlignment="1" applyProtection="1">
      <alignment horizontal="left" vertical="center"/>
    </xf>
    <xf numFmtId="0" fontId="8" fillId="4" borderId="8" xfId="0" applyFont="1" applyFill="1" applyBorder="1" applyAlignment="1" applyProtection="1">
      <alignment horizontal="center" vertical="center"/>
    </xf>
    <xf numFmtId="1" fontId="5" fillId="2" borderId="1" xfId="0" applyNumberFormat="1" applyFont="1" applyFill="1" applyBorder="1" applyAlignment="1" applyProtection="1">
      <alignment vertical="center"/>
      <protection locked="0"/>
    </xf>
    <xf numFmtId="3" fontId="4" fillId="4" borderId="6" xfId="21" applyNumberFormat="1" applyFont="1" applyFill="1" applyBorder="1" applyAlignment="1" applyProtection="1">
      <alignment vertical="center"/>
    </xf>
    <xf numFmtId="0" fontId="0" fillId="4" borderId="0" xfId="0" applyFill="1" applyAlignment="1" applyProtection="1">
      <alignment vertical="center"/>
    </xf>
    <xf numFmtId="0" fontId="5" fillId="10" borderId="0" xfId="21" applyFont="1" applyFill="1" applyAlignment="1" applyProtection="1">
      <alignment vertical="center"/>
    </xf>
    <xf numFmtId="0" fontId="0" fillId="0" borderId="0" xfId="0" applyAlignment="1" applyProtection="1">
      <alignment vertical="center"/>
      <protection locked="0"/>
    </xf>
    <xf numFmtId="164" fontId="5" fillId="4" borderId="0" xfId="0" applyNumberFormat="1" applyFont="1" applyFill="1" applyAlignment="1" applyProtection="1">
      <alignment horizontal="right" vertical="center"/>
    </xf>
    <xf numFmtId="37" fontId="5" fillId="4" borderId="3" xfId="0" quotePrefix="1" applyNumberFormat="1" applyFont="1" applyFill="1" applyBorder="1" applyAlignment="1" applyProtection="1">
      <alignment horizontal="right" vertical="center"/>
    </xf>
    <xf numFmtId="37" fontId="5" fillId="4" borderId="0" xfId="0" applyNumberFormat="1" applyFont="1" applyFill="1" applyBorder="1" applyAlignment="1" applyProtection="1">
      <alignment horizontal="center" vertical="center"/>
    </xf>
    <xf numFmtId="3" fontId="5" fillId="2" borderId="10" xfId="0" applyNumberFormat="1" applyFont="1" applyFill="1" applyBorder="1" applyAlignment="1" applyProtection="1">
      <alignment vertical="center"/>
      <protection locked="0"/>
    </xf>
    <xf numFmtId="3" fontId="5" fillId="2" borderId="4" xfId="0" applyNumberFormat="1" applyFont="1" applyFill="1" applyBorder="1" applyAlignment="1" applyProtection="1">
      <alignment vertical="center"/>
      <protection locked="0"/>
    </xf>
    <xf numFmtId="3" fontId="5" fillId="4" borderId="4" xfId="0" applyNumberFormat="1" applyFont="1" applyFill="1" applyBorder="1" applyAlignment="1" applyProtection="1">
      <alignment vertical="center"/>
    </xf>
    <xf numFmtId="3" fontId="5" fillId="4" borderId="1" xfId="0" applyNumberFormat="1" applyFont="1" applyFill="1" applyBorder="1" applyAlignment="1" applyProtection="1">
      <alignment horizontal="fill" vertical="center"/>
    </xf>
    <xf numFmtId="0" fontId="5" fillId="4" borderId="10" xfId="0" applyFont="1" applyFill="1" applyBorder="1" applyAlignment="1" applyProtection="1">
      <alignment vertical="center"/>
    </xf>
    <xf numFmtId="0" fontId="5" fillId="2" borderId="10" xfId="0" applyFont="1" applyFill="1" applyBorder="1" applyAlignment="1" applyProtection="1">
      <alignment vertical="center"/>
      <protection locked="0"/>
    </xf>
    <xf numFmtId="0" fontId="5" fillId="3" borderId="4" xfId="0" applyFont="1" applyFill="1" applyBorder="1" applyAlignment="1" applyProtection="1">
      <alignment vertical="center"/>
    </xf>
    <xf numFmtId="37" fontId="5" fillId="2" borderId="10" xfId="0" applyNumberFormat="1" applyFont="1" applyFill="1" applyBorder="1" applyAlignment="1" applyProtection="1">
      <alignment horizontal="left" vertical="center"/>
      <protection locked="0"/>
    </xf>
    <xf numFmtId="37" fontId="5" fillId="4" borderId="10" xfId="0" applyNumberFormat="1" applyFont="1" applyFill="1" applyBorder="1" applyAlignment="1" applyProtection="1">
      <alignment horizontal="left" vertical="center"/>
      <protection locked="0"/>
    </xf>
    <xf numFmtId="37" fontId="5" fillId="4" borderId="4" xfId="0" applyNumberFormat="1" applyFont="1" applyFill="1" applyBorder="1" applyAlignment="1" applyProtection="1">
      <alignment horizontal="left" vertical="center"/>
    </xf>
    <xf numFmtId="3" fontId="16" fillId="7" borderId="4" xfId="0" applyNumberFormat="1" applyFont="1" applyFill="1" applyBorder="1" applyAlignment="1" applyProtection="1">
      <alignment horizontal="center" vertical="center"/>
    </xf>
    <xf numFmtId="0" fontId="4" fillId="4" borderId="10" xfId="0"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 xfId="0" applyNumberFormat="1" applyFont="1" applyFill="1" applyBorder="1" applyAlignment="1" applyProtection="1">
      <alignment vertical="center"/>
    </xf>
    <xf numFmtId="0" fontId="16" fillId="4" borderId="4" xfId="0" applyFont="1" applyFill="1" applyBorder="1" applyAlignment="1" applyProtection="1">
      <alignment horizontal="center" vertical="center"/>
    </xf>
    <xf numFmtId="3" fontId="16" fillId="7" borderId="1" xfId="0" applyNumberFormat="1" applyFont="1" applyFill="1" applyBorder="1" applyAlignment="1" applyProtection="1">
      <alignment horizontal="center" vertical="center"/>
    </xf>
    <xf numFmtId="3" fontId="5" fillId="6" borderId="4" xfId="0" applyNumberFormat="1" applyFont="1" applyFill="1" applyBorder="1" applyAlignment="1" applyProtection="1">
      <alignment vertical="center"/>
    </xf>
    <xf numFmtId="3" fontId="5" fillId="4" borderId="0" xfId="0" applyNumberFormat="1" applyFont="1" applyFill="1" applyAlignment="1" applyProtection="1">
      <alignment horizontal="center" vertical="center"/>
    </xf>
    <xf numFmtId="0" fontId="16" fillId="0" borderId="0" xfId="0" applyFont="1" applyAlignment="1" applyProtection="1">
      <alignment vertical="center"/>
    </xf>
    <xf numFmtId="0" fontId="17" fillId="4" borderId="0" xfId="0" applyFont="1" applyFill="1" applyAlignment="1" applyProtection="1">
      <alignment horizontal="center" vertical="center"/>
    </xf>
    <xf numFmtId="171" fontId="5" fillId="4" borderId="0" xfId="0" applyNumberFormat="1" applyFont="1" applyFill="1" applyBorder="1" applyAlignment="1">
      <alignment horizontal="center" vertical="center"/>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164" fontId="5" fillId="2" borderId="0" xfId="0" applyNumberFormat="1" applyFont="1" applyFill="1" applyAlignment="1" applyProtection="1">
      <alignment horizontal="left" vertical="center"/>
      <protection locked="0"/>
    </xf>
    <xf numFmtId="1" fontId="5" fillId="4" borderId="0" xfId="0" applyNumberFormat="1" applyFont="1" applyFill="1" applyBorder="1" applyAlignment="1" applyProtection="1">
      <alignment horizontal="right" vertical="center"/>
    </xf>
    <xf numFmtId="37" fontId="5" fillId="4" borderId="0" xfId="0" applyNumberFormat="1" applyFont="1" applyFill="1" applyAlignment="1" applyProtection="1">
      <alignment horizontal="fill" vertical="center"/>
    </xf>
    <xf numFmtId="3" fontId="5" fillId="4" borderId="1" xfId="1" applyNumberFormat="1" applyFont="1" applyFill="1" applyBorder="1" applyAlignment="1" applyProtection="1">
      <alignment horizontal="right" vertical="center"/>
    </xf>
    <xf numFmtId="3" fontId="5" fillId="2" borderId="1" xfId="0" applyNumberFormat="1" applyFont="1" applyFill="1" applyBorder="1" applyAlignment="1" applyProtection="1">
      <alignment horizontal="right" vertical="center"/>
      <protection locked="0"/>
    </xf>
    <xf numFmtId="3" fontId="5" fillId="4" borderId="1" xfId="0" applyNumberFormat="1" applyFont="1" applyFill="1" applyBorder="1" applyAlignment="1" applyProtection="1">
      <alignment horizontal="right" vertical="center"/>
    </xf>
    <xf numFmtId="0" fontId="5" fillId="4" borderId="10" xfId="0" applyNumberFormat="1" applyFont="1" applyFill="1" applyBorder="1" applyAlignment="1" applyProtection="1">
      <alignment horizontal="left" vertical="center"/>
    </xf>
    <xf numFmtId="0" fontId="5" fillId="2" borderId="10" xfId="0" applyNumberFormat="1" applyFont="1" applyFill="1" applyBorder="1" applyAlignment="1" applyProtection="1">
      <alignment horizontal="left" vertical="center"/>
      <protection locked="0"/>
    </xf>
    <xf numFmtId="37" fontId="5" fillId="3" borderId="4" xfId="0" applyNumberFormat="1" applyFont="1" applyFill="1" applyBorder="1" applyAlignment="1" applyProtection="1">
      <alignment horizontal="left" vertical="center"/>
    </xf>
    <xf numFmtId="3" fontId="5" fillId="3" borderId="1" xfId="0" applyNumberFormat="1" applyFont="1" applyFill="1" applyBorder="1" applyAlignment="1" applyProtection="1">
      <alignment horizontal="right" vertical="center"/>
      <protection locked="0"/>
    </xf>
    <xf numFmtId="0" fontId="5" fillId="2" borderId="18" xfId="0" applyNumberFormat="1" applyFont="1" applyFill="1" applyBorder="1" applyAlignment="1" applyProtection="1">
      <alignment horizontal="left" vertical="center"/>
      <protection locked="0"/>
    </xf>
    <xf numFmtId="3" fontId="4" fillId="6" borderId="8" xfId="0" applyNumberFormat="1" applyFont="1" applyFill="1" applyBorder="1" applyAlignment="1" applyProtection="1">
      <alignment horizontal="right" vertical="center"/>
    </xf>
    <xf numFmtId="3" fontId="4" fillId="6" borderId="1" xfId="0" applyNumberFormat="1" applyFont="1" applyFill="1" applyBorder="1" applyAlignment="1" applyProtection="1">
      <alignment horizontal="right" vertical="center"/>
    </xf>
    <xf numFmtId="0" fontId="5" fillId="4" borderId="0" xfId="0" applyFont="1" applyFill="1" applyAlignment="1" applyProtection="1">
      <alignment horizontal="left" vertical="center"/>
      <protection locked="0"/>
    </xf>
    <xf numFmtId="1" fontId="5" fillId="4" borderId="0" xfId="0" applyNumberFormat="1" applyFont="1" applyFill="1" applyBorder="1" applyAlignment="1" applyProtection="1">
      <alignment horizontal="center" vertical="center"/>
    </xf>
    <xf numFmtId="0" fontId="16" fillId="4" borderId="0" xfId="0" applyFont="1" applyFill="1" applyAlignment="1" applyProtection="1">
      <alignment vertical="center"/>
    </xf>
    <xf numFmtId="3" fontId="5" fillId="6" borderId="1" xfId="0" applyNumberFormat="1" applyFont="1" applyFill="1" applyBorder="1" applyAlignment="1" applyProtection="1">
      <alignment vertical="center"/>
      <protection locked="0"/>
    </xf>
    <xf numFmtId="37" fontId="4" fillId="4" borderId="1" xfId="0" applyNumberFormat="1" applyFont="1" applyFill="1" applyBorder="1" applyAlignment="1" applyProtection="1">
      <alignment horizontal="left" vertical="center"/>
    </xf>
    <xf numFmtId="3" fontId="4" fillId="4" borderId="1" xfId="0" applyNumberFormat="1" applyFont="1" applyFill="1" applyBorder="1" applyAlignment="1" applyProtection="1">
      <alignment vertical="center"/>
    </xf>
    <xf numFmtId="3" fontId="4" fillId="4" borderId="0" xfId="0" applyNumberFormat="1" applyFont="1" applyFill="1" applyBorder="1" applyAlignment="1" applyProtection="1">
      <alignment vertical="center"/>
    </xf>
    <xf numFmtId="164" fontId="5" fillId="3" borderId="0" xfId="0" applyNumberFormat="1" applyFont="1" applyFill="1" applyAlignment="1" applyProtection="1">
      <alignment horizontal="left" vertical="center"/>
      <protection locked="0"/>
    </xf>
    <xf numFmtId="37" fontId="5" fillId="4" borderId="0" xfId="0" quotePrefix="1" applyNumberFormat="1" applyFont="1" applyFill="1" applyBorder="1" applyAlignment="1" applyProtection="1">
      <alignment horizontal="right" vertical="center"/>
    </xf>
    <xf numFmtId="1" fontId="5" fillId="4" borderId="0" xfId="0" applyNumberFormat="1" applyFont="1" applyFill="1" applyAlignment="1" applyProtection="1">
      <alignment horizontal="right" vertical="center"/>
    </xf>
    <xf numFmtId="0" fontId="5" fillId="4" borderId="10"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0" fontId="5" fillId="4" borderId="13"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5" fillId="2" borderId="10" xfId="0" applyFont="1" applyFill="1" applyBorder="1" applyAlignment="1" applyProtection="1">
      <alignment horizontal="left" vertical="center"/>
      <protection locked="0"/>
    </xf>
    <xf numFmtId="3" fontId="4" fillId="4" borderId="4" xfId="0" applyNumberFormat="1" applyFont="1" applyFill="1" applyBorder="1" applyAlignment="1" applyProtection="1">
      <alignment vertical="center"/>
    </xf>
    <xf numFmtId="3" fontId="5" fillId="4" borderId="1" xfId="0" applyNumberFormat="1" applyFont="1" applyFill="1" applyBorder="1" applyAlignment="1" applyProtection="1">
      <alignment horizontal="center" vertical="center"/>
    </xf>
    <xf numFmtId="0" fontId="5" fillId="4" borderId="7"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3" fontId="5" fillId="3" borderId="1" xfId="0" applyNumberFormat="1" applyFont="1" applyFill="1" applyBorder="1" applyAlignment="1" applyProtection="1">
      <alignment horizontal="center" vertical="center"/>
      <protection locked="0"/>
    </xf>
    <xf numFmtId="174" fontId="5" fillId="4" borderId="1" xfId="0" applyNumberFormat="1" applyFont="1" applyFill="1" applyBorder="1" applyAlignment="1" applyProtection="1">
      <alignment horizontal="center" vertical="center"/>
    </xf>
    <xf numFmtId="3" fontId="5" fillId="3" borderId="7" xfId="0" applyNumberFormat="1" applyFont="1" applyFill="1" applyBorder="1" applyAlignment="1" applyProtection="1">
      <alignment horizontal="center" vertical="center"/>
      <protection locked="0"/>
    </xf>
    <xf numFmtId="3" fontId="5" fillId="4" borderId="14" xfId="0" applyNumberFormat="1" applyFont="1" applyFill="1" applyBorder="1" applyAlignment="1" applyProtection="1">
      <alignment horizontal="center" vertical="center"/>
    </xf>
    <xf numFmtId="174" fontId="5" fillId="4" borderId="14" xfId="0" applyNumberFormat="1" applyFont="1" applyFill="1" applyBorder="1" applyAlignment="1" applyProtection="1">
      <alignment horizontal="center" vertical="center"/>
    </xf>
    <xf numFmtId="3" fontId="5" fillId="4" borderId="3" xfId="0" applyNumberFormat="1" applyFont="1" applyFill="1" applyBorder="1" applyAlignment="1" applyProtection="1">
      <alignment horizontal="center" vertical="center"/>
    </xf>
    <xf numFmtId="174" fontId="5" fillId="4" borderId="3" xfId="0" applyNumberFormat="1" applyFont="1" applyFill="1" applyBorder="1" applyAlignment="1" applyProtection="1">
      <alignment horizontal="center" vertical="center"/>
    </xf>
    <xf numFmtId="174" fontId="5" fillId="4" borderId="0" xfId="0" applyNumberFormat="1" applyFont="1" applyFill="1" applyBorder="1" applyAlignment="1" applyProtection="1">
      <alignment horizontal="center" vertical="center"/>
    </xf>
    <xf numFmtId="3" fontId="5" fillId="4" borderId="3" xfId="0" applyNumberFormat="1" applyFont="1" applyFill="1" applyBorder="1" applyAlignment="1">
      <alignment horizontal="center" vertical="center"/>
    </xf>
    <xf numFmtId="0" fontId="0" fillId="4" borderId="0" xfId="0" applyFill="1" applyAlignment="1">
      <alignment horizontal="center" vertical="center"/>
    </xf>
    <xf numFmtId="174" fontId="5" fillId="4" borderId="3" xfId="0" applyNumberFormat="1" applyFont="1" applyFill="1" applyBorder="1" applyAlignment="1">
      <alignment horizontal="center" vertical="center"/>
    </xf>
    <xf numFmtId="172" fontId="5" fillId="4" borderId="0" xfId="0" applyNumberFormat="1" applyFont="1" applyFill="1" applyBorder="1" applyAlignment="1" applyProtection="1">
      <alignment vertical="center"/>
    </xf>
    <xf numFmtId="37" fontId="5" fillId="4" borderId="0" xfId="0" applyNumberFormat="1" applyFont="1" applyFill="1" applyBorder="1" applyAlignment="1" applyProtection="1">
      <alignment horizontal="right" vertical="center"/>
    </xf>
    <xf numFmtId="0" fontId="35" fillId="4" borderId="0" xfId="0" applyFont="1" applyFill="1" applyAlignment="1" applyProtection="1">
      <alignment horizontal="center" vertical="center"/>
    </xf>
    <xf numFmtId="3" fontId="17" fillId="4" borderId="0" xfId="0" applyNumberFormat="1" applyFont="1" applyFill="1" applyAlignment="1" applyProtection="1">
      <alignment horizontal="center" vertical="center"/>
    </xf>
    <xf numFmtId="3" fontId="35" fillId="4" borderId="0" xfId="0" applyNumberFormat="1" applyFont="1" applyFill="1" applyAlignment="1" applyProtection="1">
      <alignment horizontal="center" vertical="center"/>
    </xf>
    <xf numFmtId="3" fontId="29" fillId="7" borderId="0" xfId="0" applyNumberFormat="1" applyFont="1" applyFill="1" applyAlignment="1">
      <alignment horizontal="center" vertical="center"/>
    </xf>
    <xf numFmtId="0" fontId="28" fillId="0" borderId="0" xfId="0" applyFont="1" applyAlignment="1">
      <alignment horizontal="center" vertical="center"/>
    </xf>
    <xf numFmtId="0" fontId="36" fillId="0" borderId="0" xfId="0" applyFont="1" applyAlignment="1">
      <alignment vertical="center"/>
    </xf>
    <xf numFmtId="0" fontId="5" fillId="0" borderId="0" xfId="17" applyFont="1" applyAlignment="1">
      <alignment vertical="center" wrapText="1"/>
    </xf>
    <xf numFmtId="0" fontId="8" fillId="0" borderId="0" xfId="0" applyFont="1" applyAlignment="1">
      <alignment vertical="center"/>
    </xf>
    <xf numFmtId="0" fontId="14" fillId="0" borderId="0" xfId="0" applyFont="1" applyAlignment="1">
      <alignment vertical="center" wrapText="1"/>
    </xf>
    <xf numFmtId="0" fontId="37" fillId="0" borderId="0" xfId="0" applyFont="1" applyAlignment="1">
      <alignment vertical="center"/>
    </xf>
    <xf numFmtId="0" fontId="30" fillId="0" borderId="0" xfId="0" applyFont="1" applyAlignment="1">
      <alignment horizontal="center" vertical="center"/>
    </xf>
    <xf numFmtId="0" fontId="5" fillId="0" borderId="0" xfId="3" applyFont="1" applyAlignment="1">
      <alignment vertical="center"/>
    </xf>
    <xf numFmtId="0" fontId="0" fillId="0" borderId="0" xfId="0" applyAlignment="1">
      <alignment horizontal="left" vertical="center"/>
    </xf>
    <xf numFmtId="0" fontId="2" fillId="0" borderId="0" xfId="0" applyNumberFormat="1" applyFont="1" applyAlignment="1">
      <alignment horizontal="left" vertical="center"/>
    </xf>
    <xf numFmtId="49" fontId="5" fillId="3" borderId="0" xfId="0" applyNumberFormat="1" applyFont="1" applyFill="1" applyAlignment="1" applyProtection="1">
      <alignment horizontal="left" vertical="center"/>
      <protection locked="0"/>
    </xf>
    <xf numFmtId="175" fontId="25" fillId="0" borderId="0" xfId="0" applyNumberFormat="1" applyFont="1" applyAlignment="1">
      <alignment horizontal="left" vertical="center"/>
    </xf>
    <xf numFmtId="49" fontId="5" fillId="0" borderId="0" xfId="0" applyNumberFormat="1" applyFont="1" applyAlignment="1">
      <alignment horizontal="left" vertical="center"/>
    </xf>
    <xf numFmtId="0" fontId="25" fillId="0" borderId="0" xfId="0" applyFont="1" applyAlignment="1">
      <alignment horizontal="left" vertical="center"/>
    </xf>
    <xf numFmtId="176" fontId="25" fillId="0" borderId="0" xfId="0" applyNumberFormat="1" applyFont="1" applyAlignment="1">
      <alignment horizontal="left" vertical="center"/>
    </xf>
    <xf numFmtId="0" fontId="0" fillId="3" borderId="0" xfId="0" applyFill="1" applyAlignment="1" applyProtection="1">
      <alignment horizontal="left" vertical="center"/>
      <protection locked="0"/>
    </xf>
    <xf numFmtId="0" fontId="17" fillId="4" borderId="0" xfId="4" applyFont="1" applyFill="1" applyAlignment="1" applyProtection="1">
      <alignment horizontal="center"/>
    </xf>
    <xf numFmtId="0" fontId="0" fillId="0" borderId="0" xfId="0" applyAlignment="1"/>
    <xf numFmtId="0" fontId="32" fillId="0" borderId="0" xfId="0" applyFont="1" applyAlignment="1">
      <alignment horizontal="center"/>
    </xf>
    <xf numFmtId="0" fontId="3" fillId="0" borderId="0" xfId="0" applyFont="1"/>
    <xf numFmtId="0" fontId="19" fillId="0" borderId="0" xfId="0" applyFont="1"/>
    <xf numFmtId="0" fontId="19" fillId="0" borderId="0" xfId="0" applyFont="1" applyAlignment="1"/>
    <xf numFmtId="0" fontId="3" fillId="0" borderId="0" xfId="0" quotePrefix="1" applyFont="1"/>
    <xf numFmtId="0" fontId="3" fillId="0" borderId="0" xfId="10" applyFont="1"/>
    <xf numFmtId="0" fontId="3" fillId="0" borderId="0" xfId="10" applyFont="1" applyFill="1"/>
    <xf numFmtId="0" fontId="3" fillId="0" borderId="0" xfId="0" applyFont="1" applyAlignment="1"/>
    <xf numFmtId="0" fontId="19" fillId="0" borderId="0" xfId="0" applyFont="1" applyAlignment="1">
      <alignment horizontal="center"/>
    </xf>
    <xf numFmtId="0" fontId="6" fillId="0" borderId="0" xfId="0" applyFont="1" applyAlignment="1">
      <alignment vertical="center"/>
    </xf>
    <xf numFmtId="0" fontId="6" fillId="0" borderId="0" xfId="5" applyFont="1" applyAlignment="1">
      <alignment vertical="center"/>
    </xf>
    <xf numFmtId="0" fontId="38" fillId="4" borderId="0" xfId="0" applyFont="1" applyFill="1" applyAlignment="1" applyProtection="1">
      <alignment horizontal="right" vertical="center"/>
      <protection locked="0"/>
    </xf>
    <xf numFmtId="0" fontId="8" fillId="4" borderId="0" xfId="0" applyFont="1" applyFill="1" applyAlignment="1" applyProtection="1">
      <alignment horizontal="left" vertical="center"/>
      <protection locked="0"/>
    </xf>
    <xf numFmtId="14" fontId="5" fillId="2" borderId="1" xfId="0" applyNumberFormat="1" applyFont="1" applyFill="1" applyBorder="1" applyAlignment="1" applyProtection="1">
      <alignment vertical="center"/>
      <protection locked="0"/>
    </xf>
    <xf numFmtId="0" fontId="5" fillId="2" borderId="1" xfId="0" applyNumberFormat="1" applyFont="1" applyFill="1" applyBorder="1" applyAlignment="1" applyProtection="1">
      <alignment horizontal="center" vertical="center"/>
      <protection locked="0"/>
    </xf>
    <xf numFmtId="16" fontId="5" fillId="2" borderId="1" xfId="0" applyNumberFormat="1" applyFont="1" applyFill="1" applyBorder="1" applyAlignment="1" applyProtection="1">
      <alignment horizontal="center" vertical="center"/>
      <protection locked="0"/>
    </xf>
    <xf numFmtId="37" fontId="5" fillId="5" borderId="0" xfId="0" applyNumberFormat="1" applyFont="1" applyFill="1" applyBorder="1" applyAlignment="1" applyProtection="1">
      <alignment horizontal="center" vertical="center" wrapText="1"/>
    </xf>
    <xf numFmtId="0" fontId="0" fillId="5" borderId="3" xfId="0" applyFill="1" applyBorder="1" applyAlignment="1">
      <alignment vertical="center" wrapText="1"/>
    </xf>
    <xf numFmtId="37" fontId="17" fillId="4" borderId="0" xfId="0" applyNumberFormat="1" applyFont="1" applyFill="1" applyAlignment="1" applyProtection="1">
      <alignment horizontal="center" vertical="center"/>
    </xf>
    <xf numFmtId="0" fontId="18" fillId="0" borderId="0" xfId="0" applyFont="1" applyAlignment="1">
      <alignment horizontal="center" vertical="center"/>
    </xf>
    <xf numFmtId="0" fontId="4" fillId="9" borderId="0" xfId="0" applyFont="1" applyFill="1" applyBorder="1" applyAlignment="1">
      <alignment horizontal="center"/>
    </xf>
    <xf numFmtId="0" fontId="19" fillId="9" borderId="0" xfId="0" applyFont="1" applyFill="1" applyBorder="1" applyAlignment="1">
      <alignment horizontal="center"/>
    </xf>
    <xf numFmtId="0" fontId="16" fillId="4" borderId="0" xfId="0" applyFont="1" applyFill="1" applyBorder="1" applyAlignment="1"/>
    <xf numFmtId="0" fontId="20" fillId="0" borderId="0" xfId="0" applyFont="1" applyAlignment="1"/>
    <xf numFmtId="37" fontId="5" fillId="10" borderId="0" xfId="0" applyNumberFormat="1" applyFont="1" applyFill="1" applyBorder="1" applyAlignment="1" applyProtection="1">
      <alignment horizontal="left" wrapText="1"/>
    </xf>
    <xf numFmtId="0" fontId="0" fillId="0" borderId="0" xfId="0" applyAlignment="1">
      <alignment wrapText="1"/>
    </xf>
    <xf numFmtId="37" fontId="17" fillId="4" borderId="0" xfId="0" applyNumberFormat="1" applyFont="1" applyFill="1" applyAlignment="1" applyProtection="1">
      <alignment horizontal="center" vertical="justify"/>
    </xf>
    <xf numFmtId="0" fontId="18" fillId="0" borderId="0" xfId="0" applyFont="1" applyAlignment="1">
      <alignment horizontal="center" vertical="justify"/>
    </xf>
    <xf numFmtId="37" fontId="18" fillId="4" borderId="0" xfId="0" applyNumberFormat="1" applyFont="1" applyFill="1" applyBorder="1" applyAlignment="1" applyProtection="1">
      <alignment horizontal="center"/>
    </xf>
    <xf numFmtId="0" fontId="5" fillId="0" borderId="0" xfId="0" applyFont="1" applyAlignment="1">
      <alignment horizontal="center"/>
    </xf>
    <xf numFmtId="0" fontId="4" fillId="9" borderId="0" xfId="0" applyFont="1" applyFill="1" applyAlignment="1" applyProtection="1">
      <alignment horizontal="center"/>
    </xf>
    <xf numFmtId="0" fontId="0" fillId="0" borderId="0" xfId="0" applyAlignment="1">
      <alignment horizontal="center"/>
    </xf>
    <xf numFmtId="0" fontId="5" fillId="7" borderId="6" xfId="0" applyFont="1" applyFill="1" applyBorder="1" applyAlignment="1" applyProtection="1">
      <alignment wrapText="1"/>
    </xf>
    <xf numFmtId="0" fontId="0" fillId="0" borderId="6" xfId="0" applyBorder="1" applyAlignment="1">
      <alignment wrapText="1"/>
    </xf>
    <xf numFmtId="0" fontId="5"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horizontal="left" vertical="center"/>
    </xf>
    <xf numFmtId="37" fontId="5" fillId="4" borderId="0" xfId="0" applyNumberFormat="1" applyFont="1" applyFill="1" applyAlignment="1" applyProtection="1">
      <alignment horizontal="center" vertical="center"/>
    </xf>
    <xf numFmtId="37" fontId="5" fillId="4" borderId="7" xfId="0" applyNumberFormat="1" applyFont="1" applyFill="1" applyBorder="1" applyAlignment="1" applyProtection="1">
      <alignment horizontal="center" vertical="center" wrapText="1"/>
    </xf>
    <xf numFmtId="0" fontId="0" fillId="0" borderId="9" xfId="0" applyBorder="1" applyAlignment="1" applyProtection="1">
      <alignment horizontal="center" vertical="center"/>
    </xf>
    <xf numFmtId="0" fontId="0" fillId="0" borderId="8" xfId="0" applyBorder="1" applyAlignment="1" applyProtection="1">
      <alignment horizontal="center" vertical="center"/>
    </xf>
    <xf numFmtId="0" fontId="5" fillId="4" borderId="0" xfId="0" applyNumberFormat="1" applyFont="1" applyFill="1" applyAlignment="1" applyProtection="1">
      <alignment horizontal="center" vertical="center"/>
    </xf>
    <xf numFmtId="37" fontId="6" fillId="4" borderId="0" xfId="0" applyNumberFormat="1" applyFont="1" applyFill="1" applyAlignment="1" applyProtection="1">
      <alignment horizontal="center" vertical="center"/>
    </xf>
    <xf numFmtId="0" fontId="5" fillId="4" borderId="0" xfId="0" applyFont="1" applyFill="1" applyAlignment="1" applyProtection="1">
      <alignment horizontal="center" vertical="center"/>
    </xf>
    <xf numFmtId="0" fontId="0" fillId="0" borderId="0" xfId="0" applyAlignment="1">
      <alignment vertical="center"/>
    </xf>
    <xf numFmtId="0" fontId="4" fillId="4" borderId="0" xfId="0" applyFont="1" applyFill="1" applyAlignment="1" applyProtection="1">
      <alignment horizontal="center" vertical="center"/>
    </xf>
    <xf numFmtId="0" fontId="0" fillId="0" borderId="9"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0" xfId="0" applyAlignment="1" applyProtection="1">
      <alignment vertical="center"/>
    </xf>
    <xf numFmtId="37" fontId="5" fillId="4" borderId="10" xfId="0" applyNumberFormat="1" applyFont="1" applyFill="1" applyBorder="1" applyAlignment="1" applyProtection="1">
      <alignment horizontal="center"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0" borderId="0" xfId="0" applyAlignment="1" applyProtection="1">
      <alignment horizontal="center" vertical="center"/>
    </xf>
    <xf numFmtId="0" fontId="9" fillId="9" borderId="19" xfId="0" applyFont="1" applyFill="1" applyBorder="1" applyAlignment="1" applyProtection="1">
      <alignment horizontal="center" vertical="center"/>
    </xf>
    <xf numFmtId="0" fontId="0" fillId="0" borderId="6" xfId="0" applyBorder="1" applyAlignment="1" applyProtection="1">
      <alignment vertical="center"/>
    </xf>
    <xf numFmtId="3" fontId="5" fillId="3" borderId="10" xfId="0" applyNumberFormat="1" applyFont="1" applyFill="1" applyBorder="1" applyAlignment="1" applyProtection="1">
      <alignment horizontal="right" vertical="center"/>
      <protection locked="0"/>
    </xf>
    <xf numFmtId="3" fontId="0" fillId="0" borderId="4" xfId="0" applyNumberFormat="1" applyBorder="1" applyAlignment="1" applyProtection="1">
      <alignment horizontal="right" vertical="center"/>
      <protection locked="0"/>
    </xf>
    <xf numFmtId="0" fontId="9" fillId="9" borderId="0" xfId="0" applyFont="1" applyFill="1" applyAlignment="1" applyProtection="1">
      <alignment horizontal="center" vertical="center"/>
    </xf>
    <xf numFmtId="37" fontId="5" fillId="4" borderId="0" xfId="0" applyNumberFormat="1" applyFont="1" applyFill="1" applyBorder="1" applyAlignment="1" applyProtection="1">
      <alignment horizontal="center" vertical="center"/>
    </xf>
    <xf numFmtId="3" fontId="5" fillId="6" borderId="10" xfId="0" applyNumberFormat="1" applyFont="1" applyFill="1" applyBorder="1" applyAlignment="1" applyProtection="1">
      <alignment horizontal="right" vertical="center"/>
      <protection locked="0"/>
    </xf>
    <xf numFmtId="0" fontId="0" fillId="6" borderId="4" xfId="0" applyFill="1" applyBorder="1" applyAlignment="1">
      <alignment horizontal="right" vertical="center"/>
    </xf>
    <xf numFmtId="0" fontId="0" fillId="0" borderId="4" xfId="0" applyBorder="1" applyAlignment="1" applyProtection="1">
      <alignment horizontal="right" vertical="center"/>
      <protection locked="0"/>
    </xf>
    <xf numFmtId="0" fontId="7" fillId="4" borderId="0" xfId="0" applyFont="1" applyFill="1" applyAlignment="1" applyProtection="1">
      <alignment horizontal="center" vertical="center"/>
    </xf>
    <xf numFmtId="37" fontId="4" fillId="4" borderId="0" xfId="0" applyNumberFormat="1" applyFont="1" applyFill="1" applyAlignment="1" applyProtection="1">
      <alignment horizontal="center" vertical="center"/>
    </xf>
    <xf numFmtId="1" fontId="5" fillId="4" borderId="18" xfId="0" applyNumberFormat="1" applyFont="1" applyFill="1" applyBorder="1" applyAlignment="1" applyProtection="1">
      <alignment horizontal="center" vertical="center"/>
    </xf>
    <xf numFmtId="1" fontId="5" fillId="4" borderId="11" xfId="0" applyNumberFormat="1" applyFont="1" applyFill="1" applyBorder="1" applyAlignment="1" applyProtection="1">
      <alignment horizontal="center" vertical="center"/>
    </xf>
    <xf numFmtId="37" fontId="5" fillId="4" borderId="13" xfId="0" applyNumberFormat="1" applyFont="1" applyFill="1" applyBorder="1" applyAlignment="1" applyProtection="1">
      <alignment horizontal="center" vertical="center"/>
    </xf>
    <xf numFmtId="37" fontId="5" fillId="4" borderId="5" xfId="0" applyNumberFormat="1" applyFont="1" applyFill="1" applyBorder="1" applyAlignment="1" applyProtection="1">
      <alignment horizontal="center" vertical="center"/>
    </xf>
    <xf numFmtId="3" fontId="5" fillId="2" borderId="10" xfId="0" applyNumberFormat="1" applyFont="1" applyFill="1" applyBorder="1" applyAlignment="1" applyProtection="1">
      <alignment vertical="center"/>
      <protection locked="0"/>
    </xf>
    <xf numFmtId="3" fontId="5" fillId="2" borderId="4" xfId="0" applyNumberFormat="1" applyFont="1" applyFill="1" applyBorder="1" applyAlignment="1" applyProtection="1">
      <alignment vertical="center"/>
      <protection locked="0"/>
    </xf>
    <xf numFmtId="3" fontId="5" fillId="4" borderId="10" xfId="0" applyNumberFormat="1" applyFont="1" applyFill="1" applyBorder="1" applyAlignment="1" applyProtection="1">
      <alignment vertical="center"/>
    </xf>
    <xf numFmtId="3" fontId="5" fillId="4" borderId="4" xfId="0" applyNumberFormat="1" applyFont="1" applyFill="1" applyBorder="1" applyAlignment="1" applyProtection="1">
      <alignment vertical="center"/>
    </xf>
    <xf numFmtId="37" fontId="5" fillId="4" borderId="18" xfId="0" applyNumberFormat="1" applyFont="1" applyFill="1" applyBorder="1" applyAlignment="1" applyProtection="1">
      <alignment horizontal="center" vertical="center"/>
    </xf>
    <xf numFmtId="37" fontId="5" fillId="4" borderId="11" xfId="0" applyNumberFormat="1" applyFont="1" applyFill="1" applyBorder="1" applyAlignment="1" applyProtection="1">
      <alignment horizontal="center" vertical="center"/>
    </xf>
    <xf numFmtId="37" fontId="5" fillId="4" borderId="6" xfId="0" applyNumberFormat="1" applyFont="1" applyFill="1" applyBorder="1" applyAlignment="1" applyProtection="1">
      <alignment horizontal="right" vertical="center"/>
    </xf>
    <xf numFmtId="0" fontId="3" fillId="0" borderId="6" xfId="0" applyFont="1" applyBorder="1" applyAlignment="1">
      <alignment vertical="center"/>
    </xf>
    <xf numFmtId="0" fontId="3" fillId="0" borderId="11" xfId="0" applyFont="1" applyBorder="1" applyAlignment="1">
      <alignment vertical="center"/>
    </xf>
    <xf numFmtId="3" fontId="16" fillId="7" borderId="10" xfId="0" applyNumberFormat="1" applyFont="1" applyFill="1" applyBorder="1" applyAlignment="1" applyProtection="1">
      <alignment horizontal="center" vertical="center"/>
    </xf>
    <xf numFmtId="3" fontId="16" fillId="7" borderId="4" xfId="0" applyNumberFormat="1" applyFont="1" applyFill="1" applyBorder="1" applyAlignment="1" applyProtection="1">
      <alignment horizontal="center" vertical="center"/>
    </xf>
    <xf numFmtId="37" fontId="5" fillId="4" borderId="0" xfId="0" applyNumberFormat="1" applyFont="1" applyFill="1" applyAlignment="1" applyProtection="1">
      <alignment horizontal="right" vertical="center"/>
    </xf>
    <xf numFmtId="37" fontId="5" fillId="4" borderId="12" xfId="0" applyNumberFormat="1" applyFont="1" applyFill="1" applyBorder="1" applyAlignment="1" applyProtection="1">
      <alignment horizontal="right" vertical="center"/>
    </xf>
    <xf numFmtId="171" fontId="5" fillId="4" borderId="0" xfId="0" applyNumberFormat="1" applyFont="1" applyFill="1" applyBorder="1" applyAlignment="1">
      <alignment horizontal="right" vertical="center"/>
    </xf>
    <xf numFmtId="0" fontId="3" fillId="0" borderId="0" xfId="0" applyFont="1" applyAlignment="1">
      <alignment horizontal="right" vertical="center"/>
    </xf>
    <xf numFmtId="0" fontId="5" fillId="4" borderId="0" xfId="2" applyNumberFormat="1" applyFont="1" applyFill="1" applyBorder="1" applyAlignment="1" applyProtection="1">
      <alignment horizontal="right" vertical="center"/>
    </xf>
    <xf numFmtId="0" fontId="5" fillId="0" borderId="0" xfId="2" applyFont="1" applyAlignment="1" applyProtection="1">
      <alignment horizontal="right" vertical="center"/>
    </xf>
    <xf numFmtId="0" fontId="5" fillId="0" borderId="12" xfId="2" applyFont="1" applyBorder="1" applyAlignment="1" applyProtection="1">
      <alignment horizontal="right" vertical="center"/>
    </xf>
    <xf numFmtId="3" fontId="4" fillId="6" borderId="10"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5" fillId="6" borderId="10" xfId="0" applyNumberFormat="1" applyFont="1" applyFill="1" applyBorder="1" applyAlignment="1" applyProtection="1">
      <alignment vertical="center"/>
    </xf>
    <xf numFmtId="3" fontId="5" fillId="6" borderId="4" xfId="0" applyNumberFormat="1" applyFont="1" applyFill="1" applyBorder="1" applyAlignment="1" applyProtection="1">
      <alignment vertical="center"/>
    </xf>
    <xf numFmtId="0" fontId="16" fillId="4" borderId="19" xfId="0" applyFont="1" applyFill="1" applyBorder="1" applyAlignment="1" applyProtection="1">
      <alignment vertical="center" wrapText="1"/>
    </xf>
    <xf numFmtId="0" fontId="0" fillId="0" borderId="0" xfId="0" applyAlignment="1">
      <alignment vertical="center" wrapText="1"/>
    </xf>
    <xf numFmtId="0" fontId="0" fillId="0" borderId="19" xfId="0" applyBorder="1" applyAlignment="1">
      <alignment vertical="center" wrapText="1"/>
    </xf>
    <xf numFmtId="37" fontId="4" fillId="4" borderId="0" xfId="0" applyNumberFormat="1" applyFont="1" applyFill="1" applyBorder="1" applyAlignment="1" applyProtection="1">
      <alignment horizontal="center" vertical="center"/>
    </xf>
    <xf numFmtId="0" fontId="1" fillId="0" borderId="0" xfId="0" applyFont="1" applyAlignment="1">
      <alignment horizontal="center" vertical="center"/>
    </xf>
    <xf numFmtId="37" fontId="9" fillId="4" borderId="7" xfId="0" applyNumberFormat="1" applyFont="1" applyFill="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0" fillId="0" borderId="2" xfId="0" applyBorder="1" applyAlignment="1">
      <alignment vertical="center"/>
    </xf>
    <xf numFmtId="0" fontId="0" fillId="0" borderId="4" xfId="0" applyBorder="1" applyAlignment="1">
      <alignment vertical="center"/>
    </xf>
    <xf numFmtId="3" fontId="5" fillId="4" borderId="10" xfId="0" applyNumberFormat="1" applyFont="1" applyFill="1" applyBorder="1" applyAlignment="1" applyProtection="1">
      <alignment horizontal="right" vertical="center"/>
    </xf>
    <xf numFmtId="3" fontId="5" fillId="4" borderId="4" xfId="0" applyNumberFormat="1" applyFont="1" applyFill="1" applyBorder="1" applyAlignment="1" applyProtection="1">
      <alignment horizontal="right" vertical="center"/>
    </xf>
    <xf numFmtId="3" fontId="5" fillId="2" borderId="10" xfId="0" applyNumberFormat="1" applyFont="1" applyFill="1" applyBorder="1" applyAlignment="1" applyProtection="1">
      <alignment horizontal="right" vertical="center"/>
      <protection locked="0"/>
    </xf>
    <xf numFmtId="3" fontId="5" fillId="2" borderId="4" xfId="0" applyNumberFormat="1" applyFont="1" applyFill="1" applyBorder="1" applyAlignment="1" applyProtection="1">
      <alignment horizontal="right" vertical="center"/>
      <protection locked="0"/>
    </xf>
    <xf numFmtId="3" fontId="5" fillId="4" borderId="10" xfId="1" applyNumberFormat="1" applyFont="1" applyFill="1" applyBorder="1" applyAlignment="1" applyProtection="1">
      <alignment horizontal="right" vertical="center"/>
    </xf>
    <xf numFmtId="3" fontId="5" fillId="4" borderId="4" xfId="1" applyNumberFormat="1" applyFont="1" applyFill="1" applyBorder="1" applyAlignment="1" applyProtection="1">
      <alignment horizontal="right" vertical="center"/>
    </xf>
    <xf numFmtId="3" fontId="4" fillId="6" borderId="10" xfId="0" applyNumberFormat="1" applyFont="1" applyFill="1" applyBorder="1" applyAlignment="1" applyProtection="1">
      <alignment horizontal="right" vertical="center"/>
    </xf>
    <xf numFmtId="3" fontId="4" fillId="6" borderId="4" xfId="0" applyNumberFormat="1" applyFont="1" applyFill="1" applyBorder="1" applyAlignment="1" applyProtection="1">
      <alignment horizontal="right" vertical="center"/>
    </xf>
    <xf numFmtId="3" fontId="5" fillId="6" borderId="10" xfId="0" applyNumberFormat="1" applyFont="1" applyFill="1" applyBorder="1" applyAlignment="1" applyProtection="1">
      <alignment horizontal="right" vertical="center"/>
    </xf>
    <xf numFmtId="3" fontId="5" fillId="6" borderId="4" xfId="0" applyNumberFormat="1" applyFont="1" applyFill="1" applyBorder="1" applyAlignment="1" applyProtection="1">
      <alignment horizontal="right" vertical="center"/>
    </xf>
    <xf numFmtId="0" fontId="0" fillId="0" borderId="4" xfId="0" applyBorder="1" applyAlignment="1">
      <alignment horizontal="right" vertical="center"/>
    </xf>
    <xf numFmtId="37" fontId="5" fillId="4" borderId="10" xfId="0" applyNumberFormat="1" applyFont="1" applyFill="1" applyBorder="1" applyAlignment="1">
      <alignment vertical="center"/>
    </xf>
    <xf numFmtId="0" fontId="5" fillId="4" borderId="4" xfId="0" applyFont="1" applyFill="1" applyBorder="1" applyAlignment="1">
      <alignment vertical="center"/>
    </xf>
    <xf numFmtId="0" fontId="5" fillId="4" borderId="10" xfId="0" applyFont="1" applyFill="1" applyBorder="1" applyAlignment="1">
      <alignment vertical="center"/>
    </xf>
    <xf numFmtId="0" fontId="5" fillId="4" borderId="0" xfId="0" applyFont="1" applyFill="1" applyAlignment="1">
      <alignment horizontal="right" vertical="center"/>
    </xf>
    <xf numFmtId="0" fontId="0" fillId="0" borderId="0" xfId="0" applyAlignment="1">
      <alignment horizontal="right" vertical="center"/>
    </xf>
    <xf numFmtId="0" fontId="5" fillId="4" borderId="0" xfId="0" applyFont="1" applyFill="1" applyAlignment="1" applyProtection="1">
      <alignment horizontal="right" vertical="center"/>
    </xf>
    <xf numFmtId="0" fontId="8" fillId="0" borderId="0" xfId="0" applyFont="1" applyAlignment="1">
      <alignment horizontal="center"/>
    </xf>
    <xf numFmtId="0" fontId="8" fillId="0" borderId="0" xfId="0" applyFont="1" applyAlignment="1">
      <alignment wrapText="1"/>
    </xf>
    <xf numFmtId="0" fontId="8" fillId="0" borderId="0" xfId="0" applyFont="1" applyAlignment="1">
      <alignment horizontal="left"/>
    </xf>
    <xf numFmtId="0" fontId="14" fillId="0" borderId="0" xfId="0" applyFont="1" applyAlignment="1">
      <alignment wrapText="1"/>
    </xf>
    <xf numFmtId="0" fontId="8" fillId="0" borderId="0" xfId="0" applyFont="1" applyAlignment="1">
      <alignment horizontal="left" wrapText="1"/>
    </xf>
    <xf numFmtId="0" fontId="0" fillId="0" borderId="0" xfId="0" applyAlignment="1"/>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left" wrapText="1"/>
    </xf>
  </cellXfs>
  <cellStyles count="23">
    <cellStyle name="Comma" xfId="1" builtinId="3"/>
    <cellStyle name="Hyperlink" xfId="2" builtinId="8"/>
    <cellStyle name="Normal" xfId="0" builtinId="0"/>
    <cellStyle name="Normal 12" xfId="3"/>
    <cellStyle name="Normal 13" xfId="4"/>
    <cellStyle name="Normal 16" xfId="5"/>
    <cellStyle name="Normal 2 10" xfId="6"/>
    <cellStyle name="Normal 2 11" xfId="7"/>
    <cellStyle name="Normal 2 12" xfId="8"/>
    <cellStyle name="Normal 2 2" xfId="9"/>
    <cellStyle name="Normal 2 2 10" xfId="10"/>
    <cellStyle name="Normal 2 3" xfId="11"/>
    <cellStyle name="Normal 2 4" xfId="12"/>
    <cellStyle name="Normal 2 5" xfId="13"/>
    <cellStyle name="Normal 2 6" xfId="14"/>
    <cellStyle name="Normal 2 7" xfId="15"/>
    <cellStyle name="Normal 2 8" xfId="16"/>
    <cellStyle name="Normal 2 9" xfId="17"/>
    <cellStyle name="Normal 3 2" xfId="18"/>
    <cellStyle name="Normal 4 2" xfId="19"/>
    <cellStyle name="Normal 6 2" xfId="20"/>
    <cellStyle name="Normal_debt" xfId="21"/>
    <cellStyle name="Normal_lpform" xfId="22"/>
  </cellStyles>
  <dxfs count="171">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2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bud"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onbud"/>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98"/>
  <sheetViews>
    <sheetView workbookViewId="0">
      <selection activeCell="A64" sqref="A64"/>
    </sheetView>
  </sheetViews>
  <sheetFormatPr defaultRowHeight="15.75"/>
  <cols>
    <col min="1" max="1" width="68.19921875" style="119" customWidth="1"/>
    <col min="2" max="16384" width="8.796875" style="119"/>
  </cols>
  <sheetData>
    <row r="1" spans="1:1">
      <c r="A1" s="223" t="s">
        <v>192</v>
      </c>
    </row>
    <row r="3" spans="1:1" ht="34.5" customHeight="1">
      <c r="A3" s="224" t="s">
        <v>674</v>
      </c>
    </row>
    <row r="4" spans="1:1">
      <c r="A4" s="225"/>
    </row>
    <row r="5" spans="1:1" ht="52.5" customHeight="1">
      <c r="A5" s="226" t="s">
        <v>193</v>
      </c>
    </row>
    <row r="6" spans="1:1">
      <c r="A6" s="226"/>
    </row>
    <row r="7" spans="1:1" ht="51" customHeight="1">
      <c r="A7" s="226" t="s">
        <v>212</v>
      </c>
    </row>
    <row r="8" spans="1:1">
      <c r="A8" s="226"/>
    </row>
    <row r="9" spans="1:1">
      <c r="A9" s="226" t="s">
        <v>675</v>
      </c>
    </row>
    <row r="12" spans="1:1">
      <c r="A12" s="223" t="s">
        <v>29</v>
      </c>
    </row>
    <row r="14" spans="1:1">
      <c r="A14" s="225" t="s">
        <v>30</v>
      </c>
    </row>
    <row r="17" spans="1:1" ht="38.25" customHeight="1">
      <c r="A17" s="227" t="s">
        <v>165</v>
      </c>
    </row>
    <row r="18" spans="1:1" ht="9.75" customHeight="1">
      <c r="A18" s="227"/>
    </row>
    <row r="21" spans="1:1">
      <c r="A21" s="223" t="s">
        <v>676</v>
      </c>
    </row>
    <row r="23" spans="1:1" ht="34.5" customHeight="1">
      <c r="A23" s="226" t="s">
        <v>31</v>
      </c>
    </row>
    <row r="24" spans="1:1" ht="9.75" customHeight="1">
      <c r="A24" s="226"/>
    </row>
    <row r="25" spans="1:1">
      <c r="A25" s="228" t="s">
        <v>677</v>
      </c>
    </row>
    <row r="26" spans="1:1">
      <c r="A26" s="226"/>
    </row>
    <row r="27" spans="1:1" ht="17.25" customHeight="1">
      <c r="A27" s="229" t="s">
        <v>678</v>
      </c>
    </row>
    <row r="28" spans="1:1" ht="17.25" customHeight="1">
      <c r="A28" s="230"/>
    </row>
    <row r="29" spans="1:1" ht="87.75" customHeight="1">
      <c r="A29" s="231" t="s">
        <v>6</v>
      </c>
    </row>
    <row r="31" spans="1:1">
      <c r="A31" s="232" t="s">
        <v>679</v>
      </c>
    </row>
    <row r="33" spans="1:1">
      <c r="A33" s="157" t="s">
        <v>32</v>
      </c>
    </row>
    <row r="35" spans="1:1">
      <c r="A35" s="226" t="s">
        <v>680</v>
      </c>
    </row>
    <row r="36" spans="1:1">
      <c r="A36" s="226"/>
    </row>
    <row r="37" spans="1:1" ht="72" customHeight="1">
      <c r="A37" s="226" t="s">
        <v>255</v>
      </c>
    </row>
    <row r="39" spans="1:1">
      <c r="A39" s="223" t="s">
        <v>681</v>
      </c>
    </row>
    <row r="41" spans="1:1" ht="70.5" customHeight="1">
      <c r="A41" s="226" t="s">
        <v>33</v>
      </c>
    </row>
    <row r="42" spans="1:1" ht="52.5" customHeight="1">
      <c r="A42" s="233" t="s">
        <v>682</v>
      </c>
    </row>
    <row r="43" spans="1:1" ht="33" customHeight="1">
      <c r="A43" s="226" t="s">
        <v>5</v>
      </c>
    </row>
    <row r="44" spans="1:1" ht="10.5" customHeight="1">
      <c r="A44" s="226"/>
    </row>
    <row r="45" spans="1:1" ht="108" customHeight="1">
      <c r="A45" s="226" t="s">
        <v>34</v>
      </c>
    </row>
    <row r="46" spans="1:1" ht="59.25" customHeight="1">
      <c r="A46" s="226" t="s">
        <v>683</v>
      </c>
    </row>
    <row r="47" spans="1:1" ht="101.25" customHeight="1">
      <c r="A47" s="226" t="s">
        <v>76</v>
      </c>
    </row>
    <row r="48" spans="1:1" ht="74.25" customHeight="1">
      <c r="A48" s="226" t="s">
        <v>256</v>
      </c>
    </row>
    <row r="49" spans="1:1" ht="69.75" customHeight="1">
      <c r="A49" s="226" t="s">
        <v>288</v>
      </c>
    </row>
    <row r="50" spans="1:1" ht="12" customHeight="1">
      <c r="A50" s="226"/>
    </row>
    <row r="51" spans="1:1" ht="81" customHeight="1">
      <c r="A51" s="226" t="s">
        <v>257</v>
      </c>
    </row>
    <row r="52" spans="1:1" ht="81" customHeight="1">
      <c r="A52" s="226" t="s">
        <v>506</v>
      </c>
    </row>
    <row r="53" spans="1:1" ht="81" customHeight="1">
      <c r="A53" s="226" t="s">
        <v>504</v>
      </c>
    </row>
    <row r="54" spans="1:1" ht="48" customHeight="1">
      <c r="A54" s="226" t="s">
        <v>505</v>
      </c>
    </row>
    <row r="55" spans="1:1" ht="11.25" customHeight="1"/>
    <row r="56" spans="1:1" ht="72" customHeight="1">
      <c r="A56" s="226" t="s">
        <v>258</v>
      </c>
    </row>
    <row r="57" spans="1:1" ht="54" customHeight="1">
      <c r="A57" s="226" t="s">
        <v>259</v>
      </c>
    </row>
    <row r="58" spans="1:1" ht="54.75" customHeight="1">
      <c r="A58" s="226" t="s">
        <v>260</v>
      </c>
    </row>
    <row r="59" spans="1:1" ht="14.25" customHeight="1">
      <c r="A59" s="226"/>
    </row>
    <row r="60" spans="1:1" ht="68.25" customHeight="1">
      <c r="A60" s="226" t="s">
        <v>261</v>
      </c>
    </row>
    <row r="61" spans="1:1" ht="12.75" customHeight="1">
      <c r="A61" s="226"/>
    </row>
    <row r="62" spans="1:1" ht="41.25" customHeight="1">
      <c r="A62" s="226" t="s">
        <v>262</v>
      </c>
    </row>
    <row r="63" spans="1:1" ht="24" customHeight="1">
      <c r="A63" s="226" t="s">
        <v>515</v>
      </c>
    </row>
    <row r="64" spans="1:1" ht="72" customHeight="1">
      <c r="A64" s="226" t="s">
        <v>516</v>
      </c>
    </row>
    <row r="65" spans="1:1" ht="56.25" customHeight="1">
      <c r="A65" s="226" t="s">
        <v>513</v>
      </c>
    </row>
    <row r="66" spans="1:1">
      <c r="A66" s="226" t="s">
        <v>514</v>
      </c>
    </row>
    <row r="67" spans="1:1" ht="15.75" customHeight="1">
      <c r="A67" s="226"/>
    </row>
    <row r="68" spans="1:1" ht="68.25" customHeight="1">
      <c r="A68" s="226" t="s">
        <v>263</v>
      </c>
    </row>
    <row r="69" spans="1:1" s="226" customFormat="1" ht="14.25" customHeight="1">
      <c r="A69" s="119"/>
    </row>
    <row r="70" spans="1:1" ht="87.75" customHeight="1">
      <c r="A70" s="226" t="s">
        <v>289</v>
      </c>
    </row>
    <row r="71" spans="1:1" ht="12" customHeight="1"/>
    <row r="72" spans="1:1" ht="78.75" customHeight="1">
      <c r="A72" s="226" t="s">
        <v>264</v>
      </c>
    </row>
    <row r="73" spans="1:1" ht="73.5" customHeight="1">
      <c r="A73" s="226" t="s">
        <v>265</v>
      </c>
    </row>
    <row r="74" spans="1:1" ht="120.75" customHeight="1">
      <c r="A74" s="226" t="s">
        <v>266</v>
      </c>
    </row>
    <row r="75" spans="1:1" ht="72.75" customHeight="1">
      <c r="A75" s="226" t="s">
        <v>267</v>
      </c>
    </row>
    <row r="76" spans="1:1" ht="100.5" customHeight="1">
      <c r="A76" s="226" t="s">
        <v>268</v>
      </c>
    </row>
    <row r="77" spans="1:1" ht="110.25" customHeight="1">
      <c r="A77" s="226" t="s">
        <v>274</v>
      </c>
    </row>
    <row r="78" spans="1:1" ht="100.5" customHeight="1">
      <c r="A78" s="234" t="s">
        <v>275</v>
      </c>
    </row>
    <row r="79" spans="1:1" ht="61.5" customHeight="1">
      <c r="A79" s="407" t="s">
        <v>276</v>
      </c>
    </row>
    <row r="80" spans="1:1" ht="118.5" customHeight="1">
      <c r="A80" s="226" t="s">
        <v>277</v>
      </c>
    </row>
    <row r="81" spans="1:1" ht="86.25" customHeight="1">
      <c r="A81" s="234" t="s">
        <v>278</v>
      </c>
    </row>
    <row r="82" spans="1:1" ht="101.25" customHeight="1">
      <c r="A82" s="234" t="s">
        <v>279</v>
      </c>
    </row>
    <row r="83" spans="1:1" ht="133.5" customHeight="1">
      <c r="A83" s="226" t="s">
        <v>280</v>
      </c>
    </row>
    <row r="84" spans="1:1" ht="137.25" customHeight="1">
      <c r="A84" s="226" t="s">
        <v>281</v>
      </c>
    </row>
    <row r="85" spans="1:1" ht="101.25" customHeight="1">
      <c r="A85" s="226" t="s">
        <v>282</v>
      </c>
    </row>
    <row r="86" spans="1:1" ht="9.75" customHeight="1">
      <c r="A86" s="234"/>
    </row>
    <row r="87" spans="1:1" ht="119.25" customHeight="1">
      <c r="A87" s="226" t="s">
        <v>283</v>
      </c>
    </row>
    <row r="88" spans="1:1" ht="117" customHeight="1">
      <c r="A88" s="234" t="s">
        <v>284</v>
      </c>
    </row>
    <row r="89" spans="1:1" ht="58.5" customHeight="1">
      <c r="A89" s="234" t="s">
        <v>285</v>
      </c>
    </row>
    <row r="90" spans="1:1" ht="21" customHeight="1">
      <c r="A90" s="226" t="s">
        <v>286</v>
      </c>
    </row>
    <row r="91" spans="1:1" ht="3.75" customHeight="1"/>
    <row r="92" spans="1:1" ht="64.5" customHeight="1">
      <c r="A92" s="226" t="s">
        <v>287</v>
      </c>
    </row>
    <row r="93" spans="1:1" ht="22.5" customHeight="1">
      <c r="A93" s="226" t="s">
        <v>290</v>
      </c>
    </row>
    <row r="94" spans="1:1" ht="90" customHeight="1">
      <c r="A94" s="226" t="s">
        <v>509</v>
      </c>
    </row>
    <row r="95" spans="1:1" ht="48.75" customHeight="1">
      <c r="A95" s="226" t="s">
        <v>507</v>
      </c>
    </row>
    <row r="96" spans="1:1" ht="61.5" customHeight="1">
      <c r="A96" s="226" t="s">
        <v>508</v>
      </c>
    </row>
    <row r="97" spans="1:1" ht="9" customHeight="1"/>
    <row r="98" spans="1:1" ht="78.75" customHeight="1">
      <c r="A98" s="226" t="s">
        <v>291</v>
      </c>
    </row>
  </sheetData>
  <sheetProtection sheet="1"/>
  <phoneticPr fontId="0" type="noConversion"/>
  <pageMargins left="0.5" right="0.5" top="0.5" bottom="0.5" header="0.5" footer="0.25"/>
  <pageSetup fitToHeight="4" orientation="portrait" blackAndWhite="1" horizontalDpi="300" verticalDpi="300" r:id="rId1"/>
  <headerFooter alignWithMargins="0">
    <oddFooter>&amp;Lrevised 1/05/10</oddFooter>
  </headerFooter>
</worksheet>
</file>

<file path=xl/worksheets/sheet10.xml><?xml version="1.0" encoding="utf-8"?>
<worksheet xmlns="http://schemas.openxmlformats.org/spreadsheetml/2006/main" xmlns:r="http://schemas.openxmlformats.org/officeDocument/2006/relationships">
  <sheetPr codeName="Sheet12">
    <pageSetUpPr fitToPage="1"/>
  </sheetPr>
  <dimension ref="A1:H74"/>
  <sheetViews>
    <sheetView topLeftCell="A19" workbookViewId="0"/>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Paradise Township</v>
      </c>
      <c r="B1" s="67"/>
      <c r="C1" s="76" t="s">
        <v>153</v>
      </c>
      <c r="D1" s="76"/>
      <c r="E1" s="67"/>
      <c r="F1" s="67"/>
      <c r="G1" s="236">
        <f ca="1">inputPrYr!D9</f>
        <v>2013</v>
      </c>
    </row>
    <row r="2" spans="1:7">
      <c r="A2" s="165" t="s">
        <v>565</v>
      </c>
      <c r="B2" s="67"/>
      <c r="C2" s="67"/>
      <c r="D2" s="67"/>
      <c r="E2" s="67"/>
      <c r="F2" s="67"/>
      <c r="G2" s="376"/>
    </row>
    <row r="3" spans="1:7">
      <c r="A3" s="67"/>
      <c r="B3" s="357"/>
      <c r="C3" s="74"/>
      <c r="D3" s="74"/>
      <c r="E3" s="74"/>
      <c r="F3" s="74"/>
      <c r="G3" s="67"/>
    </row>
    <row r="4" spans="1:7">
      <c r="A4" s="76" t="s">
        <v>128</v>
      </c>
      <c r="B4" s="75"/>
      <c r="C4" s="487" t="s">
        <v>129</v>
      </c>
      <c r="D4" s="488"/>
      <c r="E4" s="495" t="s">
        <v>130</v>
      </c>
      <c r="F4" s="496"/>
      <c r="G4" s="78" t="s">
        <v>131</v>
      </c>
    </row>
    <row r="5" spans="1:7">
      <c r="A5" s="185" t="str">
        <f ca="1">inputPrYr!B23</f>
        <v>Special Road</v>
      </c>
      <c r="B5" s="331"/>
      <c r="C5" s="489" t="str">
        <f ca="1">gen!C5</f>
        <v>Actual 2011</v>
      </c>
      <c r="D5" s="490"/>
      <c r="E5" s="489" t="str">
        <f ca="1">gen!E5</f>
        <v>Estimate 2012</v>
      </c>
      <c r="F5" s="490"/>
      <c r="G5" s="83" t="str">
        <f ca="1">gen!G5</f>
        <v>Year 2013</v>
      </c>
    </row>
    <row r="6" spans="1:7">
      <c r="A6" s="84" t="s">
        <v>613</v>
      </c>
      <c r="B6" s="85"/>
      <c r="C6" s="491"/>
      <c r="D6" s="492"/>
      <c r="E6" s="493">
        <f>C32</f>
        <v>0</v>
      </c>
      <c r="F6" s="494"/>
      <c r="G6" s="272">
        <f>E32</f>
        <v>0</v>
      </c>
    </row>
    <row r="7" spans="1:7">
      <c r="A7" s="84" t="s">
        <v>615</v>
      </c>
      <c r="B7" s="85"/>
      <c r="C7" s="493"/>
      <c r="D7" s="494"/>
      <c r="E7" s="493"/>
      <c r="F7" s="494"/>
      <c r="G7" s="335"/>
    </row>
    <row r="8" spans="1:7">
      <c r="A8" s="84" t="s">
        <v>134</v>
      </c>
      <c r="B8" s="85"/>
      <c r="C8" s="491"/>
      <c r="D8" s="492"/>
      <c r="E8" s="493">
        <f ca="1">inputPrYr!E23</f>
        <v>0</v>
      </c>
      <c r="F8" s="494"/>
      <c r="G8" s="335" t="s">
        <v>112</v>
      </c>
    </row>
    <row r="9" spans="1:7">
      <c r="A9" s="84" t="s">
        <v>135</v>
      </c>
      <c r="B9" s="85"/>
      <c r="C9" s="491"/>
      <c r="D9" s="492"/>
      <c r="E9" s="491"/>
      <c r="F9" s="492"/>
      <c r="G9" s="177"/>
    </row>
    <row r="10" spans="1:7">
      <c r="A10" s="84" t="s">
        <v>136</v>
      </c>
      <c r="B10" s="85"/>
      <c r="C10" s="491"/>
      <c r="D10" s="492"/>
      <c r="E10" s="491"/>
      <c r="F10" s="492"/>
      <c r="G10" s="272">
        <f ca="1">mvalloc!G15</f>
        <v>0</v>
      </c>
    </row>
    <row r="11" spans="1:7">
      <c r="A11" s="84" t="s">
        <v>137</v>
      </c>
      <c r="B11" s="85"/>
      <c r="C11" s="491"/>
      <c r="D11" s="492"/>
      <c r="E11" s="491"/>
      <c r="F11" s="492"/>
      <c r="G11" s="272">
        <f ca="1">mvalloc!I15</f>
        <v>0</v>
      </c>
    </row>
    <row r="12" spans="1:7">
      <c r="A12" s="336" t="s">
        <v>561</v>
      </c>
      <c r="B12" s="85"/>
      <c r="C12" s="491"/>
      <c r="D12" s="492"/>
      <c r="E12" s="491"/>
      <c r="F12" s="492"/>
      <c r="G12" s="272">
        <f ca="1">mvalloc!J15</f>
        <v>0</v>
      </c>
    </row>
    <row r="13" spans="1:7">
      <c r="A13" s="336" t="s">
        <v>659</v>
      </c>
      <c r="B13" s="85"/>
      <c r="C13" s="491"/>
      <c r="D13" s="492"/>
      <c r="E13" s="491"/>
      <c r="F13" s="492"/>
      <c r="G13" s="272">
        <f ca="1">mvalloc!K15</f>
        <v>0</v>
      </c>
    </row>
    <row r="14" spans="1:7">
      <c r="A14" s="339"/>
      <c r="B14" s="338"/>
      <c r="C14" s="491"/>
      <c r="D14" s="492"/>
      <c r="E14" s="491"/>
      <c r="F14" s="492"/>
      <c r="G14" s="177"/>
    </row>
    <row r="15" spans="1:7">
      <c r="A15" s="339"/>
      <c r="B15" s="338"/>
      <c r="C15" s="491"/>
      <c r="D15" s="492"/>
      <c r="E15" s="491"/>
      <c r="F15" s="492"/>
      <c r="G15" s="177"/>
    </row>
    <row r="16" spans="1:7">
      <c r="A16" s="339"/>
      <c r="B16" s="338"/>
      <c r="C16" s="491"/>
      <c r="D16" s="492"/>
      <c r="E16" s="491"/>
      <c r="F16" s="492"/>
      <c r="G16" s="177"/>
    </row>
    <row r="17" spans="1:7">
      <c r="A17" s="339" t="s">
        <v>140</v>
      </c>
      <c r="B17" s="338"/>
      <c r="C17" s="491"/>
      <c r="D17" s="492"/>
      <c r="E17" s="491"/>
      <c r="F17" s="492"/>
      <c r="G17" s="177"/>
    </row>
    <row r="18" spans="1:7">
      <c r="A18" s="340" t="s">
        <v>84</v>
      </c>
      <c r="B18" s="341"/>
      <c r="C18" s="491"/>
      <c r="D18" s="492"/>
      <c r="E18" s="491"/>
      <c r="F18" s="492"/>
      <c r="G18" s="333"/>
    </row>
    <row r="19" spans="1:7">
      <c r="A19" s="340" t="s">
        <v>85</v>
      </c>
      <c r="B19" s="341"/>
      <c r="C19" s="500" t="str">
        <f>IF(C20*0.1&lt;C18,"Exceed 10% Rule","")</f>
        <v/>
      </c>
      <c r="D19" s="501"/>
      <c r="E19" s="500" t="str">
        <f>IF(E20*0.1&lt;E18,"Exceed 10% Rule","")</f>
        <v/>
      </c>
      <c r="F19" s="501"/>
      <c r="G19" s="342" t="str">
        <f>IF(G20*0.1+G37&lt;G18,"Exceed 10% Rule","")</f>
        <v/>
      </c>
    </row>
    <row r="20" spans="1:7">
      <c r="A20" s="343" t="s">
        <v>141</v>
      </c>
      <c r="B20" s="85"/>
      <c r="C20" s="509">
        <f>SUM(C8:C18)</f>
        <v>0</v>
      </c>
      <c r="D20" s="510"/>
      <c r="E20" s="509">
        <f>SUM(E8:E18)</f>
        <v>0</v>
      </c>
      <c r="F20" s="510"/>
      <c r="G20" s="345">
        <f>SUM(G8:G18)</f>
        <v>0</v>
      </c>
    </row>
    <row r="21" spans="1:7">
      <c r="A21" s="102" t="s">
        <v>142</v>
      </c>
      <c r="B21" s="85"/>
      <c r="C21" s="509">
        <f>C20+C6</f>
        <v>0</v>
      </c>
      <c r="D21" s="510"/>
      <c r="E21" s="509">
        <f>E20+E6</f>
        <v>0</v>
      </c>
      <c r="F21" s="510"/>
      <c r="G21" s="345">
        <f>G20+G6</f>
        <v>0</v>
      </c>
    </row>
    <row r="22" spans="1:7">
      <c r="A22" s="84" t="s">
        <v>143</v>
      </c>
      <c r="B22" s="85"/>
      <c r="C22" s="493"/>
      <c r="D22" s="494"/>
      <c r="E22" s="493"/>
      <c r="F22" s="494"/>
      <c r="G22" s="272"/>
    </row>
    <row r="23" spans="1:7">
      <c r="A23" s="339" t="s">
        <v>621</v>
      </c>
      <c r="B23" s="338"/>
      <c r="C23" s="491"/>
      <c r="D23" s="492"/>
      <c r="E23" s="491"/>
      <c r="F23" s="492"/>
      <c r="G23" s="177"/>
    </row>
    <row r="24" spans="1:7">
      <c r="A24" s="339" t="s">
        <v>597</v>
      </c>
      <c r="B24" s="338"/>
      <c r="C24" s="491"/>
      <c r="D24" s="492"/>
      <c r="E24" s="491"/>
      <c r="F24" s="492"/>
      <c r="G24" s="177"/>
    </row>
    <row r="25" spans="1:7">
      <c r="A25" s="339"/>
      <c r="B25" s="338"/>
      <c r="C25" s="491"/>
      <c r="D25" s="492"/>
      <c r="E25" s="491"/>
      <c r="F25" s="492"/>
      <c r="G25" s="177"/>
    </row>
    <row r="26" spans="1:7">
      <c r="A26" s="339"/>
      <c r="B26" s="338"/>
      <c r="C26" s="491"/>
      <c r="D26" s="492"/>
      <c r="E26" s="491"/>
      <c r="F26" s="492"/>
      <c r="G26" s="177"/>
    </row>
    <row r="27" spans="1:7">
      <c r="A27" s="339"/>
      <c r="B27" s="338"/>
      <c r="C27" s="491"/>
      <c r="D27" s="492"/>
      <c r="E27" s="491"/>
      <c r="F27" s="492"/>
      <c r="G27" s="177"/>
    </row>
    <row r="28" spans="1:7">
      <c r="A28" s="336" t="s">
        <v>86</v>
      </c>
      <c r="B28" s="341"/>
      <c r="C28" s="491"/>
      <c r="D28" s="492"/>
      <c r="E28" s="491"/>
      <c r="F28" s="492"/>
      <c r="G28" s="189" t="str">
        <f ca="1">nhood!E9</f>
        <v/>
      </c>
    </row>
    <row r="29" spans="1:7">
      <c r="A29" s="336" t="s">
        <v>84</v>
      </c>
      <c r="B29" s="341"/>
      <c r="C29" s="491"/>
      <c r="D29" s="492"/>
      <c r="E29" s="491"/>
      <c r="F29" s="492"/>
      <c r="G29" s="333"/>
    </row>
    <row r="30" spans="1:7">
      <c r="A30" s="336" t="s">
        <v>87</v>
      </c>
      <c r="B30" s="341"/>
      <c r="C30" s="500" t="str">
        <f>IF(C31*0.1&lt;C29,"Exceed 10% Rule","")</f>
        <v/>
      </c>
      <c r="D30" s="501"/>
      <c r="E30" s="500" t="str">
        <f>IF(E31*0.1&lt;E29,"Exceed 10% Rule","")</f>
        <v/>
      </c>
      <c r="F30" s="501"/>
      <c r="G30" s="342" t="str">
        <f>IF(G31*0.1&lt;G29,"Exceed 10% Rule","")</f>
        <v/>
      </c>
    </row>
    <row r="31" spans="1:7">
      <c r="A31" s="102" t="s">
        <v>144</v>
      </c>
      <c r="B31" s="85"/>
      <c r="C31" s="509">
        <f>SUM(C23:C29)</f>
        <v>0</v>
      </c>
      <c r="D31" s="510"/>
      <c r="E31" s="509">
        <f>SUM(E23:E29)</f>
        <v>0</v>
      </c>
      <c r="F31" s="510"/>
      <c r="G31" s="345">
        <f>SUM(G23:G29)</f>
        <v>0</v>
      </c>
    </row>
    <row r="32" spans="1:7">
      <c r="A32" s="84" t="s">
        <v>614</v>
      </c>
      <c r="B32" s="85"/>
      <c r="C32" s="511">
        <f>C21-C31</f>
        <v>0</v>
      </c>
      <c r="D32" s="512"/>
      <c r="E32" s="511">
        <f>E21-E31</f>
        <v>0</v>
      </c>
      <c r="F32" s="512"/>
      <c r="G32" s="335" t="s">
        <v>112</v>
      </c>
    </row>
    <row r="33" spans="1:8">
      <c r="A33" s="123" t="str">
        <f>CONCATENATE("",$G$1-2,"/",$G$1-1," Budget Authority Amount:")</f>
        <v>2011/2012 Budget Authority Amount:</v>
      </c>
      <c r="B33" s="349">
        <f ca="1">inputOth!B86</f>
        <v>0</v>
      </c>
      <c r="C33" s="70">
        <f ca="1">inputPrYr!D23</f>
        <v>0</v>
      </c>
      <c r="D33" s="497" t="s">
        <v>38</v>
      </c>
      <c r="E33" s="498"/>
      <c r="F33" s="499"/>
      <c r="G33" s="177"/>
      <c r="H33" s="350" t="str">
        <f>IF(G31/0.95-G31&lt;G33,"Exceeds 5%","")</f>
        <v/>
      </c>
    </row>
    <row r="34" spans="1:8">
      <c r="A34" s="123"/>
      <c r="B34" s="351" t="str">
        <f>IF(C31&gt;B33,"See Tab A","")</f>
        <v/>
      </c>
      <c r="C34" s="351" t="str">
        <f>IF(E31&gt;C33,"See Tab C","")</f>
        <v/>
      </c>
      <c r="D34" s="67"/>
      <c r="E34" s="502" t="s">
        <v>39</v>
      </c>
      <c r="F34" s="503"/>
      <c r="G34" s="272">
        <f>G31+G33</f>
        <v>0</v>
      </c>
    </row>
    <row r="35" spans="1:8">
      <c r="A35" s="123"/>
      <c r="B35" s="351" t="str">
        <f>IF(C32&lt;0,"See Tab B","")</f>
        <v/>
      </c>
      <c r="C35" s="401" t="str">
        <f>IF(E32&lt;0,"See Tab D","")</f>
        <v/>
      </c>
      <c r="D35" s="67"/>
      <c r="E35" s="502" t="s">
        <v>146</v>
      </c>
      <c r="F35" s="503"/>
      <c r="G35" s="189">
        <f>IF(G34-G21&gt;0,G34-G21,0)</f>
        <v>0</v>
      </c>
    </row>
    <row r="36" spans="1:8">
      <c r="A36" s="221"/>
      <c r="B36" s="221"/>
      <c r="C36" s="221"/>
      <c r="D36" s="504" t="s">
        <v>40</v>
      </c>
      <c r="E36" s="505"/>
      <c r="F36" s="352">
        <f ca="1">inputOth!$E$77</f>
        <v>0</v>
      </c>
      <c r="G36" s="272">
        <f>ROUND(IF(F36&gt;0,(G35*F36),0),0)</f>
        <v>0</v>
      </c>
    </row>
    <row r="37" spans="1:8">
      <c r="A37" s="67"/>
      <c r="B37" s="67"/>
      <c r="C37" s="506" t="str">
        <f>CONCATENATE("Amount of  ",$G$1-1," Ad Valorem Tax")</f>
        <v>Amount of  2012 Ad Valorem Tax</v>
      </c>
      <c r="D37" s="507"/>
      <c r="E37" s="507"/>
      <c r="F37" s="508"/>
      <c r="G37" s="189">
        <f>G35+G36</f>
        <v>0</v>
      </c>
    </row>
    <row r="38" spans="1:8">
      <c r="A38" s="76" t="s">
        <v>128</v>
      </c>
      <c r="B38" s="357"/>
      <c r="C38" s="74"/>
      <c r="D38" s="74"/>
      <c r="E38" s="74"/>
      <c r="F38" s="74"/>
      <c r="G38" s="74"/>
    </row>
    <row r="39" spans="1:8">
      <c r="A39" s="67"/>
      <c r="B39" s="75"/>
      <c r="C39" s="487" t="s">
        <v>129</v>
      </c>
      <c r="D39" s="488"/>
      <c r="E39" s="495" t="s">
        <v>130</v>
      </c>
      <c r="F39" s="496"/>
      <c r="G39" s="78" t="s">
        <v>131</v>
      </c>
    </row>
    <row r="40" spans="1:8">
      <c r="A40" s="251" t="str">
        <f ca="1">inputPrYr!B24</f>
        <v>Noxious Weed</v>
      </c>
      <c r="B40" s="331"/>
      <c r="C40" s="489" t="str">
        <f>C5</f>
        <v>Actual 2011</v>
      </c>
      <c r="D40" s="490"/>
      <c r="E40" s="489" t="str">
        <f>E5</f>
        <v>Estimate 2012</v>
      </c>
      <c r="F40" s="490"/>
      <c r="G40" s="83" t="str">
        <f>G5</f>
        <v>Year 2013</v>
      </c>
    </row>
    <row r="41" spans="1:8">
      <c r="A41" s="84" t="s">
        <v>613</v>
      </c>
      <c r="B41" s="85"/>
      <c r="C41" s="491"/>
      <c r="D41" s="492"/>
      <c r="E41" s="493">
        <f>C67</f>
        <v>0</v>
      </c>
      <c r="F41" s="494"/>
      <c r="G41" s="272">
        <f>E67</f>
        <v>0</v>
      </c>
    </row>
    <row r="42" spans="1:8">
      <c r="A42" s="84" t="s">
        <v>615</v>
      </c>
      <c r="B42" s="85"/>
      <c r="C42" s="493"/>
      <c r="D42" s="494"/>
      <c r="E42" s="493"/>
      <c r="F42" s="494"/>
      <c r="G42" s="335"/>
    </row>
    <row r="43" spans="1:8">
      <c r="A43" s="84" t="s">
        <v>134</v>
      </c>
      <c r="B43" s="85"/>
      <c r="C43" s="491"/>
      <c r="D43" s="492"/>
      <c r="E43" s="493">
        <f ca="1">inputPrYr!E24</f>
        <v>0</v>
      </c>
      <c r="F43" s="494"/>
      <c r="G43" s="335" t="s">
        <v>112</v>
      </c>
    </row>
    <row r="44" spans="1:8">
      <c r="A44" s="84" t="s">
        <v>135</v>
      </c>
      <c r="B44" s="85"/>
      <c r="C44" s="491"/>
      <c r="D44" s="492"/>
      <c r="E44" s="491"/>
      <c r="F44" s="492"/>
      <c r="G44" s="177"/>
    </row>
    <row r="45" spans="1:8">
      <c r="A45" s="84" t="s">
        <v>136</v>
      </c>
      <c r="B45" s="85"/>
      <c r="C45" s="491"/>
      <c r="D45" s="492"/>
      <c r="E45" s="491"/>
      <c r="F45" s="492"/>
      <c r="G45" s="272">
        <f ca="1">mvalloc!G16</f>
        <v>0</v>
      </c>
    </row>
    <row r="46" spans="1:8">
      <c r="A46" s="84" t="s">
        <v>137</v>
      </c>
      <c r="B46" s="85"/>
      <c r="C46" s="491"/>
      <c r="D46" s="492"/>
      <c r="E46" s="491"/>
      <c r="F46" s="492"/>
      <c r="G46" s="272">
        <f ca="1">mvalloc!I16</f>
        <v>0</v>
      </c>
    </row>
    <row r="47" spans="1:8">
      <c r="A47" s="84" t="s">
        <v>594</v>
      </c>
      <c r="B47" s="85"/>
      <c r="C47" s="491"/>
      <c r="D47" s="492"/>
      <c r="E47" s="491"/>
      <c r="F47" s="492"/>
      <c r="G47" s="272">
        <f ca="1">mvalloc!J16</f>
        <v>0</v>
      </c>
    </row>
    <row r="48" spans="1:8">
      <c r="A48" s="84" t="s">
        <v>659</v>
      </c>
      <c r="B48" s="85"/>
      <c r="C48" s="491"/>
      <c r="D48" s="492"/>
      <c r="E48" s="491"/>
      <c r="F48" s="492"/>
      <c r="G48" s="272">
        <f ca="1">mvalloc!K16</f>
        <v>0</v>
      </c>
    </row>
    <row r="49" spans="1:7">
      <c r="A49" s="337"/>
      <c r="B49" s="338"/>
      <c r="C49" s="491"/>
      <c r="D49" s="492"/>
      <c r="E49" s="491"/>
      <c r="F49" s="492"/>
      <c r="G49" s="177"/>
    </row>
    <row r="50" spans="1:7">
      <c r="A50" s="337"/>
      <c r="B50" s="338"/>
      <c r="C50" s="491"/>
      <c r="D50" s="492"/>
      <c r="E50" s="491"/>
      <c r="F50" s="492"/>
      <c r="G50" s="177"/>
    </row>
    <row r="51" spans="1:7">
      <c r="A51" s="339"/>
      <c r="B51" s="338"/>
      <c r="C51" s="491"/>
      <c r="D51" s="492"/>
      <c r="E51" s="491"/>
      <c r="F51" s="492"/>
      <c r="G51" s="177"/>
    </row>
    <row r="52" spans="1:7">
      <c r="A52" s="339" t="s">
        <v>140</v>
      </c>
      <c r="B52" s="338"/>
      <c r="C52" s="491"/>
      <c r="D52" s="492"/>
      <c r="E52" s="491"/>
      <c r="F52" s="492"/>
      <c r="G52" s="177"/>
    </row>
    <row r="53" spans="1:7">
      <c r="A53" s="340" t="s">
        <v>84</v>
      </c>
      <c r="B53" s="341"/>
      <c r="C53" s="491"/>
      <c r="D53" s="492"/>
      <c r="E53" s="491"/>
      <c r="F53" s="492"/>
      <c r="G53" s="333"/>
    </row>
    <row r="54" spans="1:7">
      <c r="A54" s="340" t="s">
        <v>85</v>
      </c>
      <c r="B54" s="341"/>
      <c r="C54" s="500" t="str">
        <f>IF(C55*0.1&lt;C53,"Exceed 10% Rule","")</f>
        <v/>
      </c>
      <c r="D54" s="501"/>
      <c r="E54" s="500" t="str">
        <f>IF(E55*0.1&lt;E53,"Exceed 10% Rule","")</f>
        <v/>
      </c>
      <c r="F54" s="501"/>
      <c r="G54" s="342" t="str">
        <f>IF(G55*0.1+G72&lt;G53,"Exceed 10% Rule","")</f>
        <v/>
      </c>
    </row>
    <row r="55" spans="1:7">
      <c r="A55" s="343" t="s">
        <v>141</v>
      </c>
      <c r="B55" s="85"/>
      <c r="C55" s="509">
        <f>SUM(C43:C53)</f>
        <v>0</v>
      </c>
      <c r="D55" s="510"/>
      <c r="E55" s="509">
        <f>SUM(E43:E53)</f>
        <v>0</v>
      </c>
      <c r="F55" s="510"/>
      <c r="G55" s="345">
        <f>SUM(G43:G53)</f>
        <v>0</v>
      </c>
    </row>
    <row r="56" spans="1:7">
      <c r="A56" s="102" t="s">
        <v>142</v>
      </c>
      <c r="B56" s="85"/>
      <c r="C56" s="509">
        <f>C55+C41</f>
        <v>0</v>
      </c>
      <c r="D56" s="510"/>
      <c r="E56" s="509">
        <f>E55+E41</f>
        <v>0</v>
      </c>
      <c r="F56" s="510"/>
      <c r="G56" s="345">
        <f>G55+G41</f>
        <v>0</v>
      </c>
    </row>
    <row r="57" spans="1:7">
      <c r="A57" s="84" t="s">
        <v>143</v>
      </c>
      <c r="B57" s="85"/>
      <c r="C57" s="493"/>
      <c r="D57" s="494"/>
      <c r="E57" s="493"/>
      <c r="F57" s="494"/>
      <c r="G57" s="272"/>
    </row>
    <row r="58" spans="1:7">
      <c r="A58" s="339" t="s">
        <v>621</v>
      </c>
      <c r="B58" s="338"/>
      <c r="C58" s="491"/>
      <c r="D58" s="492"/>
      <c r="E58" s="491"/>
      <c r="F58" s="492"/>
      <c r="G58" s="177"/>
    </row>
    <row r="59" spans="1:7">
      <c r="A59" s="339" t="s">
        <v>597</v>
      </c>
      <c r="B59" s="338"/>
      <c r="C59" s="491"/>
      <c r="D59" s="492"/>
      <c r="E59" s="491"/>
      <c r="F59" s="492"/>
      <c r="G59" s="177"/>
    </row>
    <row r="60" spans="1:7">
      <c r="A60" s="339"/>
      <c r="B60" s="338"/>
      <c r="C60" s="491"/>
      <c r="D60" s="492"/>
      <c r="E60" s="491"/>
      <c r="F60" s="492"/>
      <c r="G60" s="177"/>
    </row>
    <row r="61" spans="1:7">
      <c r="A61" s="339"/>
      <c r="B61" s="338"/>
      <c r="C61" s="491"/>
      <c r="D61" s="492"/>
      <c r="E61" s="491"/>
      <c r="F61" s="492"/>
      <c r="G61" s="177"/>
    </row>
    <row r="62" spans="1:7">
      <c r="A62" s="339"/>
      <c r="B62" s="338"/>
      <c r="C62" s="491"/>
      <c r="D62" s="492"/>
      <c r="E62" s="491"/>
      <c r="F62" s="492"/>
      <c r="G62" s="177"/>
    </row>
    <row r="63" spans="1:7">
      <c r="A63" s="336" t="s">
        <v>86</v>
      </c>
      <c r="B63" s="341"/>
      <c r="C63" s="491"/>
      <c r="D63" s="492"/>
      <c r="E63" s="491"/>
      <c r="F63" s="492"/>
      <c r="G63" s="189" t="str">
        <f ca="1">nhood!E10</f>
        <v/>
      </c>
    </row>
    <row r="64" spans="1:7">
      <c r="A64" s="336" t="s">
        <v>84</v>
      </c>
      <c r="B64" s="341"/>
      <c r="C64" s="491"/>
      <c r="D64" s="492"/>
      <c r="E64" s="491"/>
      <c r="F64" s="492"/>
      <c r="G64" s="333"/>
    </row>
    <row r="65" spans="1:8">
      <c r="A65" s="336" t="s">
        <v>87</v>
      </c>
      <c r="B65" s="341"/>
      <c r="C65" s="500" t="str">
        <f>IF(C66*0.1&lt;C64,"Exceed 10% Rule","")</f>
        <v/>
      </c>
      <c r="D65" s="501"/>
      <c r="E65" s="500" t="str">
        <f>IF(E66*0.1&lt;E64,"Exceed 10% Rule","")</f>
        <v/>
      </c>
      <c r="F65" s="501"/>
      <c r="G65" s="342" t="str">
        <f>IF(G66*0.1&lt;G64,"Exceed 10% Rule","")</f>
        <v/>
      </c>
    </row>
    <row r="66" spans="1:8">
      <c r="A66" s="102" t="s">
        <v>144</v>
      </c>
      <c r="B66" s="85"/>
      <c r="C66" s="509">
        <f>SUM(C58:C64)</f>
        <v>0</v>
      </c>
      <c r="D66" s="510"/>
      <c r="E66" s="509">
        <f>SUM(E58:E64)</f>
        <v>0</v>
      </c>
      <c r="F66" s="510"/>
      <c r="G66" s="344">
        <f>SUM(G58:G64)</f>
        <v>0</v>
      </c>
    </row>
    <row r="67" spans="1:8">
      <c r="A67" s="84" t="s">
        <v>614</v>
      </c>
      <c r="B67" s="85"/>
      <c r="C67" s="511">
        <f>C56-C66</f>
        <v>0</v>
      </c>
      <c r="D67" s="512"/>
      <c r="E67" s="511">
        <f>E56-E66</f>
        <v>0</v>
      </c>
      <c r="F67" s="512"/>
      <c r="G67" s="335" t="s">
        <v>112</v>
      </c>
    </row>
    <row r="68" spans="1:8">
      <c r="A68" s="123" t="str">
        <f>CONCATENATE("",$G$1-2,"/",$G$1-1," Budget Authority Amount:")</f>
        <v>2011/2012 Budget Authority Amount:</v>
      </c>
      <c r="B68" s="349">
        <f ca="1">inputOth!B87</f>
        <v>0</v>
      </c>
      <c r="C68" s="70">
        <f ca="1">inputPrYr!D24</f>
        <v>0</v>
      </c>
      <c r="D68" s="497" t="s">
        <v>38</v>
      </c>
      <c r="E68" s="498"/>
      <c r="F68" s="499"/>
      <c r="G68" s="177"/>
      <c r="H68" s="350" t="str">
        <f>IF(G66/0.95-G66&lt;G68,"Exceeds 5%","")</f>
        <v/>
      </c>
    </row>
    <row r="69" spans="1:8">
      <c r="A69" s="123"/>
      <c r="B69" s="351" t="str">
        <f>IF(C66&gt;B68,"See Tab A","")</f>
        <v/>
      </c>
      <c r="C69" s="351" t="str">
        <f>IF(E66&gt;C68,"See Tab C","")</f>
        <v/>
      </c>
      <c r="D69" s="67"/>
      <c r="E69" s="502" t="s">
        <v>39</v>
      </c>
      <c r="F69" s="503"/>
      <c r="G69" s="272">
        <f>G66+G68</f>
        <v>0</v>
      </c>
    </row>
    <row r="70" spans="1:8">
      <c r="A70" s="123"/>
      <c r="B70" s="351" t="str">
        <f>IF(C67&lt;0,"See Tab B","")</f>
        <v/>
      </c>
      <c r="C70" s="401" t="str">
        <f>IF(E67&lt;0,"See Tab D","")</f>
        <v/>
      </c>
      <c r="D70" s="67"/>
      <c r="E70" s="502" t="s">
        <v>146</v>
      </c>
      <c r="F70" s="503"/>
      <c r="G70" s="189">
        <f>IF(G69-G56&gt;0,G69-G56,0)</f>
        <v>0</v>
      </c>
    </row>
    <row r="71" spans="1:8">
      <c r="A71" s="221"/>
      <c r="B71" s="221"/>
      <c r="C71" s="221"/>
      <c r="D71" s="504" t="s">
        <v>40</v>
      </c>
      <c r="E71" s="505"/>
      <c r="F71" s="352">
        <f ca="1">inputOth!$E$77</f>
        <v>0</v>
      </c>
      <c r="G71" s="272">
        <f>ROUND(IF(F71&gt;0,(G70*F71),0),0)</f>
        <v>0</v>
      </c>
    </row>
    <row r="72" spans="1:8">
      <c r="A72" s="67"/>
      <c r="B72" s="67"/>
      <c r="C72" s="506" t="str">
        <f>CONCATENATE("Amount of  ",$G$1-1," Ad Valorem Tax")</f>
        <v>Amount of  2012 Ad Valorem Tax</v>
      </c>
      <c r="D72" s="507"/>
      <c r="E72" s="507"/>
      <c r="F72" s="508"/>
      <c r="G72" s="189">
        <f>G70+G71</f>
        <v>0</v>
      </c>
    </row>
    <row r="73" spans="1:8">
      <c r="A73" s="221" t="s">
        <v>127</v>
      </c>
      <c r="B73" s="355"/>
      <c r="C73" s="67"/>
      <c r="D73" s="67"/>
      <c r="E73" s="67"/>
      <c r="F73" s="67"/>
      <c r="G73" s="67"/>
    </row>
    <row r="74" spans="1:8">
      <c r="A74" s="119"/>
      <c r="B74" s="119"/>
    </row>
  </sheetData>
  <sheetProtection sheet="1" objects="1" scenarios="1"/>
  <mergeCells count="126">
    <mergeCell ref="C57:D57"/>
    <mergeCell ref="C39:D39"/>
    <mergeCell ref="D33:F33"/>
    <mergeCell ref="E34:F34"/>
    <mergeCell ref="E35:F35"/>
    <mergeCell ref="D36:E36"/>
    <mergeCell ref="C37:F37"/>
    <mergeCell ref="E52:F52"/>
    <mergeCell ref="E57:F57"/>
    <mergeCell ref="C42:D42"/>
    <mergeCell ref="C53:D53"/>
    <mergeCell ref="C46:D46"/>
    <mergeCell ref="C47:D47"/>
    <mergeCell ref="C48:D48"/>
    <mergeCell ref="C49:D49"/>
    <mergeCell ref="C50:D50"/>
    <mergeCell ref="C51:D51"/>
    <mergeCell ref="E49:F49"/>
    <mergeCell ref="C67:D67"/>
    <mergeCell ref="E64:F64"/>
    <mergeCell ref="E65:F65"/>
    <mergeCell ref="E67:F67"/>
    <mergeCell ref="C65:D65"/>
    <mergeCell ref="C66:D66"/>
    <mergeCell ref="C52:D52"/>
    <mergeCell ref="E50:F50"/>
    <mergeCell ref="E51:F51"/>
    <mergeCell ref="E45:F45"/>
    <mergeCell ref="E39:F39"/>
    <mergeCell ref="E40:F40"/>
    <mergeCell ref="E29:F29"/>
    <mergeCell ref="C31:D31"/>
    <mergeCell ref="E43:F43"/>
    <mergeCell ref="C29:D29"/>
    <mergeCell ref="E31:F31"/>
    <mergeCell ref="E32:F32"/>
    <mergeCell ref="C30:D30"/>
    <mergeCell ref="E30:F30"/>
    <mergeCell ref="E28:F28"/>
    <mergeCell ref="C40:D40"/>
    <mergeCell ref="E46:F46"/>
    <mergeCell ref="E47:F47"/>
    <mergeCell ref="E48:F48"/>
    <mergeCell ref="E42:F42"/>
    <mergeCell ref="C32:D32"/>
    <mergeCell ref="C43:D43"/>
    <mergeCell ref="C44:D44"/>
    <mergeCell ref="C45:D45"/>
    <mergeCell ref="E44:F44"/>
    <mergeCell ref="E66:F66"/>
    <mergeCell ref="E41:F41"/>
    <mergeCell ref="C56:D56"/>
    <mergeCell ref="C72:F72"/>
    <mergeCell ref="C8:D8"/>
    <mergeCell ref="C9:D9"/>
    <mergeCell ref="C10:D10"/>
    <mergeCell ref="C11:D11"/>
    <mergeCell ref="C12:D12"/>
    <mergeCell ref="C13:D13"/>
    <mergeCell ref="E56:F56"/>
    <mergeCell ref="C54:D54"/>
    <mergeCell ref="C55:D55"/>
    <mergeCell ref="E70:F70"/>
    <mergeCell ref="D71:E71"/>
    <mergeCell ref="C59:D59"/>
    <mergeCell ref="C60:D60"/>
    <mergeCell ref="C61:D61"/>
    <mergeCell ref="D68:F68"/>
    <mergeCell ref="E69:F69"/>
    <mergeCell ref="E25:F25"/>
    <mergeCell ref="E26:F26"/>
    <mergeCell ref="E24:F24"/>
    <mergeCell ref="C21:D21"/>
    <mergeCell ref="C64:D64"/>
    <mergeCell ref="C63:D63"/>
    <mergeCell ref="E59:F59"/>
    <mergeCell ref="E53:F53"/>
    <mergeCell ref="E54:F54"/>
    <mergeCell ref="E55:F55"/>
    <mergeCell ref="E27:F27"/>
    <mergeCell ref="C58:D58"/>
    <mergeCell ref="E58:F58"/>
    <mergeCell ref="E63:F63"/>
    <mergeCell ref="E60:F60"/>
    <mergeCell ref="E61:F61"/>
    <mergeCell ref="E62:F62"/>
    <mergeCell ref="C62:D62"/>
    <mergeCell ref="C41:D41"/>
    <mergeCell ref="C27:D27"/>
    <mergeCell ref="C28:D28"/>
    <mergeCell ref="C17:D17"/>
    <mergeCell ref="C4:D4"/>
    <mergeCell ref="C5:D5"/>
    <mergeCell ref="C6:D6"/>
    <mergeCell ref="C7:D7"/>
    <mergeCell ref="C23:D23"/>
    <mergeCell ref="C24:D24"/>
    <mergeCell ref="C25:D25"/>
    <mergeCell ref="C26:D26"/>
    <mergeCell ref="C22:D22"/>
    <mergeCell ref="E22:F22"/>
    <mergeCell ref="E10:F10"/>
    <mergeCell ref="C19:D19"/>
    <mergeCell ref="C20:D20"/>
    <mergeCell ref="E18:F18"/>
    <mergeCell ref="E19:F19"/>
    <mergeCell ref="E20:F20"/>
    <mergeCell ref="E14:F14"/>
    <mergeCell ref="E15:F15"/>
    <mergeCell ref="E4:F4"/>
    <mergeCell ref="E5:F5"/>
    <mergeCell ref="E6:F6"/>
    <mergeCell ref="E7:F7"/>
    <mergeCell ref="E23:F23"/>
    <mergeCell ref="E21:F21"/>
    <mergeCell ref="E16:F16"/>
    <mergeCell ref="E17:F17"/>
    <mergeCell ref="E8:F8"/>
    <mergeCell ref="C18:D18"/>
    <mergeCell ref="E9:F9"/>
    <mergeCell ref="E11:F11"/>
    <mergeCell ref="E12:F12"/>
    <mergeCell ref="E13:F13"/>
    <mergeCell ref="C14:D14"/>
    <mergeCell ref="C15:D15"/>
    <mergeCell ref="C16:D16"/>
  </mergeCells>
  <phoneticPr fontId="0" type="noConversion"/>
  <conditionalFormatting sqref="C64:D64">
    <cfRule type="cellIs" dxfId="138" priority="3" stopIfTrue="1" operator="greaterThan">
      <formula>$C$66*0.1</formula>
    </cfRule>
  </conditionalFormatting>
  <conditionalFormatting sqref="E64:F64">
    <cfRule type="cellIs" dxfId="137" priority="4" stopIfTrue="1" operator="greaterThan">
      <formula>$E$66*0.1</formula>
    </cfRule>
  </conditionalFormatting>
  <conditionalFormatting sqref="C53:D53">
    <cfRule type="cellIs" dxfId="136" priority="5" stopIfTrue="1" operator="greaterThan">
      <formula>$C$55*0.1</formula>
    </cfRule>
  </conditionalFormatting>
  <conditionalFormatting sqref="E53:F53">
    <cfRule type="cellIs" dxfId="135" priority="6" stopIfTrue="1" operator="greaterThan">
      <formula>$E$55*0.1</formula>
    </cfRule>
  </conditionalFormatting>
  <conditionalFormatting sqref="G53">
    <cfRule type="cellIs" dxfId="134" priority="7" stopIfTrue="1" operator="greaterThan">
      <formula>$G$55*0.1</formula>
    </cfRule>
  </conditionalFormatting>
  <conditionalFormatting sqref="G68">
    <cfRule type="cellIs" dxfId="133" priority="8" stopIfTrue="1" operator="greaterThan">
      <formula>$G$66/0.95-$G$66</formula>
    </cfRule>
  </conditionalFormatting>
  <conditionalFormatting sqref="C29:D29">
    <cfRule type="cellIs" dxfId="132" priority="9" stopIfTrue="1" operator="greaterThan">
      <formula>$C$31*0.1</formula>
    </cfRule>
  </conditionalFormatting>
  <conditionalFormatting sqref="E29:F29">
    <cfRule type="cellIs" dxfId="131" priority="10" stopIfTrue="1" operator="greaterThan">
      <formula>$E$31*0.1</formula>
    </cfRule>
  </conditionalFormatting>
  <conditionalFormatting sqref="G29">
    <cfRule type="cellIs" dxfId="130" priority="11" stopIfTrue="1" operator="greaterThan">
      <formula>$G$31*0.1</formula>
    </cfRule>
  </conditionalFormatting>
  <conditionalFormatting sqref="C18:D18">
    <cfRule type="cellIs" dxfId="129" priority="12" stopIfTrue="1" operator="greaterThan">
      <formula>$C$20*0.1</formula>
    </cfRule>
  </conditionalFormatting>
  <conditionalFormatting sqref="E18:F18">
    <cfRule type="cellIs" dxfId="128" priority="13" stopIfTrue="1" operator="greaterThan">
      <formula>$E$20*0.1</formula>
    </cfRule>
  </conditionalFormatting>
  <conditionalFormatting sqref="G33">
    <cfRule type="cellIs" dxfId="127" priority="14" stopIfTrue="1" operator="greaterThan">
      <formula>$G$31/0.95-$G$31</formula>
    </cfRule>
  </conditionalFormatting>
  <conditionalFormatting sqref="C67:D67 C32:D32">
    <cfRule type="cellIs" dxfId="126" priority="15" stopIfTrue="1" operator="lessThan">
      <formula>0</formula>
    </cfRule>
  </conditionalFormatting>
  <conditionalFormatting sqref="C66:D66">
    <cfRule type="cellIs" dxfId="125" priority="16" stopIfTrue="1" operator="greaterThan">
      <formula>$B$68</formula>
    </cfRule>
  </conditionalFormatting>
  <conditionalFormatting sqref="E66:F66">
    <cfRule type="cellIs" dxfId="124" priority="17" stopIfTrue="1" operator="greaterThan">
      <formula>$C$68</formula>
    </cfRule>
  </conditionalFormatting>
  <conditionalFormatting sqref="C31:D31">
    <cfRule type="cellIs" dxfId="123" priority="18" stopIfTrue="1" operator="greaterThan">
      <formula>$B$33</formula>
    </cfRule>
  </conditionalFormatting>
  <conditionalFormatting sqref="E31:F31">
    <cfRule type="cellIs" dxfId="122" priority="19" stopIfTrue="1" operator="greaterThan">
      <formula>$C$33</formula>
    </cfRule>
  </conditionalFormatting>
  <conditionalFormatting sqref="G18">
    <cfRule type="cellIs" dxfId="121" priority="20" stopIfTrue="1" operator="greaterThan">
      <formula>$G$20*0.1+$G$37</formula>
    </cfRule>
  </conditionalFormatting>
  <conditionalFormatting sqref="G64">
    <cfRule type="cellIs" dxfId="120" priority="21" stopIfTrue="1" operator="greaterThan">
      <formula>$G$66*0.1+$G$72</formula>
    </cfRule>
  </conditionalFormatting>
  <conditionalFormatting sqref="E32:F32">
    <cfRule type="cellIs" dxfId="119" priority="2" stopIfTrue="1" operator="lessThan">
      <formula>0</formula>
    </cfRule>
  </conditionalFormatting>
  <conditionalFormatting sqref="E67:F67">
    <cfRule type="cellIs" dxfId="118"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1.xml><?xml version="1.0" encoding="utf-8"?>
<worksheet xmlns="http://schemas.openxmlformats.org/spreadsheetml/2006/main" xmlns:r="http://schemas.openxmlformats.org/officeDocument/2006/relationships">
  <sheetPr codeName="Sheet13">
    <pageSetUpPr fitToPage="1"/>
  </sheetPr>
  <dimension ref="A1:H74"/>
  <sheetViews>
    <sheetView topLeftCell="A10" workbookViewId="0"/>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Paradise Township</v>
      </c>
      <c r="B1" s="76" t="s">
        <v>155</v>
      </c>
      <c r="C1" s="67"/>
      <c r="D1" s="67"/>
      <c r="E1" s="67"/>
      <c r="F1" s="67"/>
      <c r="G1" s="236">
        <f ca="1">inputPrYr!D9</f>
        <v>2013</v>
      </c>
    </row>
    <row r="2" spans="1:7">
      <c r="A2" s="165" t="s">
        <v>565</v>
      </c>
      <c r="B2" s="67"/>
      <c r="C2" s="67"/>
      <c r="D2" s="67"/>
      <c r="E2" s="217"/>
      <c r="F2" s="217"/>
      <c r="G2" s="377"/>
    </row>
    <row r="3" spans="1:7">
      <c r="A3" s="67"/>
      <c r="B3" s="357"/>
      <c r="C3" s="74"/>
      <c r="D3" s="74"/>
      <c r="E3" s="74"/>
      <c r="F3" s="74"/>
      <c r="G3" s="74"/>
    </row>
    <row r="4" spans="1:7">
      <c r="A4" s="76" t="s">
        <v>128</v>
      </c>
      <c r="B4" s="75"/>
      <c r="C4" s="487" t="s">
        <v>129</v>
      </c>
      <c r="D4" s="488"/>
      <c r="E4" s="495" t="s">
        <v>130</v>
      </c>
      <c r="F4" s="496"/>
      <c r="G4" s="78" t="s">
        <v>131</v>
      </c>
    </row>
    <row r="5" spans="1:7">
      <c r="A5" s="185" t="str">
        <f ca="1">inputPrYr!B25</f>
        <v>Fire Protection</v>
      </c>
      <c r="B5" s="331"/>
      <c r="C5" s="489" t="str">
        <f ca="1">gen!C5</f>
        <v>Actual 2011</v>
      </c>
      <c r="D5" s="490"/>
      <c r="E5" s="489" t="str">
        <f ca="1">gen!E5</f>
        <v>Estimate 2012</v>
      </c>
      <c r="F5" s="490"/>
      <c r="G5" s="83" t="str">
        <f ca="1">gen!G5</f>
        <v>Year 2013</v>
      </c>
    </row>
    <row r="6" spans="1:7">
      <c r="A6" s="84" t="s">
        <v>613</v>
      </c>
      <c r="B6" s="85"/>
      <c r="C6" s="491"/>
      <c r="D6" s="492"/>
      <c r="E6" s="493">
        <f>C32</f>
        <v>0</v>
      </c>
      <c r="F6" s="494"/>
      <c r="G6" s="272">
        <f>E32</f>
        <v>0</v>
      </c>
    </row>
    <row r="7" spans="1:7">
      <c r="A7" s="84" t="s">
        <v>615</v>
      </c>
      <c r="B7" s="85"/>
      <c r="C7" s="493"/>
      <c r="D7" s="494"/>
      <c r="E7" s="493"/>
      <c r="F7" s="494"/>
      <c r="G7" s="335"/>
    </row>
    <row r="8" spans="1:7">
      <c r="A8" s="84" t="s">
        <v>134</v>
      </c>
      <c r="B8" s="85"/>
      <c r="C8" s="491"/>
      <c r="D8" s="492"/>
      <c r="E8" s="493">
        <f ca="1">inputPrYr!E25</f>
        <v>0</v>
      </c>
      <c r="F8" s="494"/>
      <c r="G8" s="335" t="s">
        <v>112</v>
      </c>
    </row>
    <row r="9" spans="1:7">
      <c r="A9" s="84" t="s">
        <v>135</v>
      </c>
      <c r="B9" s="85"/>
      <c r="C9" s="491"/>
      <c r="D9" s="492"/>
      <c r="E9" s="491"/>
      <c r="F9" s="492"/>
      <c r="G9" s="177"/>
    </row>
    <row r="10" spans="1:7">
      <c r="A10" s="84" t="s">
        <v>136</v>
      </c>
      <c r="B10" s="85"/>
      <c r="C10" s="491"/>
      <c r="D10" s="492"/>
      <c r="E10" s="491"/>
      <c r="F10" s="492"/>
      <c r="G10" s="272">
        <f ca="1">mvalloc!G17</f>
        <v>0</v>
      </c>
    </row>
    <row r="11" spans="1:7">
      <c r="A11" s="84" t="s">
        <v>137</v>
      </c>
      <c r="B11" s="85"/>
      <c r="C11" s="491"/>
      <c r="D11" s="492"/>
      <c r="E11" s="491"/>
      <c r="F11" s="492"/>
      <c r="G11" s="272">
        <f ca="1">mvalloc!I17</f>
        <v>0</v>
      </c>
    </row>
    <row r="12" spans="1:7">
      <c r="A12" s="84" t="s">
        <v>594</v>
      </c>
      <c r="B12" s="85"/>
      <c r="C12" s="491"/>
      <c r="D12" s="492"/>
      <c r="E12" s="491"/>
      <c r="F12" s="492"/>
      <c r="G12" s="272">
        <f ca="1">mvalloc!J17</f>
        <v>0</v>
      </c>
    </row>
    <row r="13" spans="1:7">
      <c r="A13" s="84" t="s">
        <v>659</v>
      </c>
      <c r="B13" s="85"/>
      <c r="C13" s="491"/>
      <c r="D13" s="492"/>
      <c r="E13" s="491"/>
      <c r="F13" s="492"/>
      <c r="G13" s="272">
        <f ca="1">mvalloc!K17</f>
        <v>0</v>
      </c>
    </row>
    <row r="14" spans="1:7">
      <c r="A14" s="337"/>
      <c r="B14" s="338"/>
      <c r="C14" s="491"/>
      <c r="D14" s="492"/>
      <c r="E14" s="491"/>
      <c r="F14" s="492"/>
      <c r="G14" s="177"/>
    </row>
    <row r="15" spans="1:7">
      <c r="A15" s="337"/>
      <c r="B15" s="338"/>
      <c r="C15" s="491"/>
      <c r="D15" s="492"/>
      <c r="E15" s="491"/>
      <c r="F15" s="492"/>
      <c r="G15" s="177"/>
    </row>
    <row r="16" spans="1:7">
      <c r="A16" s="339"/>
      <c r="B16" s="338"/>
      <c r="C16" s="491"/>
      <c r="D16" s="492"/>
      <c r="E16" s="491"/>
      <c r="F16" s="492"/>
      <c r="G16" s="177"/>
    </row>
    <row r="17" spans="1:7">
      <c r="A17" s="339" t="s">
        <v>140</v>
      </c>
      <c r="B17" s="338"/>
      <c r="C17" s="491"/>
      <c r="D17" s="492"/>
      <c r="E17" s="491"/>
      <c r="F17" s="492"/>
      <c r="G17" s="177"/>
    </row>
    <row r="18" spans="1:7">
      <c r="A18" s="340" t="s">
        <v>84</v>
      </c>
      <c r="B18" s="341"/>
      <c r="C18" s="491"/>
      <c r="D18" s="492"/>
      <c r="E18" s="491"/>
      <c r="F18" s="492"/>
      <c r="G18" s="333"/>
    </row>
    <row r="19" spans="1:7">
      <c r="A19" s="340" t="s">
        <v>85</v>
      </c>
      <c r="B19" s="341"/>
      <c r="C19" s="500" t="str">
        <f>IF(C20*0.1&lt;C18,"Exceed 10% Rule","")</f>
        <v/>
      </c>
      <c r="D19" s="501"/>
      <c r="E19" s="500" t="str">
        <f>IF(E20*0.1&lt;E18,"Exceed 10% Rule","")</f>
        <v/>
      </c>
      <c r="F19" s="501"/>
      <c r="G19" s="342" t="str">
        <f>IF(G20*0.1+G37&lt;G18,"Exceed 10% Rule","")</f>
        <v/>
      </c>
    </row>
    <row r="20" spans="1:7">
      <c r="A20" s="343" t="s">
        <v>141</v>
      </c>
      <c r="B20" s="85"/>
      <c r="C20" s="509">
        <f>SUM(C8:C18)</f>
        <v>0</v>
      </c>
      <c r="D20" s="510"/>
      <c r="E20" s="509">
        <f>SUM(E8:E18)</f>
        <v>0</v>
      </c>
      <c r="F20" s="510"/>
      <c r="G20" s="345">
        <f>SUM(G8:G18)</f>
        <v>0</v>
      </c>
    </row>
    <row r="21" spans="1:7">
      <c r="A21" s="102" t="s">
        <v>142</v>
      </c>
      <c r="B21" s="85"/>
      <c r="C21" s="509">
        <f>C20+C6</f>
        <v>0</v>
      </c>
      <c r="D21" s="510"/>
      <c r="E21" s="509">
        <f>E20+E6</f>
        <v>0</v>
      </c>
      <c r="F21" s="510"/>
      <c r="G21" s="345">
        <f>G20+G6</f>
        <v>0</v>
      </c>
    </row>
    <row r="22" spans="1:7">
      <c r="A22" s="84" t="s">
        <v>143</v>
      </c>
      <c r="B22" s="85"/>
      <c r="C22" s="493"/>
      <c r="D22" s="494"/>
      <c r="E22" s="493"/>
      <c r="F22" s="494"/>
      <c r="G22" s="272"/>
    </row>
    <row r="23" spans="1:7">
      <c r="A23" s="339" t="s">
        <v>621</v>
      </c>
      <c r="B23" s="338"/>
      <c r="C23" s="491"/>
      <c r="D23" s="492"/>
      <c r="E23" s="491"/>
      <c r="F23" s="492"/>
      <c r="G23" s="177"/>
    </row>
    <row r="24" spans="1:7">
      <c r="A24" s="339" t="s">
        <v>597</v>
      </c>
      <c r="B24" s="338"/>
      <c r="C24" s="491"/>
      <c r="D24" s="492"/>
      <c r="E24" s="491"/>
      <c r="F24" s="492"/>
      <c r="G24" s="177"/>
    </row>
    <row r="25" spans="1:7">
      <c r="A25" s="339"/>
      <c r="B25" s="338"/>
      <c r="C25" s="491"/>
      <c r="D25" s="492"/>
      <c r="E25" s="491"/>
      <c r="F25" s="492"/>
      <c r="G25" s="177"/>
    </row>
    <row r="26" spans="1:7">
      <c r="A26" s="339"/>
      <c r="B26" s="338"/>
      <c r="C26" s="491"/>
      <c r="D26" s="492"/>
      <c r="E26" s="491"/>
      <c r="F26" s="492"/>
      <c r="G26" s="177"/>
    </row>
    <row r="27" spans="1:7">
      <c r="A27" s="339"/>
      <c r="B27" s="338"/>
      <c r="C27" s="491"/>
      <c r="D27" s="492"/>
      <c r="E27" s="491"/>
      <c r="F27" s="492"/>
      <c r="G27" s="177"/>
    </row>
    <row r="28" spans="1:7">
      <c r="A28" s="336" t="s">
        <v>86</v>
      </c>
      <c r="B28" s="341"/>
      <c r="C28" s="491"/>
      <c r="D28" s="492"/>
      <c r="E28" s="491"/>
      <c r="F28" s="492"/>
      <c r="G28" s="189" t="str">
        <f ca="1">nhood!E11</f>
        <v/>
      </c>
    </row>
    <row r="29" spans="1:7">
      <c r="A29" s="336" t="s">
        <v>84</v>
      </c>
      <c r="B29" s="341"/>
      <c r="C29" s="491"/>
      <c r="D29" s="492"/>
      <c r="E29" s="491"/>
      <c r="F29" s="492"/>
      <c r="G29" s="333"/>
    </row>
    <row r="30" spans="1:7">
      <c r="A30" s="336" t="s">
        <v>87</v>
      </c>
      <c r="B30" s="341"/>
      <c r="C30" s="500" t="str">
        <f>IF(C31*0.1&lt;C29,"Exceed 10% Rule","")</f>
        <v/>
      </c>
      <c r="D30" s="501"/>
      <c r="E30" s="500" t="str">
        <f>IF(E31*0.1&lt;E29,"Exceed 10% Rule","")</f>
        <v/>
      </c>
      <c r="F30" s="501"/>
      <c r="G30" s="342" t="str">
        <f>IF(G31*0.1&lt;G29,"Exceed 10% Rule","")</f>
        <v/>
      </c>
    </row>
    <row r="31" spans="1:7">
      <c r="A31" s="102" t="s">
        <v>144</v>
      </c>
      <c r="B31" s="85"/>
      <c r="C31" s="509">
        <f>SUM(C23:C29)</f>
        <v>0</v>
      </c>
      <c r="D31" s="510"/>
      <c r="E31" s="509">
        <f>SUM(E23:E29)</f>
        <v>0</v>
      </c>
      <c r="F31" s="510"/>
      <c r="G31" s="344">
        <f>SUM(G23:G29)</f>
        <v>0</v>
      </c>
    </row>
    <row r="32" spans="1:7">
      <c r="A32" s="84" t="s">
        <v>614</v>
      </c>
      <c r="B32" s="85"/>
      <c r="C32" s="511">
        <f>C21-C31</f>
        <v>0</v>
      </c>
      <c r="D32" s="512"/>
      <c r="E32" s="511">
        <f>E21-E31</f>
        <v>0</v>
      </c>
      <c r="F32" s="512"/>
      <c r="G32" s="335" t="s">
        <v>112</v>
      </c>
    </row>
    <row r="33" spans="1:8">
      <c r="A33" s="123" t="str">
        <f>CONCATENATE("",$G$1-2,"/",$G$1-1," Budget Authority Amount:")</f>
        <v>2011/2012 Budget Authority Amount:</v>
      </c>
      <c r="B33" s="349">
        <f ca="1">inputOth!B88</f>
        <v>0</v>
      </c>
      <c r="C33" s="70">
        <f ca="1">inputPrYr!D25</f>
        <v>0</v>
      </c>
      <c r="D33" s="497" t="s">
        <v>38</v>
      </c>
      <c r="E33" s="498"/>
      <c r="F33" s="499"/>
      <c r="G33" s="177"/>
      <c r="H33" s="350" t="str">
        <f>IF(G31/0.95-G31&lt;G33,"Exceeds 5%","")</f>
        <v/>
      </c>
    </row>
    <row r="34" spans="1:8">
      <c r="A34" s="123"/>
      <c r="B34" s="351" t="str">
        <f>IF(C31&gt;B33,"See Tab A","")</f>
        <v/>
      </c>
      <c r="C34" s="351" t="str">
        <f>IF(E31&gt;C33,"See Tab C","")</f>
        <v/>
      </c>
      <c r="D34" s="67"/>
      <c r="E34" s="502" t="s">
        <v>39</v>
      </c>
      <c r="F34" s="503"/>
      <c r="G34" s="272">
        <f>G31+G33</f>
        <v>0</v>
      </c>
    </row>
    <row r="35" spans="1:8">
      <c r="A35" s="123"/>
      <c r="B35" s="351" t="str">
        <f>IF(C32&lt;0,"See Tab B","")</f>
        <v/>
      </c>
      <c r="C35" s="401" t="str">
        <f>IF(E32&lt;0,"See Tab D","")</f>
        <v/>
      </c>
      <c r="D35" s="67"/>
      <c r="E35" s="502" t="s">
        <v>146</v>
      </c>
      <c r="F35" s="503"/>
      <c r="G35" s="189">
        <f>IF(G34-G21&gt;0,G34-G21,0)</f>
        <v>0</v>
      </c>
    </row>
    <row r="36" spans="1:8">
      <c r="A36" s="221"/>
      <c r="B36" s="221"/>
      <c r="C36" s="221"/>
      <c r="D36" s="504" t="s">
        <v>40</v>
      </c>
      <c r="E36" s="505"/>
      <c r="F36" s="352">
        <f ca="1">inputOth!$E$77</f>
        <v>0</v>
      </c>
      <c r="G36" s="272">
        <f>ROUND(IF(F36&gt;0,(G35*F36),0),0)</f>
        <v>0</v>
      </c>
    </row>
    <row r="37" spans="1:8">
      <c r="A37" s="67"/>
      <c r="B37" s="67"/>
      <c r="C37" s="506" t="str">
        <f>CONCATENATE("Amount of  ",$G$1-1," Ad Valorem Tax")</f>
        <v>Amount of  2012 Ad Valorem Tax</v>
      </c>
      <c r="D37" s="507"/>
      <c r="E37" s="507"/>
      <c r="F37" s="508"/>
      <c r="G37" s="189">
        <f>G35+G36</f>
        <v>0</v>
      </c>
    </row>
    <row r="38" spans="1:8">
      <c r="A38" s="76" t="s">
        <v>128</v>
      </c>
      <c r="B38" s="357"/>
      <c r="C38" s="74"/>
      <c r="D38" s="74"/>
      <c r="E38" s="74"/>
      <c r="F38" s="74"/>
      <c r="G38" s="74"/>
    </row>
    <row r="39" spans="1:8">
      <c r="A39" s="67"/>
      <c r="B39" s="75"/>
      <c r="C39" s="487" t="s">
        <v>129</v>
      </c>
      <c r="D39" s="488"/>
      <c r="E39" s="495" t="s">
        <v>130</v>
      </c>
      <c r="F39" s="496"/>
      <c r="G39" s="78" t="s">
        <v>131</v>
      </c>
    </row>
    <row r="40" spans="1:8">
      <c r="A40" s="251">
        <f ca="1">inputPrYr!B26</f>
        <v>0</v>
      </c>
      <c r="B40" s="331"/>
      <c r="C40" s="489" t="str">
        <f>C5</f>
        <v>Actual 2011</v>
      </c>
      <c r="D40" s="490"/>
      <c r="E40" s="489" t="str">
        <f>E5</f>
        <v>Estimate 2012</v>
      </c>
      <c r="F40" s="490"/>
      <c r="G40" s="83" t="str">
        <f>G5</f>
        <v>Year 2013</v>
      </c>
    </row>
    <row r="41" spans="1:8">
      <c r="A41" s="84" t="s">
        <v>613</v>
      </c>
      <c r="B41" s="85"/>
      <c r="C41" s="491"/>
      <c r="D41" s="492"/>
      <c r="E41" s="493">
        <f>C67</f>
        <v>0</v>
      </c>
      <c r="F41" s="494"/>
      <c r="G41" s="272">
        <f>E67</f>
        <v>0</v>
      </c>
    </row>
    <row r="42" spans="1:8">
      <c r="A42" s="84" t="s">
        <v>615</v>
      </c>
      <c r="B42" s="85"/>
      <c r="C42" s="493"/>
      <c r="D42" s="494"/>
      <c r="E42" s="493"/>
      <c r="F42" s="494"/>
      <c r="G42" s="335"/>
    </row>
    <row r="43" spans="1:8">
      <c r="A43" s="84" t="s">
        <v>134</v>
      </c>
      <c r="B43" s="85"/>
      <c r="C43" s="491"/>
      <c r="D43" s="492"/>
      <c r="E43" s="493">
        <f ca="1">inputPrYr!E26</f>
        <v>0</v>
      </c>
      <c r="F43" s="494"/>
      <c r="G43" s="335" t="s">
        <v>112</v>
      </c>
    </row>
    <row r="44" spans="1:8">
      <c r="A44" s="84" t="s">
        <v>135</v>
      </c>
      <c r="B44" s="85"/>
      <c r="C44" s="491"/>
      <c r="D44" s="492"/>
      <c r="E44" s="491"/>
      <c r="F44" s="492"/>
      <c r="G44" s="177"/>
    </row>
    <row r="45" spans="1:8">
      <c r="A45" s="84" t="s">
        <v>136</v>
      </c>
      <c r="B45" s="85"/>
      <c r="C45" s="491"/>
      <c r="D45" s="492"/>
      <c r="E45" s="491"/>
      <c r="F45" s="492"/>
      <c r="G45" s="272">
        <f ca="1">mvalloc!G18</f>
        <v>0</v>
      </c>
    </row>
    <row r="46" spans="1:8">
      <c r="A46" s="84" t="s">
        <v>137</v>
      </c>
      <c r="B46" s="85"/>
      <c r="C46" s="491"/>
      <c r="D46" s="492"/>
      <c r="E46" s="491"/>
      <c r="F46" s="492"/>
      <c r="G46" s="272">
        <f ca="1">mvalloc!I18</f>
        <v>0</v>
      </c>
    </row>
    <row r="47" spans="1:8">
      <c r="A47" s="84" t="s">
        <v>594</v>
      </c>
      <c r="B47" s="85"/>
      <c r="C47" s="491"/>
      <c r="D47" s="492"/>
      <c r="E47" s="491"/>
      <c r="F47" s="492"/>
      <c r="G47" s="272">
        <f ca="1">mvalloc!J18</f>
        <v>0</v>
      </c>
    </row>
    <row r="48" spans="1:8">
      <c r="A48" s="84" t="s">
        <v>659</v>
      </c>
      <c r="B48" s="85"/>
      <c r="C48" s="491"/>
      <c r="D48" s="492"/>
      <c r="E48" s="491"/>
      <c r="F48" s="492"/>
      <c r="G48" s="272">
        <f ca="1">mvalloc!K18</f>
        <v>0</v>
      </c>
    </row>
    <row r="49" spans="1:7">
      <c r="A49" s="339"/>
      <c r="B49" s="338"/>
      <c r="C49" s="491"/>
      <c r="D49" s="492"/>
      <c r="E49" s="491"/>
      <c r="F49" s="492"/>
      <c r="G49" s="177"/>
    </row>
    <row r="50" spans="1:7">
      <c r="A50" s="339"/>
      <c r="B50" s="338"/>
      <c r="C50" s="491"/>
      <c r="D50" s="492"/>
      <c r="E50" s="491"/>
      <c r="F50" s="492"/>
      <c r="G50" s="177"/>
    </row>
    <row r="51" spans="1:7">
      <c r="A51" s="339"/>
      <c r="B51" s="338"/>
      <c r="C51" s="491"/>
      <c r="D51" s="492"/>
      <c r="E51" s="491"/>
      <c r="F51" s="492"/>
      <c r="G51" s="177"/>
    </row>
    <row r="52" spans="1:7">
      <c r="A52" s="339" t="s">
        <v>140</v>
      </c>
      <c r="B52" s="338"/>
      <c r="C52" s="491"/>
      <c r="D52" s="492"/>
      <c r="E52" s="491"/>
      <c r="F52" s="492"/>
      <c r="G52" s="177"/>
    </row>
    <row r="53" spans="1:7">
      <c r="A53" s="340" t="s">
        <v>84</v>
      </c>
      <c r="B53" s="341"/>
      <c r="C53" s="491"/>
      <c r="D53" s="492"/>
      <c r="E53" s="491"/>
      <c r="F53" s="492"/>
      <c r="G53" s="333"/>
    </row>
    <row r="54" spans="1:7">
      <c r="A54" s="340" t="s">
        <v>85</v>
      </c>
      <c r="B54" s="341"/>
      <c r="C54" s="500" t="str">
        <f>IF(C55*0.1&lt;C53,"Exceed 10% Rule","")</f>
        <v/>
      </c>
      <c r="D54" s="501"/>
      <c r="E54" s="500" t="str">
        <f>IF(E55*0.1&lt;E53,"Exceed 10% Rule","")</f>
        <v/>
      </c>
      <c r="F54" s="501"/>
      <c r="G54" s="342" t="str">
        <f>IF(G55*0.1+G72&lt;G53,"Exceed 10% Rule","")</f>
        <v/>
      </c>
    </row>
    <row r="55" spans="1:7">
      <c r="A55" s="343" t="s">
        <v>141</v>
      </c>
      <c r="B55" s="85"/>
      <c r="C55" s="509">
        <f>SUM(C43:C53)</f>
        <v>0</v>
      </c>
      <c r="D55" s="510"/>
      <c r="E55" s="509">
        <f>SUM(E43:E53)</f>
        <v>0</v>
      </c>
      <c r="F55" s="510"/>
      <c r="G55" s="345">
        <f>SUM(G43:G53)</f>
        <v>0</v>
      </c>
    </row>
    <row r="56" spans="1:7">
      <c r="A56" s="102" t="s">
        <v>142</v>
      </c>
      <c r="B56" s="85"/>
      <c r="C56" s="509">
        <f>C55+C41</f>
        <v>0</v>
      </c>
      <c r="D56" s="510"/>
      <c r="E56" s="509">
        <f>E55+E41</f>
        <v>0</v>
      </c>
      <c r="F56" s="510"/>
      <c r="G56" s="345">
        <f>G55+G41</f>
        <v>0</v>
      </c>
    </row>
    <row r="57" spans="1:7">
      <c r="A57" s="84" t="s">
        <v>143</v>
      </c>
      <c r="B57" s="85"/>
      <c r="C57" s="493"/>
      <c r="D57" s="494"/>
      <c r="E57" s="493"/>
      <c r="F57" s="494"/>
      <c r="G57" s="272"/>
    </row>
    <row r="58" spans="1:7">
      <c r="A58" s="339" t="s">
        <v>621</v>
      </c>
      <c r="B58" s="338"/>
      <c r="C58" s="491"/>
      <c r="D58" s="492"/>
      <c r="E58" s="491"/>
      <c r="F58" s="492"/>
      <c r="G58" s="177"/>
    </row>
    <row r="59" spans="1:7">
      <c r="A59" s="339" t="s">
        <v>597</v>
      </c>
      <c r="B59" s="338"/>
      <c r="C59" s="491"/>
      <c r="D59" s="492"/>
      <c r="E59" s="491"/>
      <c r="F59" s="492"/>
      <c r="G59" s="177"/>
    </row>
    <row r="60" spans="1:7">
      <c r="A60" s="339"/>
      <c r="B60" s="338"/>
      <c r="C60" s="491"/>
      <c r="D60" s="492"/>
      <c r="E60" s="491"/>
      <c r="F60" s="492"/>
      <c r="G60" s="177"/>
    </row>
    <row r="61" spans="1:7">
      <c r="A61" s="339"/>
      <c r="B61" s="338"/>
      <c r="C61" s="491"/>
      <c r="D61" s="492"/>
      <c r="E61" s="491"/>
      <c r="F61" s="492"/>
      <c r="G61" s="177"/>
    </row>
    <row r="62" spans="1:7">
      <c r="A62" s="339"/>
      <c r="B62" s="338"/>
      <c r="C62" s="491"/>
      <c r="D62" s="492"/>
      <c r="E62" s="491"/>
      <c r="F62" s="492"/>
      <c r="G62" s="177"/>
    </row>
    <row r="63" spans="1:7">
      <c r="A63" s="336" t="s">
        <v>86</v>
      </c>
      <c r="B63" s="341"/>
      <c r="C63" s="491"/>
      <c r="D63" s="492"/>
      <c r="E63" s="491"/>
      <c r="F63" s="492"/>
      <c r="G63" s="189" t="str">
        <f ca="1">nhood!E12</f>
        <v/>
      </c>
    </row>
    <row r="64" spans="1:7">
      <c r="A64" s="336" t="s">
        <v>84</v>
      </c>
      <c r="B64" s="341"/>
      <c r="C64" s="491"/>
      <c r="D64" s="492"/>
      <c r="E64" s="491"/>
      <c r="F64" s="492"/>
      <c r="G64" s="333"/>
    </row>
    <row r="65" spans="1:8">
      <c r="A65" s="336" t="s">
        <v>87</v>
      </c>
      <c r="B65" s="341"/>
      <c r="C65" s="500" t="str">
        <f>IF(C66*0.1&lt;C64,"Exceed 10% Rule","")</f>
        <v/>
      </c>
      <c r="D65" s="501"/>
      <c r="E65" s="500" t="str">
        <f>IF(E66*0.1&lt;E64,"Exceed 10% Rule","")</f>
        <v/>
      </c>
      <c r="F65" s="501"/>
      <c r="G65" s="342" t="str">
        <f>IF(G66*0.1&lt;G64,"Exceed 10% Rule","")</f>
        <v/>
      </c>
    </row>
    <row r="66" spans="1:8">
      <c r="A66" s="102" t="s">
        <v>144</v>
      </c>
      <c r="B66" s="85"/>
      <c r="C66" s="509">
        <f>SUM(C58:C64)</f>
        <v>0</v>
      </c>
      <c r="D66" s="510"/>
      <c r="E66" s="509">
        <f>SUM(E58:E64)</f>
        <v>0</v>
      </c>
      <c r="F66" s="510"/>
      <c r="G66" s="344">
        <f>SUM(G58:G64)</f>
        <v>0</v>
      </c>
    </row>
    <row r="67" spans="1:8">
      <c r="A67" s="84" t="s">
        <v>614</v>
      </c>
      <c r="B67" s="85"/>
      <c r="C67" s="511">
        <f>C56-C66</f>
        <v>0</v>
      </c>
      <c r="D67" s="512"/>
      <c r="E67" s="511">
        <f>E56-E66</f>
        <v>0</v>
      </c>
      <c r="F67" s="512"/>
      <c r="G67" s="335" t="s">
        <v>112</v>
      </c>
    </row>
    <row r="68" spans="1:8">
      <c r="A68" s="123" t="str">
        <f>CONCATENATE("",$G$1-2,"/",$G$1-1," Budget Authority Amount:")</f>
        <v>2011/2012 Budget Authority Amount:</v>
      </c>
      <c r="B68" s="349">
        <f ca="1">inputOth!B89</f>
        <v>0</v>
      </c>
      <c r="C68" s="70">
        <f ca="1">inputPrYr!D26</f>
        <v>0</v>
      </c>
      <c r="D68" s="497" t="s">
        <v>38</v>
      </c>
      <c r="E68" s="498"/>
      <c r="F68" s="499"/>
      <c r="G68" s="177"/>
      <c r="H68" s="350" t="str">
        <f>IF(G66/0.95-G66&lt;G68,"Exceeds 5%","")</f>
        <v/>
      </c>
    </row>
    <row r="69" spans="1:8">
      <c r="A69" s="123"/>
      <c r="B69" s="351" t="str">
        <f>IF(C66&gt;B68,"See Tab A","")</f>
        <v/>
      </c>
      <c r="C69" s="351" t="str">
        <f>IF(E66&gt;C68,"See Tab C","")</f>
        <v/>
      </c>
      <c r="D69" s="67"/>
      <c r="E69" s="502" t="s">
        <v>39</v>
      </c>
      <c r="F69" s="503"/>
      <c r="G69" s="272">
        <f>G66+G68</f>
        <v>0</v>
      </c>
    </row>
    <row r="70" spans="1:8">
      <c r="A70" s="123"/>
      <c r="B70" s="351" t="str">
        <f>IF(C67&lt;0,"See Tab B","")</f>
        <v/>
      </c>
      <c r="C70" s="401" t="str">
        <f>IF(E67&lt;0,"See Tab D","")</f>
        <v/>
      </c>
      <c r="D70" s="67"/>
      <c r="E70" s="502" t="s">
        <v>146</v>
      </c>
      <c r="F70" s="503"/>
      <c r="G70" s="189">
        <f>IF(G69-G56&gt;0,G69-G56,0)</f>
        <v>0</v>
      </c>
    </row>
    <row r="71" spans="1:8">
      <c r="A71" s="221"/>
      <c r="B71" s="221"/>
      <c r="C71" s="221"/>
      <c r="D71" s="504" t="s">
        <v>40</v>
      </c>
      <c r="E71" s="505"/>
      <c r="F71" s="352">
        <f ca="1">inputOth!$E$77</f>
        <v>0</v>
      </c>
      <c r="G71" s="272">
        <f>ROUND(IF(F71&gt;0,(G70*F71),0),0)</f>
        <v>0</v>
      </c>
    </row>
    <row r="72" spans="1:8">
      <c r="A72" s="67"/>
      <c r="B72" s="67"/>
      <c r="C72" s="506" t="str">
        <f>CONCATENATE("Amount of  ",$G$1-1," Ad Valorem Tax")</f>
        <v>Amount of  2012 Ad Valorem Tax</v>
      </c>
      <c r="D72" s="507"/>
      <c r="E72" s="507"/>
      <c r="F72" s="508"/>
      <c r="G72" s="189">
        <f>G70+G71</f>
        <v>0</v>
      </c>
    </row>
    <row r="73" spans="1:8">
      <c r="A73" s="221" t="s">
        <v>127</v>
      </c>
      <c r="B73" s="355"/>
      <c r="C73" s="67"/>
      <c r="D73" s="67"/>
      <c r="E73" s="67"/>
      <c r="F73" s="67"/>
      <c r="G73" s="67"/>
    </row>
    <row r="74" spans="1:8">
      <c r="A74" s="119"/>
      <c r="B74" s="119"/>
    </row>
  </sheetData>
  <sheetProtection sheet="1" objects="1" scenarios="1"/>
  <mergeCells count="126">
    <mergeCell ref="E61:F61"/>
    <mergeCell ref="E62:F62"/>
    <mergeCell ref="E63:F63"/>
    <mergeCell ref="C59:D59"/>
    <mergeCell ref="C60:D60"/>
    <mergeCell ref="C61:D61"/>
    <mergeCell ref="C63:D63"/>
    <mergeCell ref="E59:F59"/>
    <mergeCell ref="E60:F60"/>
    <mergeCell ref="C58:D58"/>
    <mergeCell ref="C56:D56"/>
    <mergeCell ref="E56:F56"/>
    <mergeCell ref="E57:F57"/>
    <mergeCell ref="C57:D57"/>
    <mergeCell ref="E53:F53"/>
    <mergeCell ref="E54:F54"/>
    <mergeCell ref="E55:F55"/>
    <mergeCell ref="C49:D49"/>
    <mergeCell ref="C50:D50"/>
    <mergeCell ref="C51:D51"/>
    <mergeCell ref="C52:D52"/>
    <mergeCell ref="E51:F51"/>
    <mergeCell ref="E52:F52"/>
    <mergeCell ref="E40:F40"/>
    <mergeCell ref="C65:D65"/>
    <mergeCell ref="C55:D55"/>
    <mergeCell ref="C46:D46"/>
    <mergeCell ref="C47:D47"/>
    <mergeCell ref="C48:D48"/>
    <mergeCell ref="C53:D53"/>
    <mergeCell ref="C54:D54"/>
    <mergeCell ref="E58:F58"/>
    <mergeCell ref="C64:D64"/>
    <mergeCell ref="E48:F48"/>
    <mergeCell ref="E65:F65"/>
    <mergeCell ref="E22:F22"/>
    <mergeCell ref="C22:D22"/>
    <mergeCell ref="E34:F34"/>
    <mergeCell ref="E35:F35"/>
    <mergeCell ref="E46:F46"/>
    <mergeCell ref="E47:F47"/>
    <mergeCell ref="E45:F45"/>
    <mergeCell ref="E39:F39"/>
    <mergeCell ref="C72:F72"/>
    <mergeCell ref="C67:D67"/>
    <mergeCell ref="D68:F68"/>
    <mergeCell ref="E69:F69"/>
    <mergeCell ref="E70:F70"/>
    <mergeCell ref="E49:F49"/>
    <mergeCell ref="C62:D62"/>
    <mergeCell ref="E50:F50"/>
    <mergeCell ref="C66:D66"/>
    <mergeCell ref="E64:F64"/>
    <mergeCell ref="D36:E36"/>
    <mergeCell ref="C37:F37"/>
    <mergeCell ref="C31:D31"/>
    <mergeCell ref="E44:F44"/>
    <mergeCell ref="D71:E71"/>
    <mergeCell ref="E66:F66"/>
    <mergeCell ref="E67:F67"/>
    <mergeCell ref="E41:F41"/>
    <mergeCell ref="E42:F42"/>
    <mergeCell ref="E43:F43"/>
    <mergeCell ref="C41:D41"/>
    <mergeCell ref="C42:D42"/>
    <mergeCell ref="C43:D43"/>
    <mergeCell ref="C44:D44"/>
    <mergeCell ref="C45:D45"/>
    <mergeCell ref="E31:F31"/>
    <mergeCell ref="E32:F32"/>
    <mergeCell ref="C39:D39"/>
    <mergeCell ref="C40:D40"/>
    <mergeCell ref="D33:F33"/>
    <mergeCell ref="E13:F13"/>
    <mergeCell ref="C28:D28"/>
    <mergeCell ref="E24:F24"/>
    <mergeCell ref="E25:F25"/>
    <mergeCell ref="E26:F26"/>
    <mergeCell ref="C23:D23"/>
    <mergeCell ref="C21:D21"/>
    <mergeCell ref="E17:F17"/>
    <mergeCell ref="C17:D17"/>
    <mergeCell ref="E14:F14"/>
    <mergeCell ref="E15:F15"/>
    <mergeCell ref="E16:F16"/>
    <mergeCell ref="C14:D14"/>
    <mergeCell ref="C32:D32"/>
    <mergeCell ref="C27:D27"/>
    <mergeCell ref="C29:D29"/>
    <mergeCell ref="C30:D30"/>
    <mergeCell ref="C25:D25"/>
    <mergeCell ref="C26:D26"/>
    <mergeCell ref="E30:F30"/>
    <mergeCell ref="C13:D13"/>
    <mergeCell ref="C19:D19"/>
    <mergeCell ref="C20:D20"/>
    <mergeCell ref="C15:D15"/>
    <mergeCell ref="C16:D16"/>
    <mergeCell ref="C18:D18"/>
    <mergeCell ref="E28:F28"/>
    <mergeCell ref="E27:F27"/>
    <mergeCell ref="C24:D24"/>
    <mergeCell ref="E4:F4"/>
    <mergeCell ref="E5:F5"/>
    <mergeCell ref="E6:F6"/>
    <mergeCell ref="E7:F7"/>
    <mergeCell ref="E8:F8"/>
    <mergeCell ref="E23:F23"/>
    <mergeCell ref="E21:F21"/>
    <mergeCell ref="C8:D8"/>
    <mergeCell ref="C9:D9"/>
    <mergeCell ref="C10:D10"/>
    <mergeCell ref="C11:D11"/>
    <mergeCell ref="C12:D12"/>
    <mergeCell ref="E9:F9"/>
    <mergeCell ref="E10:F10"/>
    <mergeCell ref="E29:F29"/>
    <mergeCell ref="E11:F11"/>
    <mergeCell ref="E12:F12"/>
    <mergeCell ref="C4:D4"/>
    <mergeCell ref="C5:D5"/>
    <mergeCell ref="C6:D6"/>
    <mergeCell ref="C7:D7"/>
    <mergeCell ref="E18:F18"/>
    <mergeCell ref="E19:F19"/>
    <mergeCell ref="E20:F20"/>
  </mergeCells>
  <phoneticPr fontId="0" type="noConversion"/>
  <conditionalFormatting sqref="C64:D64">
    <cfRule type="cellIs" dxfId="117" priority="3" stopIfTrue="1" operator="greaterThan">
      <formula>$C$705*0.1</formula>
    </cfRule>
  </conditionalFormatting>
  <conditionalFormatting sqref="E64:F64">
    <cfRule type="cellIs" dxfId="116" priority="4" stopIfTrue="1" operator="greaterThan">
      <formula>$E$705*0.1</formula>
    </cfRule>
  </conditionalFormatting>
  <conditionalFormatting sqref="G64">
    <cfRule type="cellIs" dxfId="115" priority="5" stopIfTrue="1" operator="greaterThan">
      <formula>$G$66*0.1</formula>
    </cfRule>
  </conditionalFormatting>
  <conditionalFormatting sqref="C53:D53">
    <cfRule type="cellIs" dxfId="114" priority="6" stopIfTrue="1" operator="greaterThan">
      <formula>$C$55*0.1</formula>
    </cfRule>
  </conditionalFormatting>
  <conditionalFormatting sqref="E53:F53">
    <cfRule type="cellIs" dxfId="113" priority="7" stopIfTrue="1" operator="greaterThan">
      <formula>$E$55*0.1</formula>
    </cfRule>
  </conditionalFormatting>
  <conditionalFormatting sqref="G68">
    <cfRule type="cellIs" dxfId="112" priority="8" stopIfTrue="1" operator="greaterThan">
      <formula>$G$66/0.95-$G$66</formula>
    </cfRule>
  </conditionalFormatting>
  <conditionalFormatting sqref="C29:D29">
    <cfRule type="cellIs" dxfId="111" priority="9" stopIfTrue="1" operator="greaterThan">
      <formula>$C$31*0.1</formula>
    </cfRule>
  </conditionalFormatting>
  <conditionalFormatting sqref="E29:F29">
    <cfRule type="cellIs" dxfId="110" priority="10" stopIfTrue="1" operator="greaterThan">
      <formula>$E$31*0.1</formula>
    </cfRule>
  </conditionalFormatting>
  <conditionalFormatting sqref="G29">
    <cfRule type="cellIs" dxfId="109" priority="11" stopIfTrue="1" operator="greaterThan">
      <formula>$G$31*0.1</formula>
    </cfRule>
  </conditionalFormatting>
  <conditionalFormatting sqref="C18:D18">
    <cfRule type="cellIs" dxfId="108" priority="12" stopIfTrue="1" operator="greaterThan">
      <formula>$C$20*0.1</formula>
    </cfRule>
  </conditionalFormatting>
  <conditionalFormatting sqref="E18:F18">
    <cfRule type="cellIs" dxfId="107" priority="13" stopIfTrue="1" operator="greaterThan">
      <formula>$E$20*0.1</formula>
    </cfRule>
  </conditionalFormatting>
  <conditionalFormatting sqref="G33">
    <cfRule type="cellIs" dxfId="106" priority="14" stopIfTrue="1" operator="greaterThan">
      <formula>$G$31/0.95-$G$31</formula>
    </cfRule>
  </conditionalFormatting>
  <conditionalFormatting sqref="C67:D67 C32:D32">
    <cfRule type="cellIs" dxfId="105" priority="15" stopIfTrue="1" operator="lessThan">
      <formula>0</formula>
    </cfRule>
  </conditionalFormatting>
  <conditionalFormatting sqref="C66:D66">
    <cfRule type="cellIs" dxfId="104" priority="16" stopIfTrue="1" operator="greaterThan">
      <formula>$B$68</formula>
    </cfRule>
  </conditionalFormatting>
  <conditionalFormatting sqref="E66:F66">
    <cfRule type="cellIs" dxfId="103" priority="17" stopIfTrue="1" operator="greaterThan">
      <formula>$C$68</formula>
    </cfRule>
  </conditionalFormatting>
  <conditionalFormatting sqref="C31:D31">
    <cfRule type="cellIs" dxfId="102" priority="18" stopIfTrue="1" operator="greaterThan">
      <formula>$B$33</formula>
    </cfRule>
  </conditionalFormatting>
  <conditionalFormatting sqref="E31:F31">
    <cfRule type="cellIs" dxfId="101" priority="19" stopIfTrue="1" operator="greaterThan">
      <formula>$C$33</formula>
    </cfRule>
  </conditionalFormatting>
  <conditionalFormatting sqref="G18">
    <cfRule type="cellIs" dxfId="100" priority="20" stopIfTrue="1" operator="greaterThan">
      <formula>$G$20*0.1+$G$37</formula>
    </cfRule>
  </conditionalFormatting>
  <conditionalFormatting sqref="G53">
    <cfRule type="cellIs" dxfId="99" priority="21" stopIfTrue="1" operator="greaterThan">
      <formula>$G$55*0.1+$G$72</formula>
    </cfRule>
  </conditionalFormatting>
  <conditionalFormatting sqref="E32:F32">
    <cfRule type="cellIs" dxfId="98" priority="2" stopIfTrue="1" operator="lessThan">
      <formula>0</formula>
    </cfRule>
  </conditionalFormatting>
  <conditionalFormatting sqref="E67:F67">
    <cfRule type="cellIs" dxfId="97"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2.xml><?xml version="1.0" encoding="utf-8"?>
<worksheet xmlns="http://schemas.openxmlformats.org/spreadsheetml/2006/main" xmlns:r="http://schemas.openxmlformats.org/officeDocument/2006/relationships">
  <sheetPr codeName="Sheet14">
    <pageSetUpPr fitToPage="1"/>
  </sheetPr>
  <dimension ref="A1:H74"/>
  <sheetViews>
    <sheetView workbookViewId="0"/>
  </sheetViews>
  <sheetFormatPr defaultRowHeight="15.75"/>
  <cols>
    <col min="1" max="1" width="27.5976562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Paradise Township</v>
      </c>
      <c r="B1" s="76" t="s">
        <v>155</v>
      </c>
      <c r="C1" s="67"/>
      <c r="D1" s="67"/>
      <c r="E1" s="67"/>
      <c r="F1" s="67"/>
      <c r="G1" s="236">
        <f ca="1">inputPrYr!D9</f>
        <v>2013</v>
      </c>
    </row>
    <row r="2" spans="1:7">
      <c r="A2" s="165" t="s">
        <v>565</v>
      </c>
      <c r="B2" s="67"/>
      <c r="C2" s="67"/>
      <c r="D2" s="67"/>
      <c r="E2" s="217"/>
      <c r="F2" s="217"/>
      <c r="G2" s="69"/>
    </row>
    <row r="3" spans="1:7">
      <c r="A3" s="67"/>
      <c r="B3" s="357"/>
      <c r="C3" s="74"/>
      <c r="D3" s="74"/>
      <c r="E3" s="74"/>
      <c r="F3" s="74"/>
      <c r="G3" s="74"/>
    </row>
    <row r="4" spans="1:7">
      <c r="A4" s="76" t="s">
        <v>128</v>
      </c>
      <c r="B4" s="75"/>
      <c r="C4" s="487" t="s">
        <v>129</v>
      </c>
      <c r="D4" s="488"/>
      <c r="E4" s="495" t="s">
        <v>130</v>
      </c>
      <c r="F4" s="496"/>
      <c r="G4" s="78" t="s">
        <v>131</v>
      </c>
    </row>
    <row r="5" spans="1:7">
      <c r="A5" s="185">
        <f ca="1">inputPrYr!B27</f>
        <v>0</v>
      </c>
      <c r="B5" s="331"/>
      <c r="C5" s="489" t="str">
        <f ca="1">gen!C5</f>
        <v>Actual 2011</v>
      </c>
      <c r="D5" s="490"/>
      <c r="E5" s="489" t="str">
        <f ca="1">gen!E5</f>
        <v>Estimate 2012</v>
      </c>
      <c r="F5" s="490"/>
      <c r="G5" s="83" t="str">
        <f ca="1">gen!G5</f>
        <v>Year 2013</v>
      </c>
    </row>
    <row r="6" spans="1:7">
      <c r="A6" s="84" t="s">
        <v>613</v>
      </c>
      <c r="B6" s="85"/>
      <c r="C6" s="491"/>
      <c r="D6" s="492"/>
      <c r="E6" s="493">
        <f>C32</f>
        <v>0</v>
      </c>
      <c r="F6" s="494"/>
      <c r="G6" s="272">
        <f>E32</f>
        <v>0</v>
      </c>
    </row>
    <row r="7" spans="1:7">
      <c r="A7" s="84" t="s">
        <v>615</v>
      </c>
      <c r="B7" s="85"/>
      <c r="C7" s="493"/>
      <c r="D7" s="494"/>
      <c r="E7" s="493"/>
      <c r="F7" s="494"/>
      <c r="G7" s="335"/>
    </row>
    <row r="8" spans="1:7">
      <c r="A8" s="84" t="s">
        <v>134</v>
      </c>
      <c r="B8" s="85"/>
      <c r="C8" s="491"/>
      <c r="D8" s="492"/>
      <c r="E8" s="493">
        <f ca="1">inputPrYr!E27</f>
        <v>0</v>
      </c>
      <c r="F8" s="494"/>
      <c r="G8" s="335" t="s">
        <v>112</v>
      </c>
    </row>
    <row r="9" spans="1:7">
      <c r="A9" s="84" t="s">
        <v>135</v>
      </c>
      <c r="B9" s="85"/>
      <c r="C9" s="491"/>
      <c r="D9" s="492"/>
      <c r="E9" s="491"/>
      <c r="F9" s="492"/>
      <c r="G9" s="177"/>
    </row>
    <row r="10" spans="1:7">
      <c r="A10" s="84" t="s">
        <v>136</v>
      </c>
      <c r="B10" s="85"/>
      <c r="C10" s="491"/>
      <c r="D10" s="492"/>
      <c r="E10" s="491"/>
      <c r="F10" s="492"/>
      <c r="G10" s="272">
        <f ca="1">mvalloc!G19</f>
        <v>0</v>
      </c>
    </row>
    <row r="11" spans="1:7">
      <c r="A11" s="84" t="s">
        <v>137</v>
      </c>
      <c r="B11" s="85"/>
      <c r="C11" s="491"/>
      <c r="D11" s="492"/>
      <c r="E11" s="491"/>
      <c r="F11" s="492"/>
      <c r="G11" s="272">
        <f ca="1">mvalloc!I19</f>
        <v>0</v>
      </c>
    </row>
    <row r="12" spans="1:7">
      <c r="A12" s="84" t="s">
        <v>594</v>
      </c>
      <c r="B12" s="85"/>
      <c r="C12" s="491"/>
      <c r="D12" s="492"/>
      <c r="E12" s="491"/>
      <c r="F12" s="492"/>
      <c r="G12" s="272">
        <f ca="1">mvalloc!J19</f>
        <v>0</v>
      </c>
    </row>
    <row r="13" spans="1:7">
      <c r="A13" s="84" t="s">
        <v>659</v>
      </c>
      <c r="B13" s="85"/>
      <c r="C13" s="491"/>
      <c r="D13" s="492"/>
      <c r="E13" s="491"/>
      <c r="F13" s="492"/>
      <c r="G13" s="272">
        <f ca="1">mvalloc!K19</f>
        <v>0</v>
      </c>
    </row>
    <row r="14" spans="1:7">
      <c r="A14" s="339"/>
      <c r="B14" s="338"/>
      <c r="C14" s="491"/>
      <c r="D14" s="492"/>
      <c r="E14" s="491"/>
      <c r="F14" s="492"/>
      <c r="G14" s="177"/>
    </row>
    <row r="15" spans="1:7">
      <c r="A15" s="339"/>
      <c r="B15" s="338"/>
      <c r="C15" s="491"/>
      <c r="D15" s="492"/>
      <c r="E15" s="491"/>
      <c r="F15" s="492"/>
      <c r="G15" s="177"/>
    </row>
    <row r="16" spans="1:7">
      <c r="A16" s="339"/>
      <c r="B16" s="338"/>
      <c r="C16" s="491"/>
      <c r="D16" s="492"/>
      <c r="E16" s="491"/>
      <c r="F16" s="492"/>
      <c r="G16" s="177"/>
    </row>
    <row r="17" spans="1:7">
      <c r="A17" s="339" t="s">
        <v>140</v>
      </c>
      <c r="B17" s="338"/>
      <c r="C17" s="491"/>
      <c r="D17" s="492"/>
      <c r="E17" s="491"/>
      <c r="F17" s="492"/>
      <c r="G17" s="177"/>
    </row>
    <row r="18" spans="1:7">
      <c r="A18" s="340" t="s">
        <v>84</v>
      </c>
      <c r="B18" s="341"/>
      <c r="C18" s="491"/>
      <c r="D18" s="492"/>
      <c r="E18" s="491"/>
      <c r="F18" s="492"/>
      <c r="G18" s="333"/>
    </row>
    <row r="19" spans="1:7">
      <c r="A19" s="340" t="s">
        <v>85</v>
      </c>
      <c r="B19" s="341"/>
      <c r="C19" s="500" t="str">
        <f>IF(C20*0.1&lt;C18,"Exceed 10% Rule","")</f>
        <v/>
      </c>
      <c r="D19" s="501"/>
      <c r="E19" s="500" t="str">
        <f>IF(E20*0.1&lt;E18,"Exceed 10% Rule","")</f>
        <v/>
      </c>
      <c r="F19" s="501"/>
      <c r="G19" s="342" t="str">
        <f>IF(G20*0.1+G37&lt;G18,"Exceed 10% Rule","")</f>
        <v/>
      </c>
    </row>
    <row r="20" spans="1:7">
      <c r="A20" s="343" t="s">
        <v>141</v>
      </c>
      <c r="B20" s="85"/>
      <c r="C20" s="509">
        <f>SUM(C8:C18)</f>
        <v>0</v>
      </c>
      <c r="D20" s="510"/>
      <c r="E20" s="509">
        <f>SUM(E8:E18)</f>
        <v>0</v>
      </c>
      <c r="F20" s="510"/>
      <c r="G20" s="345">
        <f>SUM(G8:G18)</f>
        <v>0</v>
      </c>
    </row>
    <row r="21" spans="1:7">
      <c r="A21" s="102" t="s">
        <v>142</v>
      </c>
      <c r="B21" s="85"/>
      <c r="C21" s="509">
        <f>C20+C6</f>
        <v>0</v>
      </c>
      <c r="D21" s="510"/>
      <c r="E21" s="509">
        <f>E20+E6</f>
        <v>0</v>
      </c>
      <c r="F21" s="510"/>
      <c r="G21" s="345">
        <f>G20+G6</f>
        <v>0</v>
      </c>
    </row>
    <row r="22" spans="1:7">
      <c r="A22" s="84" t="s">
        <v>143</v>
      </c>
      <c r="B22" s="85"/>
      <c r="C22" s="493"/>
      <c r="D22" s="494"/>
      <c r="E22" s="493"/>
      <c r="F22" s="494"/>
      <c r="G22" s="272"/>
    </row>
    <row r="23" spans="1:7">
      <c r="A23" s="339" t="s">
        <v>621</v>
      </c>
      <c r="B23" s="338"/>
      <c r="C23" s="491"/>
      <c r="D23" s="492"/>
      <c r="E23" s="491"/>
      <c r="F23" s="492"/>
      <c r="G23" s="177"/>
    </row>
    <row r="24" spans="1:7">
      <c r="A24" s="339" t="s">
        <v>597</v>
      </c>
      <c r="B24" s="338"/>
      <c r="C24" s="491"/>
      <c r="D24" s="492"/>
      <c r="E24" s="491"/>
      <c r="F24" s="492"/>
      <c r="G24" s="177"/>
    </row>
    <row r="25" spans="1:7">
      <c r="A25" s="332"/>
      <c r="B25" s="338"/>
      <c r="C25" s="491"/>
      <c r="D25" s="492"/>
      <c r="E25" s="491"/>
      <c r="F25" s="492"/>
      <c r="G25" s="177"/>
    </row>
    <row r="26" spans="1:7">
      <c r="A26" s="339"/>
      <c r="B26" s="338"/>
      <c r="C26" s="491"/>
      <c r="D26" s="492"/>
      <c r="E26" s="491"/>
      <c r="F26" s="492"/>
      <c r="G26" s="177"/>
    </row>
    <row r="27" spans="1:7">
      <c r="A27" s="339"/>
      <c r="B27" s="338"/>
      <c r="C27" s="491"/>
      <c r="D27" s="492"/>
      <c r="E27" s="491"/>
      <c r="F27" s="492"/>
      <c r="G27" s="177"/>
    </row>
    <row r="28" spans="1:7">
      <c r="A28" s="336" t="s">
        <v>86</v>
      </c>
      <c r="B28" s="341"/>
      <c r="C28" s="491"/>
      <c r="D28" s="492"/>
      <c r="E28" s="491"/>
      <c r="F28" s="492"/>
      <c r="G28" s="189" t="str">
        <f ca="1">nhood!E13</f>
        <v/>
      </c>
    </row>
    <row r="29" spans="1:7">
      <c r="A29" s="336" t="s">
        <v>84</v>
      </c>
      <c r="B29" s="341"/>
      <c r="C29" s="491"/>
      <c r="D29" s="492"/>
      <c r="E29" s="491"/>
      <c r="F29" s="492"/>
      <c r="G29" s="333"/>
    </row>
    <row r="30" spans="1:7">
      <c r="A30" s="336" t="s">
        <v>87</v>
      </c>
      <c r="B30" s="341"/>
      <c r="C30" s="500" t="str">
        <f>IF(C31*0.1&lt;C29,"Exceed 10% Rule","")</f>
        <v/>
      </c>
      <c r="D30" s="501"/>
      <c r="E30" s="500" t="str">
        <f>IF(E31*0.1&lt;E29,"Exceed 10% Rule","")</f>
        <v/>
      </c>
      <c r="F30" s="501"/>
      <c r="G30" s="342" t="str">
        <f>IF(G31*0.1&lt;G29,"Exceed 10% Rule","")</f>
        <v/>
      </c>
    </row>
    <row r="31" spans="1:7">
      <c r="A31" s="102" t="s">
        <v>144</v>
      </c>
      <c r="B31" s="85"/>
      <c r="C31" s="509">
        <f>SUM(C23:C29)</f>
        <v>0</v>
      </c>
      <c r="D31" s="510"/>
      <c r="E31" s="509">
        <f>SUM(E23:E29)</f>
        <v>0</v>
      </c>
      <c r="F31" s="510"/>
      <c r="G31" s="344">
        <f>SUM(G23:G29)</f>
        <v>0</v>
      </c>
    </row>
    <row r="32" spans="1:7">
      <c r="A32" s="84" t="s">
        <v>614</v>
      </c>
      <c r="B32" s="85"/>
      <c r="C32" s="511">
        <f>C21-C31</f>
        <v>0</v>
      </c>
      <c r="D32" s="512"/>
      <c r="E32" s="511">
        <f>E21-E31</f>
        <v>0</v>
      </c>
      <c r="F32" s="512"/>
      <c r="G32" s="335" t="s">
        <v>112</v>
      </c>
    </row>
    <row r="33" spans="1:8">
      <c r="A33" s="123" t="str">
        <f>CONCATENATE("",$G$1-2,"/",$G$1-1," Budget Authority Amount:")</f>
        <v>2011/2012 Budget Authority Amount:</v>
      </c>
      <c r="B33" s="349">
        <f ca="1">inputOth!B90</f>
        <v>0</v>
      </c>
      <c r="C33" s="70">
        <f ca="1">inputPrYr!D27</f>
        <v>0</v>
      </c>
      <c r="D33" s="497" t="s">
        <v>38</v>
      </c>
      <c r="E33" s="498"/>
      <c r="F33" s="499"/>
      <c r="G33" s="177"/>
      <c r="H33" s="350" t="str">
        <f>IF(G31/0.95-G31&lt;G33,"Exceeds 5%","")</f>
        <v/>
      </c>
    </row>
    <row r="34" spans="1:8">
      <c r="A34" s="123"/>
      <c r="B34" s="351" t="str">
        <f>IF(C31&gt;B33,"See Tab A","")</f>
        <v/>
      </c>
      <c r="C34" s="351" t="str">
        <f>IF(E31&gt;C33,"See Tab C","")</f>
        <v/>
      </c>
      <c r="D34" s="67"/>
      <c r="E34" s="502" t="s">
        <v>39</v>
      </c>
      <c r="F34" s="503"/>
      <c r="G34" s="272">
        <f>G31+G33</f>
        <v>0</v>
      </c>
    </row>
    <row r="35" spans="1:8">
      <c r="A35" s="123"/>
      <c r="B35" s="351" t="str">
        <f>IF(C32&lt;0,"See Tab B","")</f>
        <v/>
      </c>
      <c r="C35" s="401" t="str">
        <f>IF(E32&lt;0,"See Tab D","")</f>
        <v/>
      </c>
      <c r="D35" s="67"/>
      <c r="E35" s="502" t="s">
        <v>146</v>
      </c>
      <c r="F35" s="503"/>
      <c r="G35" s="189">
        <f>IF(G34-G21&gt;0,G34-G21,0)</f>
        <v>0</v>
      </c>
    </row>
    <row r="36" spans="1:8">
      <c r="A36" s="221"/>
      <c r="B36" s="221"/>
      <c r="C36" s="221"/>
      <c r="D36" s="504" t="s">
        <v>40</v>
      </c>
      <c r="E36" s="505"/>
      <c r="F36" s="352">
        <f ca="1">inputOth!$E$77</f>
        <v>0</v>
      </c>
      <c r="G36" s="272">
        <f>ROUND(IF(F36&gt;0,(G35*F36),0),0)</f>
        <v>0</v>
      </c>
    </row>
    <row r="37" spans="1:8">
      <c r="A37" s="67"/>
      <c r="B37" s="67"/>
      <c r="C37" s="506" t="str">
        <f>CONCATENATE("Amount of  ",$G$1-1," Ad Valorem Tax")</f>
        <v>Amount of  2012 Ad Valorem Tax</v>
      </c>
      <c r="D37" s="507"/>
      <c r="E37" s="507"/>
      <c r="F37" s="508"/>
      <c r="G37" s="189">
        <f>G35+G36</f>
        <v>0</v>
      </c>
    </row>
    <row r="38" spans="1:8">
      <c r="A38" s="76" t="s">
        <v>128</v>
      </c>
      <c r="B38" s="357"/>
      <c r="C38" s="74"/>
      <c r="D38" s="74"/>
      <c r="E38" s="74"/>
      <c r="F38" s="74"/>
      <c r="G38" s="74"/>
    </row>
    <row r="39" spans="1:8">
      <c r="A39" s="67"/>
      <c r="B39" s="75"/>
      <c r="C39" s="487" t="s">
        <v>129</v>
      </c>
      <c r="D39" s="488"/>
      <c r="E39" s="495" t="s">
        <v>130</v>
      </c>
      <c r="F39" s="496"/>
      <c r="G39" s="78" t="s">
        <v>131</v>
      </c>
    </row>
    <row r="40" spans="1:8">
      <c r="A40" s="251">
        <f ca="1">inputPrYr!B28</f>
        <v>0</v>
      </c>
      <c r="B40" s="331"/>
      <c r="C40" s="489" t="str">
        <f>C5</f>
        <v>Actual 2011</v>
      </c>
      <c r="D40" s="490"/>
      <c r="E40" s="489" t="str">
        <f>E5</f>
        <v>Estimate 2012</v>
      </c>
      <c r="F40" s="490"/>
      <c r="G40" s="83" t="str">
        <f>G5</f>
        <v>Year 2013</v>
      </c>
    </row>
    <row r="41" spans="1:8">
      <c r="A41" s="84" t="s">
        <v>613</v>
      </c>
      <c r="B41" s="85"/>
      <c r="C41" s="491"/>
      <c r="D41" s="492"/>
      <c r="E41" s="493">
        <f>C67</f>
        <v>0</v>
      </c>
      <c r="F41" s="494"/>
      <c r="G41" s="272">
        <f>E67</f>
        <v>0</v>
      </c>
    </row>
    <row r="42" spans="1:8">
      <c r="A42" s="84" t="s">
        <v>615</v>
      </c>
      <c r="B42" s="85"/>
      <c r="C42" s="493"/>
      <c r="D42" s="494"/>
      <c r="E42" s="493"/>
      <c r="F42" s="494"/>
      <c r="G42" s="335"/>
    </row>
    <row r="43" spans="1:8">
      <c r="A43" s="84" t="s">
        <v>134</v>
      </c>
      <c r="B43" s="85"/>
      <c r="C43" s="491"/>
      <c r="D43" s="492"/>
      <c r="E43" s="493">
        <f ca="1">inputPrYr!E28</f>
        <v>0</v>
      </c>
      <c r="F43" s="494"/>
      <c r="G43" s="335" t="s">
        <v>112</v>
      </c>
    </row>
    <row r="44" spans="1:8">
      <c r="A44" s="84" t="s">
        <v>135</v>
      </c>
      <c r="B44" s="85"/>
      <c r="C44" s="491"/>
      <c r="D44" s="492"/>
      <c r="E44" s="491"/>
      <c r="F44" s="492"/>
      <c r="G44" s="177"/>
    </row>
    <row r="45" spans="1:8">
      <c r="A45" s="84" t="s">
        <v>136</v>
      </c>
      <c r="B45" s="85"/>
      <c r="C45" s="491"/>
      <c r="D45" s="492"/>
      <c r="E45" s="491"/>
      <c r="F45" s="492"/>
      <c r="G45" s="272">
        <f ca="1">mvalloc!G20</f>
        <v>0</v>
      </c>
    </row>
    <row r="46" spans="1:8">
      <c r="A46" s="84" t="s">
        <v>137</v>
      </c>
      <c r="B46" s="85"/>
      <c r="C46" s="491"/>
      <c r="D46" s="492"/>
      <c r="E46" s="491"/>
      <c r="F46" s="492"/>
      <c r="G46" s="272">
        <f ca="1">mvalloc!I20</f>
        <v>0</v>
      </c>
    </row>
    <row r="47" spans="1:8">
      <c r="A47" s="84" t="s">
        <v>594</v>
      </c>
      <c r="B47" s="85"/>
      <c r="C47" s="491"/>
      <c r="D47" s="492"/>
      <c r="E47" s="491"/>
      <c r="F47" s="492"/>
      <c r="G47" s="272">
        <f ca="1">mvalloc!J20</f>
        <v>0</v>
      </c>
    </row>
    <row r="48" spans="1:8">
      <c r="A48" s="84" t="s">
        <v>659</v>
      </c>
      <c r="B48" s="85"/>
      <c r="C48" s="491"/>
      <c r="D48" s="492"/>
      <c r="E48" s="491"/>
      <c r="F48" s="492"/>
      <c r="G48" s="272">
        <f ca="1">mvalloc!K20</f>
        <v>0</v>
      </c>
    </row>
    <row r="49" spans="1:7">
      <c r="A49" s="337"/>
      <c r="B49" s="338"/>
      <c r="C49" s="491"/>
      <c r="D49" s="492"/>
      <c r="E49" s="491"/>
      <c r="F49" s="492"/>
      <c r="G49" s="177"/>
    </row>
    <row r="50" spans="1:7">
      <c r="A50" s="337"/>
      <c r="B50" s="338"/>
      <c r="C50" s="491"/>
      <c r="D50" s="492"/>
      <c r="E50" s="491"/>
      <c r="F50" s="492"/>
      <c r="G50" s="177"/>
    </row>
    <row r="51" spans="1:7">
      <c r="A51" s="339"/>
      <c r="B51" s="338"/>
      <c r="C51" s="491"/>
      <c r="D51" s="492"/>
      <c r="E51" s="491"/>
      <c r="F51" s="492"/>
      <c r="G51" s="177"/>
    </row>
    <row r="52" spans="1:7">
      <c r="A52" s="339" t="s">
        <v>140</v>
      </c>
      <c r="B52" s="338"/>
      <c r="C52" s="491"/>
      <c r="D52" s="492"/>
      <c r="E52" s="491"/>
      <c r="F52" s="492"/>
      <c r="G52" s="177"/>
    </row>
    <row r="53" spans="1:7">
      <c r="A53" s="340" t="s">
        <v>84</v>
      </c>
      <c r="B53" s="341"/>
      <c r="C53" s="491"/>
      <c r="D53" s="492"/>
      <c r="E53" s="491"/>
      <c r="F53" s="492"/>
      <c r="G53" s="333"/>
    </row>
    <row r="54" spans="1:7">
      <c r="A54" s="340" t="s">
        <v>85</v>
      </c>
      <c r="B54" s="341"/>
      <c r="C54" s="500" t="str">
        <f>IF(C55*0.1&lt;C53,"Exceed 10% Rule","")</f>
        <v/>
      </c>
      <c r="D54" s="501"/>
      <c r="E54" s="500" t="str">
        <f>IF(E55*0.1&lt;E53,"Exceed 10% Rule","")</f>
        <v/>
      </c>
      <c r="F54" s="501"/>
      <c r="G54" s="342" t="str">
        <f>IF(G55*0.1+G72&lt;G53,"Exceed 10% Rule","")</f>
        <v/>
      </c>
    </row>
    <row r="55" spans="1:7">
      <c r="A55" s="343" t="s">
        <v>141</v>
      </c>
      <c r="B55" s="85"/>
      <c r="C55" s="509">
        <f>SUM(C43:C53)</f>
        <v>0</v>
      </c>
      <c r="D55" s="510"/>
      <c r="E55" s="509">
        <f>SUM(E43:E53)</f>
        <v>0</v>
      </c>
      <c r="F55" s="510"/>
      <c r="G55" s="345">
        <f>SUM(G43:G53)</f>
        <v>0</v>
      </c>
    </row>
    <row r="56" spans="1:7">
      <c r="A56" s="102" t="s">
        <v>142</v>
      </c>
      <c r="B56" s="85"/>
      <c r="C56" s="509">
        <f>C55+C41</f>
        <v>0</v>
      </c>
      <c r="D56" s="510"/>
      <c r="E56" s="509">
        <f>E55+E41</f>
        <v>0</v>
      </c>
      <c r="F56" s="510"/>
      <c r="G56" s="345">
        <f>G55+G41</f>
        <v>0</v>
      </c>
    </row>
    <row r="57" spans="1:7">
      <c r="A57" s="84" t="s">
        <v>143</v>
      </c>
      <c r="B57" s="85"/>
      <c r="C57" s="493"/>
      <c r="D57" s="494"/>
      <c r="E57" s="493"/>
      <c r="F57" s="494"/>
      <c r="G57" s="272"/>
    </row>
    <row r="58" spans="1:7">
      <c r="A58" s="339" t="s">
        <v>621</v>
      </c>
      <c r="B58" s="338"/>
      <c r="C58" s="491"/>
      <c r="D58" s="492"/>
      <c r="E58" s="491"/>
      <c r="F58" s="492"/>
      <c r="G58" s="177"/>
    </row>
    <row r="59" spans="1:7">
      <c r="A59" s="339" t="s">
        <v>597</v>
      </c>
      <c r="B59" s="338"/>
      <c r="C59" s="491"/>
      <c r="D59" s="492"/>
      <c r="E59" s="491"/>
      <c r="F59" s="492"/>
      <c r="G59" s="177"/>
    </row>
    <row r="60" spans="1:7">
      <c r="A60" s="339"/>
      <c r="B60" s="338"/>
      <c r="C60" s="491"/>
      <c r="D60" s="492"/>
      <c r="E60" s="491"/>
      <c r="F60" s="492"/>
      <c r="G60" s="177"/>
    </row>
    <row r="61" spans="1:7">
      <c r="A61" s="339"/>
      <c r="B61" s="338"/>
      <c r="C61" s="491"/>
      <c r="D61" s="492"/>
      <c r="E61" s="491"/>
      <c r="F61" s="492"/>
      <c r="G61" s="177"/>
    </row>
    <row r="62" spans="1:7">
      <c r="A62" s="339"/>
      <c r="B62" s="338"/>
      <c r="C62" s="491"/>
      <c r="D62" s="492"/>
      <c r="E62" s="491"/>
      <c r="F62" s="492"/>
      <c r="G62" s="177"/>
    </row>
    <row r="63" spans="1:7">
      <c r="A63" s="336" t="s">
        <v>86</v>
      </c>
      <c r="B63" s="341"/>
      <c r="C63" s="491"/>
      <c r="D63" s="492"/>
      <c r="E63" s="491"/>
      <c r="F63" s="492"/>
      <c r="G63" s="189" t="str">
        <f ca="1">nhood!E14</f>
        <v/>
      </c>
    </row>
    <row r="64" spans="1:7">
      <c r="A64" s="336" t="s">
        <v>84</v>
      </c>
      <c r="B64" s="341"/>
      <c r="C64" s="491"/>
      <c r="D64" s="492"/>
      <c r="E64" s="491"/>
      <c r="F64" s="492"/>
      <c r="G64" s="333"/>
    </row>
    <row r="65" spans="1:8">
      <c r="A65" s="336" t="s">
        <v>87</v>
      </c>
      <c r="B65" s="341"/>
      <c r="C65" s="500" t="str">
        <f>IF(C66*0.1&lt;C64,"Exceed 10% Rule","")</f>
        <v/>
      </c>
      <c r="D65" s="501"/>
      <c r="E65" s="500" t="str">
        <f>IF(E66*0.1&lt;E64,"Exceed 10% Rule","")</f>
        <v/>
      </c>
      <c r="F65" s="501"/>
      <c r="G65" s="342" t="str">
        <f>IF(G66*0.1&lt;G64,"Exceed 10% Rule","")</f>
        <v/>
      </c>
    </row>
    <row r="66" spans="1:8">
      <c r="A66" s="102" t="s">
        <v>144</v>
      </c>
      <c r="B66" s="85"/>
      <c r="C66" s="509">
        <f>SUM(C58:C64)</f>
        <v>0</v>
      </c>
      <c r="D66" s="510"/>
      <c r="E66" s="509">
        <f>SUM(E58:E64)</f>
        <v>0</v>
      </c>
      <c r="F66" s="510"/>
      <c r="G66" s="344">
        <f>SUM(G58:G64)</f>
        <v>0</v>
      </c>
    </row>
    <row r="67" spans="1:8">
      <c r="A67" s="84" t="s">
        <v>614</v>
      </c>
      <c r="B67" s="85"/>
      <c r="C67" s="511">
        <f>C56-C66</f>
        <v>0</v>
      </c>
      <c r="D67" s="512"/>
      <c r="E67" s="511">
        <f>E56-E66</f>
        <v>0</v>
      </c>
      <c r="F67" s="512"/>
      <c r="G67" s="335" t="s">
        <v>112</v>
      </c>
    </row>
    <row r="68" spans="1:8">
      <c r="A68" s="123" t="str">
        <f>CONCATENATE("",$G$1-2,"/",$G$1-1," Budget Authority Amount:")</f>
        <v>2011/2012 Budget Authority Amount:</v>
      </c>
      <c r="B68" s="349">
        <f ca="1">inputOth!B91</f>
        <v>0</v>
      </c>
      <c r="C68" s="70">
        <f ca="1">inputPrYr!D28</f>
        <v>0</v>
      </c>
      <c r="D68" s="497" t="s">
        <v>38</v>
      </c>
      <c r="E68" s="498"/>
      <c r="F68" s="499"/>
      <c r="G68" s="177"/>
      <c r="H68" s="350" t="str">
        <f>IF(G66/0.95-G66&lt;G68,"Exceeds 5%","")</f>
        <v/>
      </c>
    </row>
    <row r="69" spans="1:8">
      <c r="A69" s="123"/>
      <c r="B69" s="351" t="str">
        <f>IF(C66&gt;B68,"See Tab A","")</f>
        <v/>
      </c>
      <c r="C69" s="351" t="str">
        <f>IF(E66&gt;C68,"See Tab C","")</f>
        <v/>
      </c>
      <c r="D69" s="67"/>
      <c r="E69" s="502" t="s">
        <v>39</v>
      </c>
      <c r="F69" s="503"/>
      <c r="G69" s="272">
        <f>G66+G68</f>
        <v>0</v>
      </c>
    </row>
    <row r="70" spans="1:8">
      <c r="A70" s="123"/>
      <c r="B70" s="351" t="str">
        <f>IF(C67&lt;0,"See Tab B","")</f>
        <v/>
      </c>
      <c r="C70" s="401" t="str">
        <f>IF(E67&lt;0,"See Tab D","")</f>
        <v/>
      </c>
      <c r="D70" s="67"/>
      <c r="E70" s="502" t="s">
        <v>146</v>
      </c>
      <c r="F70" s="503"/>
      <c r="G70" s="189">
        <f>IF(G69-G56&gt;0,G69-G56,0)</f>
        <v>0</v>
      </c>
    </row>
    <row r="71" spans="1:8">
      <c r="A71" s="221"/>
      <c r="B71" s="221"/>
      <c r="C71" s="221"/>
      <c r="D71" s="504" t="s">
        <v>40</v>
      </c>
      <c r="E71" s="505"/>
      <c r="F71" s="352">
        <f ca="1">inputOth!$E$77</f>
        <v>0</v>
      </c>
      <c r="G71" s="272">
        <f>ROUND(IF(F71&gt;0,(G70*F71),0),0)</f>
        <v>0</v>
      </c>
    </row>
    <row r="72" spans="1:8">
      <c r="A72" s="67"/>
      <c r="B72" s="67"/>
      <c r="C72" s="506" t="str">
        <f>CONCATENATE("Amount of  ",$G$1-1," Ad Valorem Tax")</f>
        <v>Amount of  2012 Ad Valorem Tax</v>
      </c>
      <c r="D72" s="507"/>
      <c r="E72" s="507"/>
      <c r="F72" s="508"/>
      <c r="G72" s="189">
        <f>G70+G71</f>
        <v>0</v>
      </c>
    </row>
    <row r="73" spans="1:8">
      <c r="A73" s="221" t="s">
        <v>127</v>
      </c>
      <c r="B73" s="222"/>
      <c r="C73" s="67"/>
      <c r="D73" s="67"/>
      <c r="E73" s="67"/>
      <c r="F73" s="67"/>
      <c r="G73" s="67"/>
    </row>
    <row r="74" spans="1:8">
      <c r="A74" s="119"/>
      <c r="B74" s="119"/>
    </row>
  </sheetData>
  <sheetProtection sheet="1" objects="1" scenarios="1"/>
  <mergeCells count="126">
    <mergeCell ref="E53:F53"/>
    <mergeCell ref="E54:F54"/>
    <mergeCell ref="E55:F55"/>
    <mergeCell ref="C63:D63"/>
    <mergeCell ref="E58:F58"/>
    <mergeCell ref="E61:F61"/>
    <mergeCell ref="E62:F62"/>
    <mergeCell ref="C59:D59"/>
    <mergeCell ref="C60:D60"/>
    <mergeCell ref="C61:D61"/>
    <mergeCell ref="C57:D57"/>
    <mergeCell ref="D71:E71"/>
    <mergeCell ref="C72:F72"/>
    <mergeCell ref="C8:D8"/>
    <mergeCell ref="C9:D9"/>
    <mergeCell ref="C10:D10"/>
    <mergeCell ref="C11:D11"/>
    <mergeCell ref="C12:D12"/>
    <mergeCell ref="C13:D13"/>
    <mergeCell ref="C14:D14"/>
    <mergeCell ref="C15:D15"/>
    <mergeCell ref="D68:F68"/>
    <mergeCell ref="E69:F69"/>
    <mergeCell ref="E70:F70"/>
    <mergeCell ref="C43:D43"/>
    <mergeCell ref="C44:D44"/>
    <mergeCell ref="C45:D45"/>
    <mergeCell ref="C46:D46"/>
    <mergeCell ref="E59:F59"/>
    <mergeCell ref="E60:F60"/>
    <mergeCell ref="E63:F63"/>
    <mergeCell ref="C28:D28"/>
    <mergeCell ref="E23:F23"/>
    <mergeCell ref="E24:F24"/>
    <mergeCell ref="E25:F25"/>
    <mergeCell ref="C53:D53"/>
    <mergeCell ref="E44:F44"/>
    <mergeCell ref="E45:F45"/>
    <mergeCell ref="C62:D62"/>
    <mergeCell ref="E50:F50"/>
    <mergeCell ref="E20:F20"/>
    <mergeCell ref="E21:F21"/>
    <mergeCell ref="E22:F22"/>
    <mergeCell ref="C20:D20"/>
    <mergeCell ref="C21:D21"/>
    <mergeCell ref="C22:D22"/>
    <mergeCell ref="E28:F28"/>
    <mergeCell ref="C29:D29"/>
    <mergeCell ref="E29:F29"/>
    <mergeCell ref="D33:F33"/>
    <mergeCell ref="E34:F34"/>
    <mergeCell ref="E35:F35"/>
    <mergeCell ref="C58:D58"/>
    <mergeCell ref="C56:D56"/>
    <mergeCell ref="C25:D25"/>
    <mergeCell ref="C26:D26"/>
    <mergeCell ref="C23:D23"/>
    <mergeCell ref="C24:D24"/>
    <mergeCell ref="C37:F37"/>
    <mergeCell ref="C27:D27"/>
    <mergeCell ref="E26:F26"/>
    <mergeCell ref="E27:F27"/>
    <mergeCell ref="E48:F48"/>
    <mergeCell ref="E49:F49"/>
    <mergeCell ref="C49:D49"/>
    <mergeCell ref="C50:D50"/>
    <mergeCell ref="C51:D51"/>
    <mergeCell ref="C52:D52"/>
    <mergeCell ref="E51:F51"/>
    <mergeCell ref="E52:F52"/>
    <mergeCell ref="E43:F43"/>
    <mergeCell ref="C47:D47"/>
    <mergeCell ref="C48:D48"/>
    <mergeCell ref="E64:F64"/>
    <mergeCell ref="C54:D54"/>
    <mergeCell ref="C55:D55"/>
    <mergeCell ref="E56:F56"/>
    <mergeCell ref="E57:F57"/>
    <mergeCell ref="E46:F46"/>
    <mergeCell ref="E47:F47"/>
    <mergeCell ref="E65:F65"/>
    <mergeCell ref="E66:F66"/>
    <mergeCell ref="E67:F67"/>
    <mergeCell ref="C64:D64"/>
    <mergeCell ref="C65:D65"/>
    <mergeCell ref="C66:D66"/>
    <mergeCell ref="C67:D67"/>
    <mergeCell ref="C39:D39"/>
    <mergeCell ref="C40:D40"/>
    <mergeCell ref="E39:F39"/>
    <mergeCell ref="E40:F40"/>
    <mergeCell ref="C42:D42"/>
    <mergeCell ref="C41:D41"/>
    <mergeCell ref="E41:F41"/>
    <mergeCell ref="E42:F42"/>
    <mergeCell ref="D36:E36"/>
    <mergeCell ref="C31:D31"/>
    <mergeCell ref="C32:D32"/>
    <mergeCell ref="E30:F30"/>
    <mergeCell ref="E31:F31"/>
    <mergeCell ref="E32:F32"/>
    <mergeCell ref="C30:D30"/>
    <mergeCell ref="C19:D19"/>
    <mergeCell ref="E19:F19"/>
    <mergeCell ref="E18:F18"/>
    <mergeCell ref="C16:D16"/>
    <mergeCell ref="C17:D17"/>
    <mergeCell ref="C18:D18"/>
    <mergeCell ref="E11:F11"/>
    <mergeCell ref="C4:D4"/>
    <mergeCell ref="C5:D5"/>
    <mergeCell ref="C6:D6"/>
    <mergeCell ref="C7:D7"/>
    <mergeCell ref="E8:F8"/>
    <mergeCell ref="E4:F4"/>
    <mergeCell ref="E5:F5"/>
    <mergeCell ref="E6:F6"/>
    <mergeCell ref="E7:F7"/>
    <mergeCell ref="E16:F16"/>
    <mergeCell ref="E17:F17"/>
    <mergeCell ref="E12:F12"/>
    <mergeCell ref="E13:F13"/>
    <mergeCell ref="E14:F14"/>
    <mergeCell ref="E15:F15"/>
    <mergeCell ref="E9:F9"/>
    <mergeCell ref="E10:F10"/>
  </mergeCells>
  <phoneticPr fontId="0" type="noConversion"/>
  <conditionalFormatting sqref="C64:D64">
    <cfRule type="cellIs" dxfId="96" priority="3" stopIfTrue="1" operator="greaterThan">
      <formula>$C$66*0.1</formula>
    </cfRule>
  </conditionalFormatting>
  <conditionalFormatting sqref="E64:F64">
    <cfRule type="cellIs" dxfId="95" priority="4" stopIfTrue="1" operator="greaterThan">
      <formula>$E$66*0.1</formula>
    </cfRule>
  </conditionalFormatting>
  <conditionalFormatting sqref="G64">
    <cfRule type="cellIs" dxfId="94" priority="5" stopIfTrue="1" operator="greaterThan">
      <formula>$G$66*0.1</formula>
    </cfRule>
  </conditionalFormatting>
  <conditionalFormatting sqref="C53:D53">
    <cfRule type="cellIs" dxfId="93" priority="6" stopIfTrue="1" operator="greaterThan">
      <formula>$C$55*0.1</formula>
    </cfRule>
  </conditionalFormatting>
  <conditionalFormatting sqref="E53:F53">
    <cfRule type="cellIs" dxfId="92" priority="7" stopIfTrue="1" operator="greaterThan">
      <formula>$E$55*0.1</formula>
    </cfRule>
  </conditionalFormatting>
  <conditionalFormatting sqref="G68">
    <cfRule type="cellIs" dxfId="91" priority="8" stopIfTrue="1" operator="greaterThan">
      <formula>$G$66/0.95-$G$66</formula>
    </cfRule>
  </conditionalFormatting>
  <conditionalFormatting sqref="C29:D29">
    <cfRule type="cellIs" dxfId="90" priority="9" stopIfTrue="1" operator="greaterThan">
      <formula>$C$31*0.1</formula>
    </cfRule>
  </conditionalFormatting>
  <conditionalFormatting sqref="E29:F29">
    <cfRule type="cellIs" dxfId="89" priority="10" stopIfTrue="1" operator="greaterThan">
      <formula>$E$31*0.1</formula>
    </cfRule>
  </conditionalFormatting>
  <conditionalFormatting sqref="G29">
    <cfRule type="cellIs" dxfId="88" priority="11" stopIfTrue="1" operator="greaterThan">
      <formula>$G$31*0.1</formula>
    </cfRule>
  </conditionalFormatting>
  <conditionalFormatting sqref="C18:D18">
    <cfRule type="cellIs" dxfId="87" priority="12" stopIfTrue="1" operator="greaterThan">
      <formula>$C$20*0.1</formula>
    </cfRule>
  </conditionalFormatting>
  <conditionalFormatting sqref="E18:F18">
    <cfRule type="cellIs" dxfId="86" priority="13" stopIfTrue="1" operator="greaterThan">
      <formula>$E$20*0.1</formula>
    </cfRule>
  </conditionalFormatting>
  <conditionalFormatting sqref="G33">
    <cfRule type="cellIs" dxfId="85" priority="14" stopIfTrue="1" operator="greaterThan">
      <formula>$G$31/0.95-$G$31</formula>
    </cfRule>
  </conditionalFormatting>
  <conditionalFormatting sqref="C67:D67 C32:D32">
    <cfRule type="cellIs" dxfId="84" priority="15" stopIfTrue="1" operator="lessThan">
      <formula>0</formula>
    </cfRule>
  </conditionalFormatting>
  <conditionalFormatting sqref="C66:D66">
    <cfRule type="cellIs" dxfId="83" priority="16" stopIfTrue="1" operator="greaterThan">
      <formula>$B$68</formula>
    </cfRule>
  </conditionalFormatting>
  <conditionalFormatting sqref="E66:F66">
    <cfRule type="cellIs" dxfId="82" priority="17" stopIfTrue="1" operator="greaterThan">
      <formula>$C$68</formula>
    </cfRule>
  </conditionalFormatting>
  <conditionalFormatting sqref="C31:D31">
    <cfRule type="cellIs" dxfId="81" priority="18" stopIfTrue="1" operator="greaterThan">
      <formula>$B$33</formula>
    </cfRule>
  </conditionalFormatting>
  <conditionalFormatting sqref="E31:F31">
    <cfRule type="cellIs" dxfId="80" priority="19" stopIfTrue="1" operator="greaterThan">
      <formula>$C$33</formula>
    </cfRule>
  </conditionalFormatting>
  <conditionalFormatting sqref="G18">
    <cfRule type="cellIs" dxfId="79" priority="20" stopIfTrue="1" operator="greaterThan">
      <formula>$G$20*0.1+$G$37</formula>
    </cfRule>
  </conditionalFormatting>
  <conditionalFormatting sqref="G53">
    <cfRule type="cellIs" dxfId="78" priority="21" stopIfTrue="1" operator="greaterThan">
      <formula>$G$55*0.1+$G$72</formula>
    </cfRule>
  </conditionalFormatting>
  <conditionalFormatting sqref="E32:F32">
    <cfRule type="cellIs" dxfId="77" priority="2" stopIfTrue="1" operator="lessThan">
      <formula>0</formula>
    </cfRule>
  </conditionalFormatting>
  <conditionalFormatting sqref="E67:F67">
    <cfRule type="cellIs" dxfId="76"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3.xml><?xml version="1.0" encoding="utf-8"?>
<worksheet xmlns="http://schemas.openxmlformats.org/spreadsheetml/2006/main" xmlns:r="http://schemas.openxmlformats.org/officeDocument/2006/relationships">
  <sheetPr codeName="Sheet15">
    <pageSetUpPr fitToPage="1"/>
  </sheetPr>
  <dimension ref="A1:H74"/>
  <sheetViews>
    <sheetView workbookViewId="0"/>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Paradise Township</v>
      </c>
      <c r="B1" s="76" t="s">
        <v>155</v>
      </c>
      <c r="C1" s="67"/>
      <c r="D1" s="67"/>
      <c r="E1" s="67"/>
      <c r="F1" s="67"/>
      <c r="G1" s="236">
        <f ca="1">inputPrYr!D9</f>
        <v>2013</v>
      </c>
    </row>
    <row r="2" spans="1:7">
      <c r="A2" s="165" t="s">
        <v>565</v>
      </c>
      <c r="B2" s="67"/>
      <c r="C2" s="67"/>
      <c r="D2" s="67"/>
      <c r="E2" s="217"/>
      <c r="F2" s="217"/>
      <c r="G2" s="69"/>
    </row>
    <row r="3" spans="1:7">
      <c r="A3" s="67"/>
      <c r="B3" s="357"/>
      <c r="C3" s="74"/>
      <c r="D3" s="74"/>
      <c r="E3" s="74"/>
      <c r="F3" s="74"/>
      <c r="G3" s="74"/>
    </row>
    <row r="4" spans="1:7">
      <c r="A4" s="76" t="s">
        <v>128</v>
      </c>
      <c r="B4" s="75"/>
      <c r="C4" s="487" t="s">
        <v>129</v>
      </c>
      <c r="D4" s="488"/>
      <c r="E4" s="495" t="s">
        <v>130</v>
      </c>
      <c r="F4" s="496"/>
      <c r="G4" s="78" t="s">
        <v>131</v>
      </c>
    </row>
    <row r="5" spans="1:7">
      <c r="A5" s="185">
        <f ca="1">inputPrYr!B29</f>
        <v>0</v>
      </c>
      <c r="B5" s="331"/>
      <c r="C5" s="489" t="str">
        <f ca="1">gen!C5</f>
        <v>Actual 2011</v>
      </c>
      <c r="D5" s="490"/>
      <c r="E5" s="489" t="str">
        <f ca="1">gen!E5</f>
        <v>Estimate 2012</v>
      </c>
      <c r="F5" s="490"/>
      <c r="G5" s="83" t="str">
        <f ca="1">gen!G5</f>
        <v>Year 2013</v>
      </c>
    </row>
    <row r="6" spans="1:7">
      <c r="A6" s="84" t="s">
        <v>613</v>
      </c>
      <c r="B6" s="85"/>
      <c r="C6" s="491"/>
      <c r="D6" s="492"/>
      <c r="E6" s="493">
        <f>C32</f>
        <v>0</v>
      </c>
      <c r="F6" s="494"/>
      <c r="G6" s="272">
        <f>E32</f>
        <v>0</v>
      </c>
    </row>
    <row r="7" spans="1:7">
      <c r="A7" s="84" t="s">
        <v>615</v>
      </c>
      <c r="B7" s="85"/>
      <c r="C7" s="493"/>
      <c r="D7" s="494"/>
      <c r="E7" s="493"/>
      <c r="F7" s="494"/>
      <c r="G7" s="335"/>
    </row>
    <row r="8" spans="1:7">
      <c r="A8" s="84" t="s">
        <v>134</v>
      </c>
      <c r="B8" s="85"/>
      <c r="C8" s="491"/>
      <c r="D8" s="492"/>
      <c r="E8" s="493">
        <f ca="1">inputPrYr!E29</f>
        <v>0</v>
      </c>
      <c r="F8" s="494"/>
      <c r="G8" s="335" t="s">
        <v>112</v>
      </c>
    </row>
    <row r="9" spans="1:7">
      <c r="A9" s="84" t="s">
        <v>135</v>
      </c>
      <c r="B9" s="85"/>
      <c r="C9" s="491"/>
      <c r="D9" s="492"/>
      <c r="E9" s="491"/>
      <c r="F9" s="492"/>
      <c r="G9" s="177"/>
    </row>
    <row r="10" spans="1:7">
      <c r="A10" s="84" t="s">
        <v>136</v>
      </c>
      <c r="B10" s="85"/>
      <c r="C10" s="491"/>
      <c r="D10" s="492"/>
      <c r="E10" s="491"/>
      <c r="F10" s="492"/>
      <c r="G10" s="272">
        <f ca="1">mvalloc!G21</f>
        <v>0</v>
      </c>
    </row>
    <row r="11" spans="1:7">
      <c r="A11" s="84" t="s">
        <v>137</v>
      </c>
      <c r="B11" s="85"/>
      <c r="C11" s="491"/>
      <c r="D11" s="492"/>
      <c r="E11" s="491"/>
      <c r="F11" s="492"/>
      <c r="G11" s="272">
        <f ca="1">mvalloc!I21</f>
        <v>0</v>
      </c>
    </row>
    <row r="12" spans="1:7">
      <c r="A12" s="84" t="s">
        <v>594</v>
      </c>
      <c r="B12" s="85"/>
      <c r="C12" s="491"/>
      <c r="D12" s="492"/>
      <c r="E12" s="491"/>
      <c r="F12" s="492"/>
      <c r="G12" s="272">
        <f ca="1">mvalloc!J21</f>
        <v>0</v>
      </c>
    </row>
    <row r="13" spans="1:7">
      <c r="A13" s="84" t="s">
        <v>659</v>
      </c>
      <c r="B13" s="85"/>
      <c r="C13" s="491"/>
      <c r="D13" s="492"/>
      <c r="E13" s="491"/>
      <c r="F13" s="492"/>
      <c r="G13" s="272">
        <f ca="1">mvalloc!K21</f>
        <v>0</v>
      </c>
    </row>
    <row r="14" spans="1:7">
      <c r="A14" s="337"/>
      <c r="B14" s="338"/>
      <c r="C14" s="491"/>
      <c r="D14" s="492"/>
      <c r="E14" s="491"/>
      <c r="F14" s="492"/>
      <c r="G14" s="177"/>
    </row>
    <row r="15" spans="1:7">
      <c r="A15" s="337"/>
      <c r="B15" s="338"/>
      <c r="C15" s="491"/>
      <c r="D15" s="492"/>
      <c r="E15" s="491"/>
      <c r="F15" s="492"/>
      <c r="G15" s="177"/>
    </row>
    <row r="16" spans="1:7">
      <c r="A16" s="339"/>
      <c r="B16" s="338"/>
      <c r="C16" s="491"/>
      <c r="D16" s="492"/>
      <c r="E16" s="491"/>
      <c r="F16" s="492"/>
      <c r="G16" s="177"/>
    </row>
    <row r="17" spans="1:7">
      <c r="A17" s="339" t="s">
        <v>140</v>
      </c>
      <c r="B17" s="338"/>
      <c r="C17" s="491"/>
      <c r="D17" s="492"/>
      <c r="E17" s="491"/>
      <c r="F17" s="492"/>
      <c r="G17" s="177"/>
    </row>
    <row r="18" spans="1:7">
      <c r="A18" s="340" t="s">
        <v>84</v>
      </c>
      <c r="B18" s="341"/>
      <c r="C18" s="491"/>
      <c r="D18" s="492"/>
      <c r="E18" s="491"/>
      <c r="F18" s="492"/>
      <c r="G18" s="333"/>
    </row>
    <row r="19" spans="1:7">
      <c r="A19" s="340" t="s">
        <v>85</v>
      </c>
      <c r="B19" s="341"/>
      <c r="C19" s="500" t="str">
        <f>IF(C20*0.1&lt;C18,"Exceed 10% Rule","")</f>
        <v/>
      </c>
      <c r="D19" s="501"/>
      <c r="E19" s="500" t="str">
        <f>IF(E20*0.1&lt;E18,"Exceed 10% Rule","")</f>
        <v/>
      </c>
      <c r="F19" s="501"/>
      <c r="G19" s="342" t="str">
        <f>IF(G20*0.1+G37&lt;G18,"Exceed 10% Rule","")</f>
        <v/>
      </c>
    </row>
    <row r="20" spans="1:7">
      <c r="A20" s="343" t="s">
        <v>141</v>
      </c>
      <c r="B20" s="85"/>
      <c r="C20" s="509">
        <f>SUM(C8:C18)</f>
        <v>0</v>
      </c>
      <c r="D20" s="510"/>
      <c r="E20" s="509">
        <f>SUM(E8:E18)</f>
        <v>0</v>
      </c>
      <c r="F20" s="510"/>
      <c r="G20" s="345">
        <f>SUM(G8:G18)</f>
        <v>0</v>
      </c>
    </row>
    <row r="21" spans="1:7">
      <c r="A21" s="102" t="s">
        <v>142</v>
      </c>
      <c r="B21" s="85"/>
      <c r="C21" s="509">
        <f>C20+C6</f>
        <v>0</v>
      </c>
      <c r="D21" s="510"/>
      <c r="E21" s="509">
        <f>E20+E6</f>
        <v>0</v>
      </c>
      <c r="F21" s="510"/>
      <c r="G21" s="345">
        <f>G20+G6</f>
        <v>0</v>
      </c>
    </row>
    <row r="22" spans="1:7">
      <c r="A22" s="84" t="s">
        <v>143</v>
      </c>
      <c r="B22" s="85"/>
      <c r="C22" s="493"/>
      <c r="D22" s="494"/>
      <c r="E22" s="493"/>
      <c r="F22" s="494"/>
      <c r="G22" s="272"/>
    </row>
    <row r="23" spans="1:7">
      <c r="A23" s="339" t="s">
        <v>621</v>
      </c>
      <c r="B23" s="338"/>
      <c r="C23" s="491"/>
      <c r="D23" s="492"/>
      <c r="E23" s="491"/>
      <c r="F23" s="492"/>
      <c r="G23" s="177"/>
    </row>
    <row r="24" spans="1:7">
      <c r="A24" s="339" t="s">
        <v>597</v>
      </c>
      <c r="B24" s="338"/>
      <c r="C24" s="491"/>
      <c r="D24" s="492"/>
      <c r="E24" s="491"/>
      <c r="F24" s="492"/>
      <c r="G24" s="177"/>
    </row>
    <row r="25" spans="1:7">
      <c r="A25" s="332"/>
      <c r="B25" s="338"/>
      <c r="C25" s="491"/>
      <c r="D25" s="492"/>
      <c r="E25" s="491"/>
      <c r="F25" s="492"/>
      <c r="G25" s="177"/>
    </row>
    <row r="26" spans="1:7">
      <c r="A26" s="339"/>
      <c r="B26" s="338"/>
      <c r="C26" s="491"/>
      <c r="D26" s="492"/>
      <c r="E26" s="491"/>
      <c r="F26" s="492"/>
      <c r="G26" s="177"/>
    </row>
    <row r="27" spans="1:7">
      <c r="A27" s="339"/>
      <c r="B27" s="338"/>
      <c r="C27" s="491"/>
      <c r="D27" s="492"/>
      <c r="E27" s="491"/>
      <c r="F27" s="492"/>
      <c r="G27" s="177"/>
    </row>
    <row r="28" spans="1:7">
      <c r="A28" s="336" t="s">
        <v>86</v>
      </c>
      <c r="B28" s="341"/>
      <c r="C28" s="491"/>
      <c r="D28" s="492"/>
      <c r="E28" s="491"/>
      <c r="F28" s="492"/>
      <c r="G28" s="189" t="str">
        <f ca="1">nhood!E15</f>
        <v/>
      </c>
    </row>
    <row r="29" spans="1:7">
      <c r="A29" s="336" t="s">
        <v>84</v>
      </c>
      <c r="B29" s="341"/>
      <c r="C29" s="491"/>
      <c r="D29" s="492"/>
      <c r="E29" s="491"/>
      <c r="F29" s="492"/>
      <c r="G29" s="333"/>
    </row>
    <row r="30" spans="1:7">
      <c r="A30" s="336" t="s">
        <v>87</v>
      </c>
      <c r="B30" s="341"/>
      <c r="C30" s="500" t="str">
        <f>IF(C31*0.1&lt;C29,"Exceed 10% Rule","")</f>
        <v/>
      </c>
      <c r="D30" s="501"/>
      <c r="E30" s="500" t="str">
        <f>IF(E31*0.1&lt;E29,"Exceed 10% Rule","")</f>
        <v/>
      </c>
      <c r="F30" s="501"/>
      <c r="G30" s="342" t="str">
        <f>IF(G31*0.1&lt;G29,"Exceed 10% Rule","")</f>
        <v/>
      </c>
    </row>
    <row r="31" spans="1:7">
      <c r="A31" s="102" t="s">
        <v>144</v>
      </c>
      <c r="B31" s="85"/>
      <c r="C31" s="509">
        <f>SUM(C23:C29)</f>
        <v>0</v>
      </c>
      <c r="D31" s="510"/>
      <c r="E31" s="509">
        <f>SUM(E23:E29)</f>
        <v>0</v>
      </c>
      <c r="F31" s="510"/>
      <c r="G31" s="344">
        <f>SUM(G23:G29)</f>
        <v>0</v>
      </c>
    </row>
    <row r="32" spans="1:7">
      <c r="A32" s="84" t="s">
        <v>614</v>
      </c>
      <c r="B32" s="85"/>
      <c r="C32" s="511">
        <f>C21-C31</f>
        <v>0</v>
      </c>
      <c r="D32" s="512"/>
      <c r="E32" s="511">
        <f>E21-E31</f>
        <v>0</v>
      </c>
      <c r="F32" s="512"/>
      <c r="G32" s="335" t="s">
        <v>112</v>
      </c>
    </row>
    <row r="33" spans="1:8">
      <c r="A33" s="123" t="str">
        <f>CONCATENATE("",$G$1-2,"/",$G$1-1," Budget Authority Amount:")</f>
        <v>2011/2012 Budget Authority Amount:</v>
      </c>
      <c r="B33" s="349">
        <f ca="1">inputOth!B92</f>
        <v>0</v>
      </c>
      <c r="C33" s="70">
        <f ca="1">inputPrYr!D29</f>
        <v>0</v>
      </c>
      <c r="D33" s="497" t="s">
        <v>38</v>
      </c>
      <c r="E33" s="498"/>
      <c r="F33" s="499"/>
      <c r="G33" s="177"/>
      <c r="H33" s="350" t="str">
        <f>IF(G31/0.95-G31&lt;G33,"Exceeds 5%","")</f>
        <v/>
      </c>
    </row>
    <row r="34" spans="1:8">
      <c r="A34" s="123"/>
      <c r="B34" s="351" t="str">
        <f>IF(C31&gt;B33,"See Tab A","")</f>
        <v/>
      </c>
      <c r="C34" s="351" t="str">
        <f>IF(E31&gt;C33,"See Tab C","")</f>
        <v/>
      </c>
      <c r="D34" s="67"/>
      <c r="E34" s="502" t="s">
        <v>39</v>
      </c>
      <c r="F34" s="503"/>
      <c r="G34" s="272">
        <f>G31+G33</f>
        <v>0</v>
      </c>
    </row>
    <row r="35" spans="1:8">
      <c r="A35" s="123"/>
      <c r="B35" s="351" t="str">
        <f>IF(C32&lt;0,"See Tab B","")</f>
        <v/>
      </c>
      <c r="C35" s="401" t="str">
        <f>IF(E32&lt;0,"See Tab D","")</f>
        <v/>
      </c>
      <c r="D35" s="67"/>
      <c r="E35" s="502" t="s">
        <v>146</v>
      </c>
      <c r="F35" s="503"/>
      <c r="G35" s="189">
        <f>IF(G34-G21&gt;0,G34-G21,0)</f>
        <v>0</v>
      </c>
    </row>
    <row r="36" spans="1:8">
      <c r="A36" s="221"/>
      <c r="B36" s="221"/>
      <c r="C36" s="221"/>
      <c r="D36" s="504" t="s">
        <v>40</v>
      </c>
      <c r="E36" s="505"/>
      <c r="F36" s="352">
        <f ca="1">inputOth!$E$77</f>
        <v>0</v>
      </c>
      <c r="G36" s="272">
        <f>ROUND(IF(F36&gt;0,(G35*F36),0),0)</f>
        <v>0</v>
      </c>
    </row>
    <row r="37" spans="1:8">
      <c r="A37" s="67"/>
      <c r="B37" s="67"/>
      <c r="C37" s="506" t="str">
        <f>CONCATENATE("Amount of  ",$G$1-1," Ad Valorem Tax")</f>
        <v>Amount of  2012 Ad Valorem Tax</v>
      </c>
      <c r="D37" s="507"/>
      <c r="E37" s="507"/>
      <c r="F37" s="508"/>
      <c r="G37" s="189">
        <f>G35+G36</f>
        <v>0</v>
      </c>
    </row>
    <row r="38" spans="1:8">
      <c r="A38" s="76" t="s">
        <v>128</v>
      </c>
      <c r="B38" s="357"/>
      <c r="C38" s="74"/>
      <c r="D38" s="74"/>
      <c r="E38" s="74"/>
      <c r="F38" s="74"/>
      <c r="G38" s="74"/>
    </row>
    <row r="39" spans="1:8">
      <c r="A39" s="67"/>
      <c r="B39" s="75"/>
      <c r="C39" s="487" t="s">
        <v>129</v>
      </c>
      <c r="D39" s="488"/>
      <c r="E39" s="495" t="s">
        <v>130</v>
      </c>
      <c r="F39" s="496"/>
      <c r="G39" s="78" t="s">
        <v>131</v>
      </c>
    </row>
    <row r="40" spans="1:8">
      <c r="A40" s="251">
        <f ca="1">inputPrYr!B31</f>
        <v>0</v>
      </c>
      <c r="B40" s="331"/>
      <c r="C40" s="489" t="str">
        <f>C5</f>
        <v>Actual 2011</v>
      </c>
      <c r="D40" s="490"/>
      <c r="E40" s="489" t="str">
        <f>E5</f>
        <v>Estimate 2012</v>
      </c>
      <c r="F40" s="490"/>
      <c r="G40" s="83" t="str">
        <f>G5</f>
        <v>Year 2013</v>
      </c>
    </row>
    <row r="41" spans="1:8">
      <c r="A41" s="84" t="s">
        <v>613</v>
      </c>
      <c r="B41" s="85"/>
      <c r="C41" s="491"/>
      <c r="D41" s="492"/>
      <c r="E41" s="493">
        <f>C67</f>
        <v>0</v>
      </c>
      <c r="F41" s="494"/>
      <c r="G41" s="272">
        <f>E67</f>
        <v>0</v>
      </c>
    </row>
    <row r="42" spans="1:8">
      <c r="A42" s="84" t="s">
        <v>615</v>
      </c>
      <c r="B42" s="85"/>
      <c r="C42" s="493"/>
      <c r="D42" s="494"/>
      <c r="E42" s="493"/>
      <c r="F42" s="494"/>
      <c r="G42" s="335"/>
    </row>
    <row r="43" spans="1:8">
      <c r="A43" s="84" t="s">
        <v>134</v>
      </c>
      <c r="B43" s="85"/>
      <c r="C43" s="491"/>
      <c r="D43" s="492"/>
      <c r="E43" s="493">
        <f ca="1">inputPrYr!E31</f>
        <v>0</v>
      </c>
      <c r="F43" s="494"/>
      <c r="G43" s="335" t="s">
        <v>112</v>
      </c>
    </row>
    <row r="44" spans="1:8">
      <c r="A44" s="84" t="s">
        <v>135</v>
      </c>
      <c r="B44" s="85"/>
      <c r="C44" s="491"/>
      <c r="D44" s="492"/>
      <c r="E44" s="491"/>
      <c r="F44" s="492"/>
      <c r="G44" s="177"/>
    </row>
    <row r="45" spans="1:8">
      <c r="A45" s="84" t="s">
        <v>136</v>
      </c>
      <c r="B45" s="85"/>
      <c r="C45" s="491"/>
      <c r="D45" s="492"/>
      <c r="E45" s="491"/>
      <c r="F45" s="492"/>
      <c r="G45" s="272">
        <f ca="1">mvalloc!G22</f>
        <v>0</v>
      </c>
    </row>
    <row r="46" spans="1:8">
      <c r="A46" s="84" t="s">
        <v>137</v>
      </c>
      <c r="B46" s="85"/>
      <c r="C46" s="491"/>
      <c r="D46" s="492"/>
      <c r="E46" s="491"/>
      <c r="F46" s="492"/>
      <c r="G46" s="272">
        <f ca="1">mvalloc!I22</f>
        <v>0</v>
      </c>
    </row>
    <row r="47" spans="1:8">
      <c r="A47" s="84" t="s">
        <v>594</v>
      </c>
      <c r="B47" s="85"/>
      <c r="C47" s="491"/>
      <c r="D47" s="492"/>
      <c r="E47" s="491"/>
      <c r="F47" s="492"/>
      <c r="G47" s="272">
        <f ca="1">mvalloc!J22</f>
        <v>0</v>
      </c>
    </row>
    <row r="48" spans="1:8">
      <c r="A48" s="84" t="s">
        <v>659</v>
      </c>
      <c r="B48" s="85"/>
      <c r="C48" s="491"/>
      <c r="D48" s="492"/>
      <c r="E48" s="491"/>
      <c r="F48" s="492"/>
      <c r="G48" s="272">
        <f ca="1">mvalloc!K22</f>
        <v>0</v>
      </c>
    </row>
    <row r="49" spans="1:7">
      <c r="A49" s="337"/>
      <c r="B49" s="338"/>
      <c r="C49" s="491"/>
      <c r="D49" s="492"/>
      <c r="E49" s="491"/>
      <c r="F49" s="492"/>
      <c r="G49" s="177"/>
    </row>
    <row r="50" spans="1:7">
      <c r="A50" s="337"/>
      <c r="B50" s="338"/>
      <c r="C50" s="491"/>
      <c r="D50" s="492"/>
      <c r="E50" s="491"/>
      <c r="F50" s="492"/>
      <c r="G50" s="177"/>
    </row>
    <row r="51" spans="1:7">
      <c r="A51" s="339"/>
      <c r="B51" s="338"/>
      <c r="C51" s="491"/>
      <c r="D51" s="492"/>
      <c r="E51" s="491"/>
      <c r="F51" s="492"/>
      <c r="G51" s="177"/>
    </row>
    <row r="52" spans="1:7">
      <c r="A52" s="339" t="s">
        <v>140</v>
      </c>
      <c r="B52" s="338"/>
      <c r="C52" s="491"/>
      <c r="D52" s="492"/>
      <c r="E52" s="491"/>
      <c r="F52" s="492"/>
      <c r="G52" s="177"/>
    </row>
    <row r="53" spans="1:7">
      <c r="A53" s="340" t="s">
        <v>84</v>
      </c>
      <c r="B53" s="341"/>
      <c r="C53" s="491"/>
      <c r="D53" s="492"/>
      <c r="E53" s="491"/>
      <c r="F53" s="492"/>
      <c r="G53" s="333"/>
    </row>
    <row r="54" spans="1:7">
      <c r="A54" s="340" t="s">
        <v>85</v>
      </c>
      <c r="B54" s="341"/>
      <c r="C54" s="500" t="str">
        <f>IF(C55*0.1&lt;C53,"Exceed 10% Rule","")</f>
        <v/>
      </c>
      <c r="D54" s="501"/>
      <c r="E54" s="500" t="str">
        <f>IF(E55*0.1&lt;E53,"Exceed 10% Rule","")</f>
        <v/>
      </c>
      <c r="F54" s="501"/>
      <c r="G54" s="342" t="str">
        <f>IF(G55*0.1+G72&lt;G53,"Exceed 10% Rule","")</f>
        <v/>
      </c>
    </row>
    <row r="55" spans="1:7">
      <c r="A55" s="343" t="s">
        <v>141</v>
      </c>
      <c r="B55" s="85"/>
      <c r="C55" s="509">
        <f>SUM(C43:C53)</f>
        <v>0</v>
      </c>
      <c r="D55" s="510"/>
      <c r="E55" s="509">
        <f>SUM(E43:E53)</f>
        <v>0</v>
      </c>
      <c r="F55" s="510"/>
      <c r="G55" s="345">
        <f>SUM(G43:G53)</f>
        <v>0</v>
      </c>
    </row>
    <row r="56" spans="1:7">
      <c r="A56" s="102" t="s">
        <v>142</v>
      </c>
      <c r="B56" s="85"/>
      <c r="C56" s="509">
        <f>C55+C41</f>
        <v>0</v>
      </c>
      <c r="D56" s="510"/>
      <c r="E56" s="509">
        <f>E55+E41</f>
        <v>0</v>
      </c>
      <c r="F56" s="510"/>
      <c r="G56" s="345">
        <f>G55+G41</f>
        <v>0</v>
      </c>
    </row>
    <row r="57" spans="1:7">
      <c r="A57" s="84" t="s">
        <v>143</v>
      </c>
      <c r="B57" s="85"/>
      <c r="C57" s="493"/>
      <c r="D57" s="494"/>
      <c r="E57" s="493"/>
      <c r="F57" s="494"/>
      <c r="G57" s="272"/>
    </row>
    <row r="58" spans="1:7">
      <c r="A58" s="339" t="s">
        <v>621</v>
      </c>
      <c r="B58" s="338"/>
      <c r="C58" s="491"/>
      <c r="D58" s="492"/>
      <c r="E58" s="491"/>
      <c r="F58" s="492"/>
      <c r="G58" s="177"/>
    </row>
    <row r="59" spans="1:7">
      <c r="A59" s="339" t="s">
        <v>597</v>
      </c>
      <c r="B59" s="338"/>
      <c r="C59" s="491"/>
      <c r="D59" s="492"/>
      <c r="E59" s="491"/>
      <c r="F59" s="492"/>
      <c r="G59" s="177"/>
    </row>
    <row r="60" spans="1:7">
      <c r="A60" s="339"/>
      <c r="B60" s="338"/>
      <c r="C60" s="491"/>
      <c r="D60" s="492"/>
      <c r="E60" s="491"/>
      <c r="F60" s="492"/>
      <c r="G60" s="177"/>
    </row>
    <row r="61" spans="1:7">
      <c r="A61" s="339"/>
      <c r="B61" s="338"/>
      <c r="C61" s="491"/>
      <c r="D61" s="492"/>
      <c r="E61" s="491"/>
      <c r="F61" s="492"/>
      <c r="G61" s="177"/>
    </row>
    <row r="62" spans="1:7">
      <c r="A62" s="339"/>
      <c r="B62" s="338"/>
      <c r="C62" s="491"/>
      <c r="D62" s="492"/>
      <c r="E62" s="491"/>
      <c r="F62" s="492"/>
      <c r="G62" s="177"/>
    </row>
    <row r="63" spans="1:7">
      <c r="A63" s="336" t="s">
        <v>86</v>
      </c>
      <c r="B63" s="341"/>
      <c r="C63" s="491"/>
      <c r="D63" s="492"/>
      <c r="E63" s="491"/>
      <c r="F63" s="492"/>
      <c r="G63" s="189" t="str">
        <f ca="1">nhood!E16</f>
        <v/>
      </c>
    </row>
    <row r="64" spans="1:7">
      <c r="A64" s="336" t="s">
        <v>84</v>
      </c>
      <c r="B64" s="341"/>
      <c r="C64" s="491"/>
      <c r="D64" s="492"/>
      <c r="E64" s="491"/>
      <c r="F64" s="492"/>
      <c r="G64" s="333"/>
    </row>
    <row r="65" spans="1:8">
      <c r="A65" s="336" t="s">
        <v>87</v>
      </c>
      <c r="B65" s="341"/>
      <c r="C65" s="500" t="str">
        <f>IF(C66*0.1&lt;C64,"Exceed 10% Rule","")</f>
        <v/>
      </c>
      <c r="D65" s="501"/>
      <c r="E65" s="500" t="str">
        <f>IF(E66*0.1&lt;E64,"Exceed 10% Rule","")</f>
        <v/>
      </c>
      <c r="F65" s="501"/>
      <c r="G65" s="342" t="str">
        <f>IF(G66*0.1&lt;G64,"Exceed 10% Rule","")</f>
        <v/>
      </c>
    </row>
    <row r="66" spans="1:8">
      <c r="A66" s="102" t="s">
        <v>144</v>
      </c>
      <c r="B66" s="85"/>
      <c r="C66" s="509">
        <f>SUM(C58:C64)</f>
        <v>0</v>
      </c>
      <c r="D66" s="510"/>
      <c r="E66" s="509">
        <f>SUM(E58:E64)</f>
        <v>0</v>
      </c>
      <c r="F66" s="510"/>
      <c r="G66" s="344">
        <f>SUM(G58:G64)</f>
        <v>0</v>
      </c>
    </row>
    <row r="67" spans="1:8">
      <c r="A67" s="84" t="s">
        <v>614</v>
      </c>
      <c r="B67" s="85"/>
      <c r="C67" s="511">
        <f>C56-C66</f>
        <v>0</v>
      </c>
      <c r="D67" s="512"/>
      <c r="E67" s="511">
        <f>E56-E66</f>
        <v>0</v>
      </c>
      <c r="F67" s="512"/>
      <c r="G67" s="335" t="s">
        <v>112</v>
      </c>
    </row>
    <row r="68" spans="1:8">
      <c r="A68" s="123" t="str">
        <f>CONCATENATE("",$G$1-2,"/",$G$1-1," Budget Authority Amount:")</f>
        <v>2011/2012 Budget Authority Amount:</v>
      </c>
      <c r="B68" s="349">
        <f ca="1">inputOth!B93</f>
        <v>0</v>
      </c>
      <c r="C68" s="70">
        <f ca="1">inputPrYr!D31</f>
        <v>0</v>
      </c>
      <c r="D68" s="497" t="s">
        <v>38</v>
      </c>
      <c r="E68" s="498"/>
      <c r="F68" s="499"/>
      <c r="G68" s="177"/>
      <c r="H68" s="350" t="str">
        <f>IF(G66/0.95-G66&lt;G68,"Exceeds 5%","")</f>
        <v/>
      </c>
    </row>
    <row r="69" spans="1:8">
      <c r="A69" s="123"/>
      <c r="B69" s="351" t="str">
        <f>IF(C66&gt;B68,"See Tab A","")</f>
        <v/>
      </c>
      <c r="C69" s="351" t="str">
        <f>IF(E66&gt;C68,"See Tab C","")</f>
        <v/>
      </c>
      <c r="D69" s="67"/>
      <c r="E69" s="502" t="s">
        <v>39</v>
      </c>
      <c r="F69" s="503"/>
      <c r="G69" s="272">
        <f>G66+G68</f>
        <v>0</v>
      </c>
    </row>
    <row r="70" spans="1:8">
      <c r="A70" s="123"/>
      <c r="B70" s="351" t="str">
        <f>IF(C67&lt;0,"See Tab B","")</f>
        <v/>
      </c>
      <c r="C70" s="401" t="str">
        <f>IF(E67&lt;0,"See Tab D","")</f>
        <v/>
      </c>
      <c r="D70" s="67"/>
      <c r="E70" s="502" t="s">
        <v>146</v>
      </c>
      <c r="F70" s="503"/>
      <c r="G70" s="189">
        <f>IF(G69-G56&gt;0,G69-G56,0)</f>
        <v>0</v>
      </c>
    </row>
    <row r="71" spans="1:8">
      <c r="A71" s="221"/>
      <c r="B71" s="221"/>
      <c r="C71" s="221"/>
      <c r="D71" s="504" t="s">
        <v>40</v>
      </c>
      <c r="E71" s="505"/>
      <c r="F71" s="352">
        <f ca="1">inputOth!$E$77</f>
        <v>0</v>
      </c>
      <c r="G71" s="272">
        <f>ROUND(IF(F71&gt;0,(G70*F71),0),0)</f>
        <v>0</v>
      </c>
    </row>
    <row r="72" spans="1:8">
      <c r="A72" s="67"/>
      <c r="B72" s="67"/>
      <c r="C72" s="506" t="str">
        <f>CONCATENATE("Amount of  ",$G$1-1," Ad Valorem Tax")</f>
        <v>Amount of  2012 Ad Valorem Tax</v>
      </c>
      <c r="D72" s="507"/>
      <c r="E72" s="507"/>
      <c r="F72" s="508"/>
      <c r="G72" s="189">
        <f>G70+G71</f>
        <v>0</v>
      </c>
    </row>
    <row r="73" spans="1:8">
      <c r="A73" s="221" t="s">
        <v>127</v>
      </c>
      <c r="B73" s="222"/>
      <c r="C73" s="67"/>
      <c r="D73" s="67"/>
      <c r="E73" s="67"/>
      <c r="F73" s="67"/>
      <c r="G73" s="67"/>
    </row>
    <row r="74" spans="1:8">
      <c r="A74" s="119"/>
      <c r="B74" s="119"/>
    </row>
  </sheetData>
  <sheetProtection sheet="1" objects="1" scenarios="1"/>
  <mergeCells count="126">
    <mergeCell ref="C59:D59"/>
    <mergeCell ref="C60:D60"/>
    <mergeCell ref="C61:D61"/>
    <mergeCell ref="C39:D39"/>
    <mergeCell ref="C40:D40"/>
    <mergeCell ref="C41:D41"/>
    <mergeCell ref="C42:D42"/>
    <mergeCell ref="C58:D58"/>
    <mergeCell ref="C50:D50"/>
    <mergeCell ref="C51:D51"/>
    <mergeCell ref="C52:D52"/>
    <mergeCell ref="E62:F62"/>
    <mergeCell ref="E63:F63"/>
    <mergeCell ref="E45:F45"/>
    <mergeCell ref="E39:F39"/>
    <mergeCell ref="E40:F40"/>
    <mergeCell ref="E41:F41"/>
    <mergeCell ref="E42:F42"/>
    <mergeCell ref="E48:F48"/>
    <mergeCell ref="E49:F49"/>
    <mergeCell ref="E50:F50"/>
    <mergeCell ref="E55:F55"/>
    <mergeCell ref="E56:F56"/>
    <mergeCell ref="E57:F57"/>
    <mergeCell ref="C56:D56"/>
    <mergeCell ref="C57:D57"/>
    <mergeCell ref="C63:D63"/>
    <mergeCell ref="E58:F58"/>
    <mergeCell ref="E59:F59"/>
    <mergeCell ref="E60:F60"/>
    <mergeCell ref="E61:F61"/>
    <mergeCell ref="C22:D22"/>
    <mergeCell ref="E22:F22"/>
    <mergeCell ref="C27:D27"/>
    <mergeCell ref="C28:D28"/>
    <mergeCell ref="E46:F46"/>
    <mergeCell ref="E28:F28"/>
    <mergeCell ref="C32:D32"/>
    <mergeCell ref="E29:F29"/>
    <mergeCell ref="E44:F44"/>
    <mergeCell ref="C24:D24"/>
    <mergeCell ref="C25:D25"/>
    <mergeCell ref="C26:D26"/>
    <mergeCell ref="C23:D23"/>
    <mergeCell ref="E27:F27"/>
    <mergeCell ref="D68:F68"/>
    <mergeCell ref="E52:F52"/>
    <mergeCell ref="C62:D62"/>
    <mergeCell ref="C49:D49"/>
    <mergeCell ref="C55:D55"/>
    <mergeCell ref="C54:D54"/>
    <mergeCell ref="C29:D29"/>
    <mergeCell ref="C30:D30"/>
    <mergeCell ref="C31:D31"/>
    <mergeCell ref="C37:F37"/>
    <mergeCell ref="D33:F33"/>
    <mergeCell ref="E34:F34"/>
    <mergeCell ref="E35:F35"/>
    <mergeCell ref="D36:E36"/>
    <mergeCell ref="E51:F51"/>
    <mergeCell ref="C15:D15"/>
    <mergeCell ref="E43:F43"/>
    <mergeCell ref="C67:D67"/>
    <mergeCell ref="E64:F64"/>
    <mergeCell ref="E65:F65"/>
    <mergeCell ref="E66:F66"/>
    <mergeCell ref="E67:F67"/>
    <mergeCell ref="C65:D65"/>
    <mergeCell ref="C66:D66"/>
    <mergeCell ref="C53:D53"/>
    <mergeCell ref="C64:D64"/>
    <mergeCell ref="D71:E71"/>
    <mergeCell ref="C72:F72"/>
    <mergeCell ref="C8:D8"/>
    <mergeCell ref="C9:D9"/>
    <mergeCell ref="C10:D10"/>
    <mergeCell ref="C11:D11"/>
    <mergeCell ref="C12:D12"/>
    <mergeCell ref="C13:D13"/>
    <mergeCell ref="C14:D14"/>
    <mergeCell ref="E32:F32"/>
    <mergeCell ref="E69:F69"/>
    <mergeCell ref="E70:F70"/>
    <mergeCell ref="C43:D43"/>
    <mergeCell ref="C44:D44"/>
    <mergeCell ref="C45:D45"/>
    <mergeCell ref="C46:D46"/>
    <mergeCell ref="C47:D47"/>
    <mergeCell ref="C48:D48"/>
    <mergeCell ref="E47:F47"/>
    <mergeCell ref="E10:F10"/>
    <mergeCell ref="E53:F53"/>
    <mergeCell ref="E54:F54"/>
    <mergeCell ref="E4:F4"/>
    <mergeCell ref="E5:F5"/>
    <mergeCell ref="E6:F6"/>
    <mergeCell ref="E7:F7"/>
    <mergeCell ref="E13:F13"/>
    <mergeCell ref="E25:F25"/>
    <mergeCell ref="E26:F26"/>
    <mergeCell ref="C16:D16"/>
    <mergeCell ref="C17:D17"/>
    <mergeCell ref="C4:D4"/>
    <mergeCell ref="C5:D5"/>
    <mergeCell ref="E11:F11"/>
    <mergeCell ref="E12:F12"/>
    <mergeCell ref="E8:F8"/>
    <mergeCell ref="C7:D7"/>
    <mergeCell ref="C6:D6"/>
    <mergeCell ref="E9:F9"/>
    <mergeCell ref="E30:F30"/>
    <mergeCell ref="E31:F31"/>
    <mergeCell ref="E21:F21"/>
    <mergeCell ref="E20:F20"/>
    <mergeCell ref="E23:F23"/>
    <mergeCell ref="E24:F24"/>
    <mergeCell ref="E14:F14"/>
    <mergeCell ref="E15:F15"/>
    <mergeCell ref="C21:D21"/>
    <mergeCell ref="E17:F17"/>
    <mergeCell ref="C18:D18"/>
    <mergeCell ref="C19:D19"/>
    <mergeCell ref="E18:F18"/>
    <mergeCell ref="E19:F19"/>
    <mergeCell ref="C20:D20"/>
    <mergeCell ref="E16:F16"/>
  </mergeCells>
  <phoneticPr fontId="0" type="noConversion"/>
  <conditionalFormatting sqref="C64:D64">
    <cfRule type="cellIs" dxfId="75" priority="3" stopIfTrue="1" operator="greaterThan">
      <formula>$C$66*0.1</formula>
    </cfRule>
  </conditionalFormatting>
  <conditionalFormatting sqref="E64:F64">
    <cfRule type="cellIs" dxfId="74" priority="4" stopIfTrue="1" operator="greaterThan">
      <formula>$E$66*0.1</formula>
    </cfRule>
  </conditionalFormatting>
  <conditionalFormatting sqref="G64">
    <cfRule type="cellIs" dxfId="73" priority="5" stopIfTrue="1" operator="greaterThan">
      <formula>$G$66*0.1</formula>
    </cfRule>
  </conditionalFormatting>
  <conditionalFormatting sqref="C53:D53">
    <cfRule type="cellIs" dxfId="72" priority="6" stopIfTrue="1" operator="greaterThan">
      <formula>$C$55*0.1</formula>
    </cfRule>
  </conditionalFormatting>
  <conditionalFormatting sqref="E53:F53">
    <cfRule type="cellIs" dxfId="71" priority="7" stopIfTrue="1" operator="greaterThan">
      <formula>$E$55*0.1</formula>
    </cfRule>
  </conditionalFormatting>
  <conditionalFormatting sqref="G68">
    <cfRule type="cellIs" dxfId="70" priority="8" stopIfTrue="1" operator="greaterThan">
      <formula>$G$66/0.95-$G$66</formula>
    </cfRule>
  </conditionalFormatting>
  <conditionalFormatting sqref="C29:D29">
    <cfRule type="cellIs" dxfId="69" priority="9" stopIfTrue="1" operator="greaterThan">
      <formula>$C$31*0.1</formula>
    </cfRule>
  </conditionalFormatting>
  <conditionalFormatting sqref="E29:F29">
    <cfRule type="cellIs" dxfId="68" priority="10" stopIfTrue="1" operator="greaterThan">
      <formula>$E$31*0.1</formula>
    </cfRule>
  </conditionalFormatting>
  <conditionalFormatting sqref="G29">
    <cfRule type="cellIs" dxfId="67" priority="11" stopIfTrue="1" operator="greaterThan">
      <formula>$G$31*0.1</formula>
    </cfRule>
  </conditionalFormatting>
  <conditionalFormatting sqref="C18:D18">
    <cfRule type="cellIs" dxfId="66" priority="12" stopIfTrue="1" operator="greaterThan">
      <formula>$C$20*0.1</formula>
    </cfRule>
  </conditionalFormatting>
  <conditionalFormatting sqref="E18:F18">
    <cfRule type="cellIs" dxfId="65" priority="13" stopIfTrue="1" operator="greaterThan">
      <formula>$E$20*0.1</formula>
    </cfRule>
  </conditionalFormatting>
  <conditionalFormatting sqref="G33">
    <cfRule type="cellIs" dxfId="64" priority="14" stopIfTrue="1" operator="greaterThan">
      <formula>$G$31/0.95-$G$31</formula>
    </cfRule>
  </conditionalFormatting>
  <conditionalFormatting sqref="C67:D67 C32:D32">
    <cfRule type="cellIs" dxfId="63" priority="15" stopIfTrue="1" operator="lessThan">
      <formula>0</formula>
    </cfRule>
  </conditionalFormatting>
  <conditionalFormatting sqref="C66:D66">
    <cfRule type="cellIs" dxfId="62" priority="16" stopIfTrue="1" operator="greaterThan">
      <formula>$B$68</formula>
    </cfRule>
  </conditionalFormatting>
  <conditionalFormatting sqref="E66:F66">
    <cfRule type="cellIs" dxfId="61" priority="17" stopIfTrue="1" operator="greaterThan">
      <formula>$C$68</formula>
    </cfRule>
  </conditionalFormatting>
  <conditionalFormatting sqref="C31:D31">
    <cfRule type="cellIs" dxfId="60" priority="18" stopIfTrue="1" operator="greaterThan">
      <formula>$B$33</formula>
    </cfRule>
  </conditionalFormatting>
  <conditionalFormatting sqref="E31:F31">
    <cfRule type="cellIs" dxfId="59" priority="19" stopIfTrue="1" operator="greaterThan">
      <formula>$C$33</formula>
    </cfRule>
  </conditionalFormatting>
  <conditionalFormatting sqref="G18">
    <cfRule type="cellIs" dxfId="58" priority="20" stopIfTrue="1" operator="greaterThan">
      <formula>$G$20*0.1+$G$37</formula>
    </cfRule>
  </conditionalFormatting>
  <conditionalFormatting sqref="G53">
    <cfRule type="cellIs" dxfId="57" priority="21" stopIfTrue="1" operator="greaterThan">
      <formula>$G$55*0.1+$G$72</formula>
    </cfRule>
  </conditionalFormatting>
  <conditionalFormatting sqref="E32:F32">
    <cfRule type="cellIs" dxfId="56" priority="2" stopIfTrue="1" operator="lessThan">
      <formula>0</formula>
    </cfRule>
  </conditionalFormatting>
  <conditionalFormatting sqref="E67:F67">
    <cfRule type="cellIs" dxfId="55"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4.xml><?xml version="1.0" encoding="utf-8"?>
<worksheet xmlns="http://schemas.openxmlformats.org/spreadsheetml/2006/main" xmlns:r="http://schemas.openxmlformats.org/officeDocument/2006/relationships">
  <sheetPr codeName="Sheet16">
    <pageSetUpPr fitToPage="1"/>
  </sheetPr>
  <dimension ref="A1:E65"/>
  <sheetViews>
    <sheetView workbookViewId="0"/>
  </sheetViews>
  <sheetFormatPr defaultRowHeight="15.75"/>
  <cols>
    <col min="1" max="1" width="25.8984375" style="119" customWidth="1"/>
    <col min="2" max="2" width="9.5" style="119" customWidth="1"/>
    <col min="3" max="5" width="14.19921875" style="119" customWidth="1"/>
    <col min="6" max="16384" width="8.796875" style="119"/>
  </cols>
  <sheetData>
    <row r="1" spans="1:5">
      <c r="A1" s="235" t="str">
        <f ca="1">inputPrYr!D3</f>
        <v>Paradise Township</v>
      </c>
      <c r="B1" s="235"/>
      <c r="C1" s="67"/>
      <c r="D1" s="67"/>
      <c r="E1" s="236">
        <f ca="1">inputPrYr!D9</f>
        <v>2013</v>
      </c>
    </row>
    <row r="2" spans="1:5">
      <c r="A2" s="67"/>
      <c r="B2" s="67"/>
      <c r="C2" s="67"/>
      <c r="D2" s="67"/>
      <c r="E2" s="221"/>
    </row>
    <row r="3" spans="1:5">
      <c r="A3" s="165" t="s">
        <v>639</v>
      </c>
      <c r="B3" s="165"/>
      <c r="C3" s="74"/>
      <c r="D3" s="74"/>
      <c r="E3" s="74"/>
    </row>
    <row r="4" spans="1:5">
      <c r="A4" s="76" t="s">
        <v>128</v>
      </c>
      <c r="B4" s="76"/>
      <c r="C4" s="212" t="s">
        <v>129</v>
      </c>
      <c r="D4" s="78" t="s">
        <v>130</v>
      </c>
      <c r="E4" s="78" t="s">
        <v>131</v>
      </c>
    </row>
    <row r="5" spans="1:5">
      <c r="A5" s="185">
        <f ca="1">inputPrYr!B35</f>
        <v>0</v>
      </c>
      <c r="B5" s="185"/>
      <c r="C5" s="83" t="str">
        <f ca="1">gen!C5</f>
        <v>Actual 2011</v>
      </c>
      <c r="D5" s="83" t="str">
        <f ca="1">gen!E5</f>
        <v>Estimate 2012</v>
      </c>
      <c r="E5" s="83" t="str">
        <f ca="1">gen!G5</f>
        <v>Year 2013</v>
      </c>
    </row>
    <row r="6" spans="1:5">
      <c r="A6" s="378" t="s">
        <v>640</v>
      </c>
      <c r="B6" s="379"/>
      <c r="C6" s="333"/>
      <c r="D6" s="272">
        <f>C29</f>
        <v>0</v>
      </c>
      <c r="E6" s="272">
        <f>D29</f>
        <v>0</v>
      </c>
    </row>
    <row r="7" spans="1:5" s="162" customFormat="1">
      <c r="A7" s="380" t="s">
        <v>615</v>
      </c>
      <c r="B7" s="379"/>
      <c r="C7" s="219"/>
      <c r="D7" s="94"/>
      <c r="E7" s="94"/>
    </row>
    <row r="8" spans="1:5">
      <c r="A8" s="337"/>
      <c r="B8" s="381"/>
      <c r="C8" s="333"/>
      <c r="D8" s="177"/>
      <c r="E8" s="177"/>
    </row>
    <row r="9" spans="1:5">
      <c r="A9" s="337"/>
      <c r="B9" s="381"/>
      <c r="C9" s="333"/>
      <c r="D9" s="177"/>
      <c r="E9" s="177"/>
    </row>
    <row r="10" spans="1:5">
      <c r="A10" s="337"/>
      <c r="B10" s="381"/>
      <c r="C10" s="333"/>
      <c r="D10" s="177"/>
      <c r="E10" s="177"/>
    </row>
    <row r="11" spans="1:5">
      <c r="A11" s="337"/>
      <c r="B11" s="381"/>
      <c r="C11" s="333"/>
      <c r="D11" s="177"/>
      <c r="E11" s="177"/>
    </row>
    <row r="12" spans="1:5">
      <c r="A12" s="382" t="s">
        <v>140</v>
      </c>
      <c r="B12" s="381"/>
      <c r="C12" s="333"/>
      <c r="D12" s="177"/>
      <c r="E12" s="177"/>
    </row>
    <row r="13" spans="1:5">
      <c r="A13" s="340" t="s">
        <v>84</v>
      </c>
      <c r="B13" s="341"/>
      <c r="C13" s="333"/>
      <c r="D13" s="333"/>
      <c r="E13" s="333"/>
    </row>
    <row r="14" spans="1:5">
      <c r="A14" s="340" t="s">
        <v>85</v>
      </c>
      <c r="B14" s="341"/>
      <c r="C14" s="342" t="str">
        <f>IF(C15*0.1&lt;C13,"Exceed 10% Rule","")</f>
        <v/>
      </c>
      <c r="D14" s="342" t="str">
        <f>IF(D15*0.1&lt;D13,"Exceed 10% Rule","")</f>
        <v/>
      </c>
      <c r="E14" s="342" t="str">
        <f>IF(E15*0.1&lt;E13,"Exceed 10% Rule","")</f>
        <v/>
      </c>
    </row>
    <row r="15" spans="1:5">
      <c r="A15" s="102" t="s">
        <v>141</v>
      </c>
      <c r="B15" s="379"/>
      <c r="C15" s="344">
        <f>SUM(C8:C13)</f>
        <v>0</v>
      </c>
      <c r="D15" s="345">
        <f>SUM(D8:D13)</f>
        <v>0</v>
      </c>
      <c r="E15" s="345">
        <f>SUM(E8:E13)</f>
        <v>0</v>
      </c>
    </row>
    <row r="16" spans="1:5">
      <c r="A16" s="102" t="s">
        <v>142</v>
      </c>
      <c r="B16" s="379"/>
      <c r="C16" s="383">
        <f>C6+C15</f>
        <v>0</v>
      </c>
      <c r="D16" s="373">
        <f>D6+D15</f>
        <v>0</v>
      </c>
      <c r="E16" s="373">
        <f>E6+E15</f>
        <v>0</v>
      </c>
    </row>
    <row r="17" spans="1:5">
      <c r="A17" s="84" t="s">
        <v>143</v>
      </c>
      <c r="B17" s="379"/>
      <c r="C17" s="334"/>
      <c r="D17" s="272"/>
      <c r="E17" s="272"/>
    </row>
    <row r="18" spans="1:5">
      <c r="A18" s="337"/>
      <c r="B18" s="381"/>
      <c r="C18" s="333"/>
      <c r="D18" s="177"/>
      <c r="E18" s="177"/>
    </row>
    <row r="19" spans="1:5">
      <c r="A19" s="337"/>
      <c r="B19" s="381"/>
      <c r="C19" s="333"/>
      <c r="D19" s="177"/>
      <c r="E19" s="177"/>
    </row>
    <row r="20" spans="1:5">
      <c r="A20" s="337"/>
      <c r="B20" s="381"/>
      <c r="C20" s="333"/>
      <c r="D20" s="177"/>
      <c r="E20" s="177"/>
    </row>
    <row r="21" spans="1:5">
      <c r="A21" s="337"/>
      <c r="B21" s="381"/>
      <c r="C21" s="333"/>
      <c r="D21" s="177"/>
      <c r="E21" s="177"/>
    </row>
    <row r="22" spans="1:5">
      <c r="A22" s="337"/>
      <c r="B22" s="381"/>
      <c r="C22" s="333"/>
      <c r="D22" s="177"/>
      <c r="E22" s="177"/>
    </row>
    <row r="23" spans="1:5">
      <c r="A23" s="337"/>
      <c r="B23" s="381"/>
      <c r="C23" s="333"/>
      <c r="D23" s="177"/>
      <c r="E23" s="177"/>
    </row>
    <row r="24" spans="1:5">
      <c r="A24" s="337"/>
      <c r="B24" s="381"/>
      <c r="C24" s="333"/>
      <c r="D24" s="177"/>
      <c r="E24" s="177"/>
    </row>
    <row r="25" spans="1:5">
      <c r="A25" s="337"/>
      <c r="B25" s="381"/>
      <c r="C25" s="333"/>
      <c r="D25" s="177"/>
      <c r="E25" s="177"/>
    </row>
    <row r="26" spans="1:5">
      <c r="A26" s="336" t="s">
        <v>84</v>
      </c>
      <c r="B26" s="341"/>
      <c r="C26" s="333"/>
      <c r="D26" s="333"/>
      <c r="E26" s="333"/>
    </row>
    <row r="27" spans="1:5">
      <c r="A27" s="336" t="s">
        <v>87</v>
      </c>
      <c r="B27" s="341"/>
      <c r="C27" s="342" t="str">
        <f>IF(C28*0.1&lt;C26,"Exceed 10% Rule","")</f>
        <v/>
      </c>
      <c r="D27" s="342" t="str">
        <f>IF(D28*0.1&lt;D26,"Exceed 10% Rule","")</f>
        <v/>
      </c>
      <c r="E27" s="342" t="str">
        <f>IF(E28*0.1&lt;E26,"Exceed 10% Rule","")</f>
        <v/>
      </c>
    </row>
    <row r="28" spans="1:5">
      <c r="A28" s="102" t="s">
        <v>144</v>
      </c>
      <c r="B28" s="379"/>
      <c r="C28" s="344">
        <f>SUM(C18:C26)</f>
        <v>0</v>
      </c>
      <c r="D28" s="345">
        <f>SUM(D18:D26)</f>
        <v>0</v>
      </c>
      <c r="E28" s="345">
        <f>SUM(E18:E26)</f>
        <v>0</v>
      </c>
    </row>
    <row r="29" spans="1:5">
      <c r="A29" s="84" t="s">
        <v>614</v>
      </c>
      <c r="B29" s="379"/>
      <c r="C29" s="348">
        <f>C16-C28</f>
        <v>0</v>
      </c>
      <c r="D29" s="189">
        <f>D16-D28</f>
        <v>0</v>
      </c>
      <c r="E29" s="189">
        <f>E16-E28</f>
        <v>0</v>
      </c>
    </row>
    <row r="30" spans="1:5">
      <c r="A30" s="123" t="str">
        <f>CONCATENATE("",E1-2,"/",E1-1," Budget Authority Amount:")</f>
        <v>2011/2012 Budget Authority Amount:</v>
      </c>
      <c r="B30" s="349"/>
      <c r="C30" s="349">
        <f ca="1">inputOth!B94</f>
        <v>0</v>
      </c>
      <c r="D30" s="349">
        <f ca="1">inputPrYr!D35</f>
        <v>0</v>
      </c>
      <c r="E30" s="402" t="str">
        <f>IF(E29&lt;0,"See Tab E","")</f>
        <v/>
      </c>
    </row>
    <row r="31" spans="1:5">
      <c r="A31" s="123"/>
      <c r="B31" s="351"/>
      <c r="C31" s="351" t="str">
        <f>IF(C28&gt;C30,"See Tab A","")</f>
        <v/>
      </c>
      <c r="D31" s="351" t="str">
        <f>IF(D28&gt;D30,"See Tab C","")</f>
        <v/>
      </c>
      <c r="E31" s="197"/>
    </row>
    <row r="32" spans="1:5">
      <c r="A32" s="123"/>
      <c r="B32" s="351"/>
      <c r="C32" s="351" t="str">
        <f>IF(C29&lt;0,"See Tab B","")</f>
        <v/>
      </c>
      <c r="D32" s="197"/>
      <c r="E32" s="197"/>
    </row>
    <row r="33" spans="1:5">
      <c r="A33" s="67"/>
      <c r="B33" s="67"/>
      <c r="C33" s="197"/>
      <c r="D33" s="197"/>
      <c r="E33" s="197"/>
    </row>
    <row r="34" spans="1:5">
      <c r="A34" s="76" t="s">
        <v>128</v>
      </c>
      <c r="B34" s="76"/>
      <c r="C34" s="74"/>
      <c r="D34" s="74"/>
      <c r="E34" s="74"/>
    </row>
    <row r="35" spans="1:5">
      <c r="A35" s="67"/>
      <c r="B35" s="67"/>
      <c r="C35" s="212" t="s">
        <v>129</v>
      </c>
      <c r="D35" s="78" t="s">
        <v>130</v>
      </c>
      <c r="E35" s="78" t="s">
        <v>131</v>
      </c>
    </row>
    <row r="36" spans="1:5">
      <c r="A36" s="251">
        <f ca="1">inputPrYr!B36</f>
        <v>0</v>
      </c>
      <c r="B36" s="185"/>
      <c r="C36" s="83" t="str">
        <f>C5</f>
        <v>Actual 2011</v>
      </c>
      <c r="D36" s="83" t="str">
        <f>D5</f>
        <v>Estimate 2012</v>
      </c>
      <c r="E36" s="83" t="str">
        <f>E5</f>
        <v>Year 2013</v>
      </c>
    </row>
    <row r="37" spans="1:5">
      <c r="A37" s="378" t="s">
        <v>640</v>
      </c>
      <c r="B37" s="379"/>
      <c r="C37" s="333"/>
      <c r="D37" s="272">
        <f>C60</f>
        <v>0</v>
      </c>
      <c r="E37" s="272">
        <f>D60</f>
        <v>0</v>
      </c>
    </row>
    <row r="38" spans="1:5" s="162" customFormat="1">
      <c r="A38" s="378" t="s">
        <v>615</v>
      </c>
      <c r="B38" s="379"/>
      <c r="C38" s="219"/>
      <c r="D38" s="94"/>
      <c r="E38" s="94"/>
    </row>
    <row r="39" spans="1:5">
      <c r="A39" s="337"/>
      <c r="B39" s="381"/>
      <c r="C39" s="333"/>
      <c r="D39" s="177"/>
      <c r="E39" s="177"/>
    </row>
    <row r="40" spans="1:5">
      <c r="A40" s="337"/>
      <c r="B40" s="381"/>
      <c r="C40" s="333"/>
      <c r="D40" s="177"/>
      <c r="E40" s="177"/>
    </row>
    <row r="41" spans="1:5">
      <c r="A41" s="337"/>
      <c r="B41" s="381"/>
      <c r="C41" s="333"/>
      <c r="D41" s="177"/>
      <c r="E41" s="177"/>
    </row>
    <row r="42" spans="1:5">
      <c r="A42" s="337"/>
      <c r="B42" s="381"/>
      <c r="C42" s="333"/>
      <c r="D42" s="177"/>
      <c r="E42" s="177"/>
    </row>
    <row r="43" spans="1:5">
      <c r="A43" s="382" t="s">
        <v>140</v>
      </c>
      <c r="B43" s="381"/>
      <c r="C43" s="333"/>
      <c r="D43" s="177"/>
      <c r="E43" s="177"/>
    </row>
    <row r="44" spans="1:5">
      <c r="A44" s="340" t="s">
        <v>84</v>
      </c>
      <c r="B44" s="341"/>
      <c r="C44" s="333"/>
      <c r="D44" s="333"/>
      <c r="E44" s="333"/>
    </row>
    <row r="45" spans="1:5">
      <c r="A45" s="340" t="s">
        <v>85</v>
      </c>
      <c r="B45" s="341"/>
      <c r="C45" s="342" t="str">
        <f>IF(C46*0.1&lt;C44,"Exceed 10% Rule","")</f>
        <v/>
      </c>
      <c r="D45" s="342" t="str">
        <f>IF(D46*0.1&lt;D44,"Exceed 10% Rule","")</f>
        <v/>
      </c>
      <c r="E45" s="342" t="str">
        <f>IF(E46*0.1&lt;E44,"Exceed 10% Rule","")</f>
        <v/>
      </c>
    </row>
    <row r="46" spans="1:5">
      <c r="A46" s="102" t="s">
        <v>141</v>
      </c>
      <c r="B46" s="379"/>
      <c r="C46" s="344">
        <f>SUM(C39:C44)</f>
        <v>0</v>
      </c>
      <c r="D46" s="345">
        <f>SUM(D39:D44)</f>
        <v>0</v>
      </c>
      <c r="E46" s="345">
        <f>SUM(E39:E44)</f>
        <v>0</v>
      </c>
    </row>
    <row r="47" spans="1:5">
      <c r="A47" s="102" t="s">
        <v>142</v>
      </c>
      <c r="B47" s="379"/>
      <c r="C47" s="344">
        <f>C37+C46</f>
        <v>0</v>
      </c>
      <c r="D47" s="345">
        <f>D37+D46</f>
        <v>0</v>
      </c>
      <c r="E47" s="345">
        <f>E37+E46</f>
        <v>0</v>
      </c>
    </row>
    <row r="48" spans="1:5">
      <c r="A48" s="84" t="s">
        <v>143</v>
      </c>
      <c r="B48" s="379"/>
      <c r="C48" s="334"/>
      <c r="D48" s="272"/>
      <c r="E48" s="272"/>
    </row>
    <row r="49" spans="1:5">
      <c r="A49" s="337"/>
      <c r="B49" s="381"/>
      <c r="C49" s="333"/>
      <c r="D49" s="177"/>
      <c r="E49" s="177"/>
    </row>
    <row r="50" spans="1:5">
      <c r="A50" s="337"/>
      <c r="B50" s="381"/>
      <c r="C50" s="333"/>
      <c r="D50" s="177"/>
      <c r="E50" s="177"/>
    </row>
    <row r="51" spans="1:5">
      <c r="A51" s="337"/>
      <c r="B51" s="381"/>
      <c r="C51" s="333"/>
      <c r="D51" s="177"/>
      <c r="E51" s="177"/>
    </row>
    <row r="52" spans="1:5">
      <c r="A52" s="337"/>
      <c r="B52" s="381"/>
      <c r="C52" s="333"/>
      <c r="D52" s="177"/>
      <c r="E52" s="177"/>
    </row>
    <row r="53" spans="1:5">
      <c r="A53" s="337"/>
      <c r="B53" s="381"/>
      <c r="C53" s="333"/>
      <c r="D53" s="177"/>
      <c r="E53" s="177"/>
    </row>
    <row r="54" spans="1:5">
      <c r="A54" s="337"/>
      <c r="B54" s="381"/>
      <c r="C54" s="333"/>
      <c r="D54" s="177"/>
      <c r="E54" s="177"/>
    </row>
    <row r="55" spans="1:5">
      <c r="A55" s="337"/>
      <c r="B55" s="381"/>
      <c r="C55" s="333"/>
      <c r="D55" s="177"/>
      <c r="E55" s="177"/>
    </row>
    <row r="56" spans="1:5">
      <c r="A56" s="337"/>
      <c r="B56" s="381"/>
      <c r="C56" s="333"/>
      <c r="D56" s="177"/>
      <c r="E56" s="177"/>
    </row>
    <row r="57" spans="1:5">
      <c r="A57" s="336" t="s">
        <v>84</v>
      </c>
      <c r="B57" s="341"/>
      <c r="C57" s="333"/>
      <c r="D57" s="333"/>
      <c r="E57" s="333"/>
    </row>
    <row r="58" spans="1:5">
      <c r="A58" s="336" t="s">
        <v>87</v>
      </c>
      <c r="B58" s="341"/>
      <c r="C58" s="342" t="str">
        <f>IF(C59*0.1&lt;C57,"Exceed 10% Rule","")</f>
        <v/>
      </c>
      <c r="D58" s="342" t="str">
        <f>IF(D59*0.1&lt;D57,"Exceed 10% Rule","")</f>
        <v/>
      </c>
      <c r="E58" s="342" t="str">
        <f>IF(E59*0.1&lt;E57,"Exceed 10% Rule","")</f>
        <v/>
      </c>
    </row>
    <row r="59" spans="1:5">
      <c r="A59" s="102" t="s">
        <v>144</v>
      </c>
      <c r="B59" s="379"/>
      <c r="C59" s="344">
        <f>SUM(C49:C57)</f>
        <v>0</v>
      </c>
      <c r="D59" s="345">
        <f>SUM(D49:D57)</f>
        <v>0</v>
      </c>
      <c r="E59" s="345">
        <f>SUM(E49:E57)</f>
        <v>0</v>
      </c>
    </row>
    <row r="60" spans="1:5">
      <c r="A60" s="84" t="s">
        <v>614</v>
      </c>
      <c r="B60" s="379"/>
      <c r="C60" s="348">
        <f>C47-C59</f>
        <v>0</v>
      </c>
      <c r="D60" s="189">
        <f>D47-D59</f>
        <v>0</v>
      </c>
      <c r="E60" s="189">
        <f>E47-E59</f>
        <v>0</v>
      </c>
    </row>
    <row r="61" spans="1:5">
      <c r="A61" s="123" t="str">
        <f>CONCATENATE("",E1-2,"/",E1-1," Budget Authority Amount:")</f>
        <v>2011/2012 Budget Authority Amount:</v>
      </c>
      <c r="B61" s="349"/>
      <c r="C61" s="349">
        <f ca="1">inputOth!B95</f>
        <v>0</v>
      </c>
      <c r="D61" s="349">
        <f ca="1">inputPrYr!D36</f>
        <v>0</v>
      </c>
      <c r="E61" s="351" t="str">
        <f>IF(E60&lt;0,"See Tab E","")</f>
        <v/>
      </c>
    </row>
    <row r="62" spans="1:5">
      <c r="A62" s="123"/>
      <c r="B62" s="351"/>
      <c r="C62" s="351" t="str">
        <f>IF(C59&gt;C61,"See Tab A","")</f>
        <v/>
      </c>
      <c r="D62" s="351" t="str">
        <f>IF(D59&gt;D61,"See Tab C","")</f>
        <v/>
      </c>
      <c r="E62" s="67"/>
    </row>
    <row r="63" spans="1:5">
      <c r="A63" s="123"/>
      <c r="B63" s="351"/>
      <c r="C63" s="351" t="str">
        <f>IF(C60&lt;0,"See Tab B","")</f>
        <v/>
      </c>
      <c r="D63" s="403" t="str">
        <f>IF(D60&lt;0,"See Tab D","")</f>
        <v/>
      </c>
      <c r="E63" s="67"/>
    </row>
    <row r="64" spans="1:5">
      <c r="A64" s="67"/>
      <c r="B64" s="67"/>
      <c r="C64" s="67"/>
      <c r="D64" s="67"/>
      <c r="E64" s="67"/>
    </row>
    <row r="65" spans="1:5">
      <c r="A65" s="221"/>
      <c r="B65" s="221" t="s">
        <v>127</v>
      </c>
      <c r="C65" s="159"/>
      <c r="D65" s="67"/>
      <c r="E65" s="67"/>
    </row>
  </sheetData>
  <sheetProtection sheet="1" objects="1" scenarios="1"/>
  <phoneticPr fontId="12" type="noConversion"/>
  <conditionalFormatting sqref="C13">
    <cfRule type="cellIs" dxfId="54" priority="11" stopIfTrue="1" operator="greaterThan">
      <formula>$C$15*0.1</formula>
    </cfRule>
  </conditionalFormatting>
  <conditionalFormatting sqref="D13">
    <cfRule type="cellIs" dxfId="53" priority="12" stopIfTrue="1" operator="greaterThan">
      <formula>$D$15*0.1</formula>
    </cfRule>
  </conditionalFormatting>
  <conditionalFormatting sqref="E13">
    <cfRule type="cellIs" dxfId="52" priority="13" stopIfTrue="1" operator="greaterThan">
      <formula>$E$15*0.1</formula>
    </cfRule>
  </conditionalFormatting>
  <conditionalFormatting sqref="C26">
    <cfRule type="cellIs" dxfId="51" priority="14" stopIfTrue="1" operator="greaterThan">
      <formula>$C$28*0.1</formula>
    </cfRule>
  </conditionalFormatting>
  <conditionalFormatting sqref="D26">
    <cfRule type="cellIs" dxfId="50" priority="15" stopIfTrue="1" operator="greaterThan">
      <formula>$D$28*0.1</formula>
    </cfRule>
  </conditionalFormatting>
  <conditionalFormatting sqref="E26">
    <cfRule type="cellIs" dxfId="49" priority="16" stopIfTrue="1" operator="greaterThan">
      <formula>$E$28*0.1</formula>
    </cfRule>
  </conditionalFormatting>
  <conditionalFormatting sqref="C57">
    <cfRule type="cellIs" dxfId="48" priority="17" stopIfTrue="1" operator="greaterThan">
      <formula>$C$59*0.1</formula>
    </cfRule>
  </conditionalFormatting>
  <conditionalFormatting sqref="D57">
    <cfRule type="cellIs" dxfId="47" priority="18" stopIfTrue="1" operator="greaterThan">
      <formula>$D$59*0.1</formula>
    </cfRule>
  </conditionalFormatting>
  <conditionalFormatting sqref="E57">
    <cfRule type="cellIs" dxfId="46" priority="19" stopIfTrue="1" operator="greaterThan">
      <formula>$E$59*0.1</formula>
    </cfRule>
  </conditionalFormatting>
  <conditionalFormatting sqref="C44">
    <cfRule type="cellIs" dxfId="45" priority="20" stopIfTrue="1" operator="greaterThan">
      <formula>$C$46*0.1</formula>
    </cfRule>
  </conditionalFormatting>
  <conditionalFormatting sqref="D44">
    <cfRule type="cellIs" dxfId="44" priority="21" stopIfTrue="1" operator="greaterThan">
      <formula>$D$46*0.1</formula>
    </cfRule>
  </conditionalFormatting>
  <conditionalFormatting sqref="E44">
    <cfRule type="cellIs" dxfId="43" priority="22" stopIfTrue="1" operator="greaterThan">
      <formula>$E$46*0.1</formula>
    </cfRule>
  </conditionalFormatting>
  <conditionalFormatting sqref="C59">
    <cfRule type="cellIs" dxfId="42" priority="10" stopIfTrue="1" operator="greaterThan">
      <formula>$C$61</formula>
    </cfRule>
  </conditionalFormatting>
  <conditionalFormatting sqref="C60">
    <cfRule type="cellIs" dxfId="41" priority="9" stopIfTrue="1" operator="lessThan">
      <formula>0</formula>
    </cfRule>
  </conditionalFormatting>
  <conditionalFormatting sqref="D59">
    <cfRule type="cellIs" dxfId="40" priority="8" stopIfTrue="1" operator="greaterThan">
      <formula>$D$61</formula>
    </cfRule>
  </conditionalFormatting>
  <conditionalFormatting sqref="E60">
    <cfRule type="cellIs" dxfId="39" priority="7" stopIfTrue="1" operator="lessThan">
      <formula>0</formula>
    </cfRule>
  </conditionalFormatting>
  <conditionalFormatting sqref="D29">
    <cfRule type="cellIs" dxfId="38" priority="6" stopIfTrue="1" operator="lessThan">
      <formula>0</formula>
    </cfRule>
  </conditionalFormatting>
  <conditionalFormatting sqref="E29">
    <cfRule type="cellIs" dxfId="37" priority="5" stopIfTrue="1" operator="lessThan">
      <formula>0</formula>
    </cfRule>
  </conditionalFormatting>
  <conditionalFormatting sqref="D28">
    <cfRule type="cellIs" dxfId="36" priority="4" stopIfTrue="1" operator="greaterThan">
      <formula>$D$30</formula>
    </cfRule>
  </conditionalFormatting>
  <conditionalFormatting sqref="C29">
    <cfRule type="cellIs" dxfId="35" priority="3" stopIfTrue="1" operator="lessThan">
      <formula>0</formula>
    </cfRule>
  </conditionalFormatting>
  <conditionalFormatting sqref="C28">
    <cfRule type="cellIs" dxfId="34" priority="2" stopIfTrue="1" operator="greaterThan">
      <formula>$C$30</formula>
    </cfRule>
  </conditionalFormatting>
  <conditionalFormatting sqref="D60">
    <cfRule type="cellIs" dxfId="33"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8/21/09</oddFooter>
  </headerFooter>
</worksheet>
</file>

<file path=xl/worksheets/sheet15.xml><?xml version="1.0" encoding="utf-8"?>
<worksheet xmlns="http://schemas.openxmlformats.org/spreadsheetml/2006/main" xmlns:r="http://schemas.openxmlformats.org/officeDocument/2006/relationships">
  <sheetPr codeName="Sheet17">
    <pageSetUpPr fitToPage="1"/>
  </sheetPr>
  <dimension ref="A1:E65"/>
  <sheetViews>
    <sheetView workbookViewId="0"/>
  </sheetViews>
  <sheetFormatPr defaultRowHeight="15.75"/>
  <cols>
    <col min="1" max="1" width="25.8984375" style="119" customWidth="1"/>
    <col min="2" max="2" width="9.5" style="119" customWidth="1"/>
    <col min="3" max="5" width="14.19921875" style="119" customWidth="1"/>
    <col min="6" max="16384" width="8.796875" style="119"/>
  </cols>
  <sheetData>
    <row r="1" spans="1:5">
      <c r="A1" s="235" t="str">
        <f ca="1">inputPrYr!D3</f>
        <v>Paradise Township</v>
      </c>
      <c r="B1" s="235"/>
      <c r="C1" s="67"/>
      <c r="D1" s="67"/>
      <c r="E1" s="236">
        <f ca="1">inputPrYr!D9</f>
        <v>2013</v>
      </c>
    </row>
    <row r="2" spans="1:5">
      <c r="A2" s="67"/>
      <c r="B2" s="67"/>
      <c r="C2" s="67"/>
      <c r="D2" s="67"/>
      <c r="E2" s="221"/>
    </row>
    <row r="3" spans="1:5">
      <c r="A3" s="165" t="s">
        <v>639</v>
      </c>
      <c r="B3" s="165"/>
      <c r="C3" s="74"/>
      <c r="D3" s="74"/>
      <c r="E3" s="74"/>
    </row>
    <row r="4" spans="1:5">
      <c r="A4" s="76" t="s">
        <v>128</v>
      </c>
      <c r="B4" s="76"/>
      <c r="C4" s="212" t="s">
        <v>129</v>
      </c>
      <c r="D4" s="78" t="s">
        <v>130</v>
      </c>
      <c r="E4" s="78" t="s">
        <v>131</v>
      </c>
    </row>
    <row r="5" spans="1:5">
      <c r="A5" s="185">
        <f ca="1">inputPrYr!B37</f>
        <v>0</v>
      </c>
      <c r="B5" s="185"/>
      <c r="C5" s="83" t="str">
        <f ca="1">gen!C5</f>
        <v>Actual 2011</v>
      </c>
      <c r="D5" s="83" t="str">
        <f ca="1">gen!E5</f>
        <v>Estimate 2012</v>
      </c>
      <c r="E5" s="83" t="str">
        <f ca="1">gen!G5</f>
        <v>Year 2013</v>
      </c>
    </row>
    <row r="6" spans="1:5">
      <c r="A6" s="378" t="s">
        <v>640</v>
      </c>
      <c r="B6" s="379"/>
      <c r="C6" s="333"/>
      <c r="D6" s="272">
        <f>C29</f>
        <v>0</v>
      </c>
      <c r="E6" s="272">
        <f>D29</f>
        <v>0</v>
      </c>
    </row>
    <row r="7" spans="1:5" s="162" customFormat="1">
      <c r="A7" s="380" t="s">
        <v>615</v>
      </c>
      <c r="B7" s="379"/>
      <c r="C7" s="219"/>
      <c r="D7" s="94"/>
      <c r="E7" s="94"/>
    </row>
    <row r="8" spans="1:5">
      <c r="A8" s="337"/>
      <c r="B8" s="381"/>
      <c r="C8" s="333"/>
      <c r="D8" s="177"/>
      <c r="E8" s="177"/>
    </row>
    <row r="9" spans="1:5">
      <c r="A9" s="337"/>
      <c r="B9" s="381"/>
      <c r="C9" s="333"/>
      <c r="D9" s="177"/>
      <c r="E9" s="177"/>
    </row>
    <row r="10" spans="1:5">
      <c r="A10" s="337"/>
      <c r="B10" s="381"/>
      <c r="C10" s="333"/>
      <c r="D10" s="177"/>
      <c r="E10" s="177"/>
    </row>
    <row r="11" spans="1:5">
      <c r="A11" s="337"/>
      <c r="B11" s="381"/>
      <c r="C11" s="333"/>
      <c r="D11" s="177"/>
      <c r="E11" s="177"/>
    </row>
    <row r="12" spans="1:5">
      <c r="A12" s="382" t="s">
        <v>140</v>
      </c>
      <c r="B12" s="381"/>
      <c r="C12" s="333"/>
      <c r="D12" s="177"/>
      <c r="E12" s="177"/>
    </row>
    <row r="13" spans="1:5">
      <c r="A13" s="340" t="s">
        <v>84</v>
      </c>
      <c r="B13" s="341"/>
      <c r="C13" s="333"/>
      <c r="D13" s="333"/>
      <c r="E13" s="333"/>
    </row>
    <row r="14" spans="1:5">
      <c r="A14" s="340" t="s">
        <v>85</v>
      </c>
      <c r="B14" s="341"/>
      <c r="C14" s="342" t="str">
        <f>IF(C15*0.1&lt;C13,"Exceed 10% Rule","")</f>
        <v/>
      </c>
      <c r="D14" s="342" t="str">
        <f>IF(D15*0.1&lt;D13,"Exceed 10% Rule","")</f>
        <v/>
      </c>
      <c r="E14" s="342" t="str">
        <f>IF(E15*0.1&lt;E13,"Exceed 10% Rule","")</f>
        <v/>
      </c>
    </row>
    <row r="15" spans="1:5">
      <c r="A15" s="102" t="s">
        <v>141</v>
      </c>
      <c r="B15" s="379"/>
      <c r="C15" s="344">
        <f>SUM(C8:C13)</f>
        <v>0</v>
      </c>
      <c r="D15" s="345">
        <f>SUM(D8:D13)</f>
        <v>0</v>
      </c>
      <c r="E15" s="345">
        <f>SUM(E8:E13)</f>
        <v>0</v>
      </c>
    </row>
    <row r="16" spans="1:5">
      <c r="A16" s="102" t="s">
        <v>142</v>
      </c>
      <c r="B16" s="379"/>
      <c r="C16" s="344">
        <f>C6+C15</f>
        <v>0</v>
      </c>
      <c r="D16" s="345">
        <f>D6+D15</f>
        <v>0</v>
      </c>
      <c r="E16" s="345">
        <f>E6+E15</f>
        <v>0</v>
      </c>
    </row>
    <row r="17" spans="1:5">
      <c r="A17" s="84" t="s">
        <v>143</v>
      </c>
      <c r="B17" s="379"/>
      <c r="C17" s="334"/>
      <c r="D17" s="272"/>
      <c r="E17" s="272"/>
    </row>
    <row r="18" spans="1:5">
      <c r="A18" s="337"/>
      <c r="B18" s="381"/>
      <c r="C18" s="333"/>
      <c r="D18" s="177"/>
      <c r="E18" s="177"/>
    </row>
    <row r="19" spans="1:5">
      <c r="A19" s="337"/>
      <c r="B19" s="381"/>
      <c r="C19" s="333"/>
      <c r="D19" s="177"/>
      <c r="E19" s="177"/>
    </row>
    <row r="20" spans="1:5">
      <c r="A20" s="337"/>
      <c r="B20" s="381"/>
      <c r="C20" s="333"/>
      <c r="D20" s="177"/>
      <c r="E20" s="177"/>
    </row>
    <row r="21" spans="1:5">
      <c r="A21" s="337"/>
      <c r="B21" s="381"/>
      <c r="C21" s="333"/>
      <c r="D21" s="177"/>
      <c r="E21" s="177"/>
    </row>
    <row r="22" spans="1:5">
      <c r="A22" s="337"/>
      <c r="B22" s="381"/>
      <c r="C22" s="333"/>
      <c r="D22" s="177"/>
      <c r="E22" s="177"/>
    </row>
    <row r="23" spans="1:5">
      <c r="A23" s="337"/>
      <c r="B23" s="381"/>
      <c r="C23" s="333"/>
      <c r="D23" s="177"/>
      <c r="E23" s="177"/>
    </row>
    <row r="24" spans="1:5">
      <c r="A24" s="337"/>
      <c r="B24" s="381"/>
      <c r="C24" s="333"/>
      <c r="D24" s="177"/>
      <c r="E24" s="177"/>
    </row>
    <row r="25" spans="1:5">
      <c r="A25" s="337"/>
      <c r="B25" s="381"/>
      <c r="C25" s="333"/>
      <c r="D25" s="177"/>
      <c r="E25" s="177"/>
    </row>
    <row r="26" spans="1:5">
      <c r="A26" s="336" t="s">
        <v>84</v>
      </c>
      <c r="B26" s="341"/>
      <c r="C26" s="333"/>
      <c r="D26" s="333"/>
      <c r="E26" s="333"/>
    </row>
    <row r="27" spans="1:5">
      <c r="A27" s="336" t="s">
        <v>87</v>
      </c>
      <c r="B27" s="341"/>
      <c r="C27" s="342" t="str">
        <f>IF(C28*0.1&lt;C26,"Exceed 10% Rule","")</f>
        <v/>
      </c>
      <c r="D27" s="342" t="str">
        <f>IF(D28*0.1&lt;D26,"Exceed 10% Rule","")</f>
        <v/>
      </c>
      <c r="E27" s="342" t="str">
        <f>IF(E28*0.1&lt;E26,"Exceed 10% Rule","")</f>
        <v/>
      </c>
    </row>
    <row r="28" spans="1:5">
      <c r="A28" s="102" t="s">
        <v>144</v>
      </c>
      <c r="B28" s="379"/>
      <c r="C28" s="344">
        <f>SUM(C18:C26)</f>
        <v>0</v>
      </c>
      <c r="D28" s="345">
        <f>SUM(D18:D26)</f>
        <v>0</v>
      </c>
      <c r="E28" s="345">
        <f>SUM(E18:E26)</f>
        <v>0</v>
      </c>
    </row>
    <row r="29" spans="1:5">
      <c r="A29" s="84" t="s">
        <v>614</v>
      </c>
      <c r="B29" s="379"/>
      <c r="C29" s="348">
        <f>C16-C28</f>
        <v>0</v>
      </c>
      <c r="D29" s="189">
        <f>D16-D28</f>
        <v>0</v>
      </c>
      <c r="E29" s="189">
        <f>E16-E28</f>
        <v>0</v>
      </c>
    </row>
    <row r="30" spans="1:5">
      <c r="A30" s="123" t="str">
        <f>CONCATENATE("",E1-2,"/",E1-1," Budget Authority Amount:")</f>
        <v>2011/2012 Budget Authority Amount:</v>
      </c>
      <c r="B30" s="349"/>
      <c r="C30" s="349">
        <f ca="1">inputOth!B96</f>
        <v>0</v>
      </c>
      <c r="D30" s="349">
        <f ca="1">inputPrYr!D37</f>
        <v>0</v>
      </c>
      <c r="E30" s="402" t="str">
        <f>IF(E29&lt;0,"See Tab E","")</f>
        <v/>
      </c>
    </row>
    <row r="31" spans="1:5">
      <c r="A31" s="123"/>
      <c r="B31" s="351"/>
      <c r="C31" s="351" t="str">
        <f>IF(C28&gt;C30,"See Tab A","")</f>
        <v/>
      </c>
      <c r="D31" s="351" t="str">
        <f>IF(D28&gt;D30,"See Tab C","")</f>
        <v/>
      </c>
      <c r="E31" s="197"/>
    </row>
    <row r="32" spans="1:5">
      <c r="A32" s="123"/>
      <c r="B32" s="351"/>
      <c r="C32" s="351" t="str">
        <f>IF(C29&lt;0,"See Tab B","")</f>
        <v/>
      </c>
      <c r="D32" s="197"/>
      <c r="E32" s="197"/>
    </row>
    <row r="33" spans="1:5">
      <c r="A33" s="67"/>
      <c r="B33" s="67"/>
      <c r="C33" s="197"/>
      <c r="D33" s="197"/>
      <c r="E33" s="197"/>
    </row>
    <row r="34" spans="1:5">
      <c r="A34" s="76" t="s">
        <v>128</v>
      </c>
      <c r="B34" s="76"/>
      <c r="C34" s="74"/>
      <c r="D34" s="74"/>
      <c r="E34" s="74"/>
    </row>
    <row r="35" spans="1:5">
      <c r="A35" s="67"/>
      <c r="B35" s="67"/>
      <c r="C35" s="212" t="s">
        <v>129</v>
      </c>
      <c r="D35" s="78" t="s">
        <v>130</v>
      </c>
      <c r="E35" s="78" t="s">
        <v>131</v>
      </c>
    </row>
    <row r="36" spans="1:5">
      <c r="A36" s="251">
        <f ca="1">inputPrYr!B38</f>
        <v>0</v>
      </c>
      <c r="B36" s="185"/>
      <c r="C36" s="83" t="str">
        <f>C5</f>
        <v>Actual 2011</v>
      </c>
      <c r="D36" s="83" t="str">
        <f>D5</f>
        <v>Estimate 2012</v>
      </c>
      <c r="E36" s="83" t="str">
        <f>E5</f>
        <v>Year 2013</v>
      </c>
    </row>
    <row r="37" spans="1:5">
      <c r="A37" s="378" t="s">
        <v>640</v>
      </c>
      <c r="B37" s="379"/>
      <c r="C37" s="333"/>
      <c r="D37" s="272">
        <f>C60</f>
        <v>0</v>
      </c>
      <c r="E37" s="272">
        <f>D60</f>
        <v>0</v>
      </c>
    </row>
    <row r="38" spans="1:5" s="162" customFormat="1">
      <c r="A38" s="378" t="s">
        <v>615</v>
      </c>
      <c r="B38" s="379"/>
      <c r="C38" s="219"/>
      <c r="D38" s="94"/>
      <c r="E38" s="94"/>
    </row>
    <row r="39" spans="1:5">
      <c r="A39" s="337"/>
      <c r="B39" s="381"/>
      <c r="C39" s="333"/>
      <c r="D39" s="177"/>
      <c r="E39" s="177"/>
    </row>
    <row r="40" spans="1:5">
      <c r="A40" s="337"/>
      <c r="B40" s="381"/>
      <c r="C40" s="333"/>
      <c r="D40" s="177"/>
      <c r="E40" s="177"/>
    </row>
    <row r="41" spans="1:5">
      <c r="A41" s="337"/>
      <c r="B41" s="381"/>
      <c r="C41" s="333"/>
      <c r="D41" s="177"/>
      <c r="E41" s="177"/>
    </row>
    <row r="42" spans="1:5">
      <c r="A42" s="337"/>
      <c r="B42" s="381"/>
      <c r="C42" s="333"/>
      <c r="D42" s="177"/>
      <c r="E42" s="177"/>
    </row>
    <row r="43" spans="1:5">
      <c r="A43" s="382" t="s">
        <v>140</v>
      </c>
      <c r="B43" s="381"/>
      <c r="C43" s="333"/>
      <c r="D43" s="177"/>
      <c r="E43" s="177"/>
    </row>
    <row r="44" spans="1:5">
      <c r="A44" s="340" t="s">
        <v>84</v>
      </c>
      <c r="B44" s="341"/>
      <c r="C44" s="333"/>
      <c r="D44" s="333"/>
      <c r="E44" s="333"/>
    </row>
    <row r="45" spans="1:5">
      <c r="A45" s="340" t="s">
        <v>85</v>
      </c>
      <c r="B45" s="341"/>
      <c r="C45" s="342" t="str">
        <f>IF(C46*0.1&lt;C44,"Exceed 10% Rule","")</f>
        <v/>
      </c>
      <c r="D45" s="342" t="str">
        <f>IF(D46*0.1&lt;D44,"Exceed 10% Rule","")</f>
        <v/>
      </c>
      <c r="E45" s="342" t="str">
        <f>IF(E46*0.1&lt;E44,"Exceed 10% Rule","")</f>
        <v/>
      </c>
    </row>
    <row r="46" spans="1:5">
      <c r="A46" s="102" t="s">
        <v>141</v>
      </c>
      <c r="B46" s="379"/>
      <c r="C46" s="344">
        <f>SUM(C39:C44)</f>
        <v>0</v>
      </c>
      <c r="D46" s="345">
        <f>SUM(D39:D44)</f>
        <v>0</v>
      </c>
      <c r="E46" s="345">
        <f>SUM(E39:E44)</f>
        <v>0</v>
      </c>
    </row>
    <row r="47" spans="1:5">
      <c r="A47" s="102" t="s">
        <v>142</v>
      </c>
      <c r="B47" s="379"/>
      <c r="C47" s="344">
        <f>C37+C46</f>
        <v>0</v>
      </c>
      <c r="D47" s="345">
        <f>D37+D46</f>
        <v>0</v>
      </c>
      <c r="E47" s="345">
        <f>E37+E46</f>
        <v>0</v>
      </c>
    </row>
    <row r="48" spans="1:5">
      <c r="A48" s="84" t="s">
        <v>143</v>
      </c>
      <c r="B48" s="379"/>
      <c r="C48" s="334"/>
      <c r="D48" s="272"/>
      <c r="E48" s="272"/>
    </row>
    <row r="49" spans="1:5">
      <c r="A49" s="337"/>
      <c r="B49" s="381"/>
      <c r="C49" s="333"/>
      <c r="D49" s="177"/>
      <c r="E49" s="177"/>
    </row>
    <row r="50" spans="1:5">
      <c r="A50" s="337"/>
      <c r="B50" s="381"/>
      <c r="C50" s="333"/>
      <c r="D50" s="177"/>
      <c r="E50" s="177"/>
    </row>
    <row r="51" spans="1:5">
      <c r="A51" s="337"/>
      <c r="B51" s="381"/>
      <c r="C51" s="333"/>
      <c r="D51" s="177"/>
      <c r="E51" s="177"/>
    </row>
    <row r="52" spans="1:5">
      <c r="A52" s="337"/>
      <c r="B52" s="381"/>
      <c r="C52" s="333"/>
      <c r="D52" s="177"/>
      <c r="E52" s="177"/>
    </row>
    <row r="53" spans="1:5">
      <c r="A53" s="337"/>
      <c r="B53" s="381"/>
      <c r="C53" s="333"/>
      <c r="D53" s="177"/>
      <c r="E53" s="177"/>
    </row>
    <row r="54" spans="1:5">
      <c r="A54" s="337"/>
      <c r="B54" s="381"/>
      <c r="C54" s="333"/>
      <c r="D54" s="177"/>
      <c r="E54" s="177"/>
    </row>
    <row r="55" spans="1:5">
      <c r="A55" s="337"/>
      <c r="B55" s="381"/>
      <c r="C55" s="333"/>
      <c r="D55" s="177"/>
      <c r="E55" s="177"/>
    </row>
    <row r="56" spans="1:5">
      <c r="A56" s="337"/>
      <c r="B56" s="381"/>
      <c r="C56" s="333"/>
      <c r="D56" s="177"/>
      <c r="E56" s="177"/>
    </row>
    <row r="57" spans="1:5">
      <c r="A57" s="336" t="s">
        <v>84</v>
      </c>
      <c r="B57" s="341"/>
      <c r="C57" s="333"/>
      <c r="D57" s="333"/>
      <c r="E57" s="333"/>
    </row>
    <row r="58" spans="1:5">
      <c r="A58" s="336" t="s">
        <v>87</v>
      </c>
      <c r="B58" s="341"/>
      <c r="C58" s="342" t="str">
        <f>IF(C59*0.1&lt;C57,"Exceed 10% Rule","")</f>
        <v/>
      </c>
      <c r="D58" s="342" t="str">
        <f>IF(D59*0.1&lt;D57,"Exceed 10% Rule","")</f>
        <v/>
      </c>
      <c r="E58" s="342" t="str">
        <f>IF(E59*0.1&lt;E57,"Exceed 10% Rule","")</f>
        <v/>
      </c>
    </row>
    <row r="59" spans="1:5">
      <c r="A59" s="102" t="s">
        <v>144</v>
      </c>
      <c r="B59" s="379"/>
      <c r="C59" s="344">
        <f>SUM(C49:C57)</f>
        <v>0</v>
      </c>
      <c r="D59" s="345">
        <f>SUM(D49:D57)</f>
        <v>0</v>
      </c>
      <c r="E59" s="345">
        <f>SUM(E49:E57)</f>
        <v>0</v>
      </c>
    </row>
    <row r="60" spans="1:5">
      <c r="A60" s="84" t="s">
        <v>614</v>
      </c>
      <c r="B60" s="379"/>
      <c r="C60" s="348">
        <f>C47-C59</f>
        <v>0</v>
      </c>
      <c r="D60" s="189">
        <f>D47-D59</f>
        <v>0</v>
      </c>
      <c r="E60" s="189">
        <f>E47-E59</f>
        <v>0</v>
      </c>
    </row>
    <row r="61" spans="1:5">
      <c r="A61" s="123" t="str">
        <f>CONCATENATE("",E1-2,"/",E1-1," Budget Authority Amount:")</f>
        <v>2011/2012 Budget Authority Amount:</v>
      </c>
      <c r="B61" s="349"/>
      <c r="C61" s="349">
        <f ca="1">inputOth!B97</f>
        <v>0</v>
      </c>
      <c r="D61" s="349">
        <f ca="1">inputPrYr!D38</f>
        <v>0</v>
      </c>
      <c r="E61" s="351" t="str">
        <f>IF(E60&lt;0,"See Tab E","")</f>
        <v/>
      </c>
    </row>
    <row r="62" spans="1:5">
      <c r="A62" s="123"/>
      <c r="B62" s="351"/>
      <c r="C62" s="351" t="str">
        <f>IF(C59&gt;C61,"See Tab A","")</f>
        <v/>
      </c>
      <c r="D62" s="351" t="str">
        <f>IF(D59&gt;D61,"See Tab C","")</f>
        <v/>
      </c>
      <c r="E62" s="67"/>
    </row>
    <row r="63" spans="1:5">
      <c r="A63" s="123"/>
      <c r="B63" s="351"/>
      <c r="C63" s="351" t="str">
        <f>IF(C60&lt;0,"See Tab B","")</f>
        <v/>
      </c>
      <c r="D63" s="403" t="str">
        <f>IF(D60&lt;0,"See Tab D","")</f>
        <v/>
      </c>
      <c r="E63" s="67"/>
    </row>
    <row r="64" spans="1:5">
      <c r="A64" s="67"/>
      <c r="B64" s="67"/>
      <c r="C64" s="67"/>
      <c r="D64" s="67"/>
      <c r="E64" s="67"/>
    </row>
    <row r="65" spans="1:5">
      <c r="A65" s="221"/>
      <c r="B65" s="221" t="s">
        <v>127</v>
      </c>
      <c r="C65" s="159"/>
      <c r="D65" s="67"/>
      <c r="E65" s="67"/>
    </row>
  </sheetData>
  <sheetProtection sheet="1" objects="1" scenarios="1"/>
  <phoneticPr fontId="12" type="noConversion"/>
  <conditionalFormatting sqref="C26">
    <cfRule type="cellIs" dxfId="32" priority="11" stopIfTrue="1" operator="greaterThan">
      <formula>$C$28*0.1</formula>
    </cfRule>
  </conditionalFormatting>
  <conditionalFormatting sqref="D26">
    <cfRule type="cellIs" dxfId="31" priority="12" stopIfTrue="1" operator="greaterThan">
      <formula>$D$28*0.1</formula>
    </cfRule>
  </conditionalFormatting>
  <conditionalFormatting sqref="E26">
    <cfRule type="cellIs" dxfId="30" priority="13" stopIfTrue="1" operator="greaterThan">
      <formula>$E$28*0.1</formula>
    </cfRule>
  </conditionalFormatting>
  <conditionalFormatting sqref="C57">
    <cfRule type="cellIs" dxfId="29" priority="14" stopIfTrue="1" operator="greaterThan">
      <formula>$C$59*0.1</formula>
    </cfRule>
  </conditionalFormatting>
  <conditionalFormatting sqref="D57">
    <cfRule type="cellIs" dxfId="28" priority="15" stopIfTrue="1" operator="greaterThan">
      <formula>$D$59*0.1</formula>
    </cfRule>
  </conditionalFormatting>
  <conditionalFormatting sqref="E57">
    <cfRule type="cellIs" dxfId="27" priority="16" stopIfTrue="1" operator="greaterThan">
      <formula>$E$59*0.1</formula>
    </cfRule>
  </conditionalFormatting>
  <conditionalFormatting sqref="C44">
    <cfRule type="cellIs" dxfId="26" priority="17" stopIfTrue="1" operator="greaterThan">
      <formula>$C$46*0.1</formula>
    </cfRule>
  </conditionalFormatting>
  <conditionalFormatting sqref="D44">
    <cfRule type="cellIs" dxfId="25" priority="18" stopIfTrue="1" operator="greaterThan">
      <formula>$D$46*0.1</formula>
    </cfRule>
  </conditionalFormatting>
  <conditionalFormatting sqref="E44">
    <cfRule type="cellIs" dxfId="24" priority="19" stopIfTrue="1" operator="greaterThan">
      <formula>$E$46*0.1</formula>
    </cfRule>
  </conditionalFormatting>
  <conditionalFormatting sqref="C13">
    <cfRule type="cellIs" dxfId="23" priority="20" stopIfTrue="1" operator="greaterThan">
      <formula>$C$15*0.1</formula>
    </cfRule>
  </conditionalFormatting>
  <conditionalFormatting sqref="D13">
    <cfRule type="cellIs" dxfId="22" priority="21" stopIfTrue="1" operator="greaterThan">
      <formula>$D$15*0.1</formula>
    </cfRule>
  </conditionalFormatting>
  <conditionalFormatting sqref="E13">
    <cfRule type="cellIs" dxfId="21" priority="22" stopIfTrue="1" operator="greaterThan">
      <formula>$E$15*0.1</formula>
    </cfRule>
  </conditionalFormatting>
  <conditionalFormatting sqref="C28">
    <cfRule type="cellIs" dxfId="20" priority="10" stopIfTrue="1" operator="greaterThan">
      <formula>$C$30</formula>
    </cfRule>
  </conditionalFormatting>
  <conditionalFormatting sqref="C29">
    <cfRule type="cellIs" dxfId="19" priority="9" stopIfTrue="1" operator="lessThan">
      <formula>0</formula>
    </cfRule>
  </conditionalFormatting>
  <conditionalFormatting sqref="D28">
    <cfRule type="cellIs" dxfId="18" priority="8" stopIfTrue="1" operator="greaterThan">
      <formula>$D$30</formula>
    </cfRule>
  </conditionalFormatting>
  <conditionalFormatting sqref="E29">
    <cfRule type="cellIs" dxfId="17" priority="7" stopIfTrue="1" operator="lessThan">
      <formula>0</formula>
    </cfRule>
  </conditionalFormatting>
  <conditionalFormatting sqref="C59">
    <cfRule type="cellIs" dxfId="16" priority="6" stopIfTrue="1" operator="greaterThan">
      <formula>$C$61</formula>
    </cfRule>
  </conditionalFormatting>
  <conditionalFormatting sqref="C60">
    <cfRule type="cellIs" dxfId="15" priority="5" stopIfTrue="1" operator="lessThan">
      <formula>0</formula>
    </cfRule>
  </conditionalFormatting>
  <conditionalFormatting sqref="D59">
    <cfRule type="cellIs" dxfId="14" priority="4" stopIfTrue="1" operator="greaterThan">
      <formula>$D$61</formula>
    </cfRule>
  </conditionalFormatting>
  <conditionalFormatting sqref="E60">
    <cfRule type="cellIs" dxfId="13" priority="3" stopIfTrue="1" operator="lessThan">
      <formula>0</formula>
    </cfRule>
  </conditionalFormatting>
  <conditionalFormatting sqref="D29">
    <cfRule type="cellIs" dxfId="12" priority="2" stopIfTrue="1" operator="lessThan">
      <formula>0</formula>
    </cfRule>
  </conditionalFormatting>
  <conditionalFormatting sqref="D60">
    <cfRule type="cellIs" dxfId="11"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8/21/09</oddFooter>
  </headerFooter>
</worksheet>
</file>

<file path=xl/worksheets/sheet16.xml><?xml version="1.0" encoding="utf-8"?>
<worksheet xmlns="http://schemas.openxmlformats.org/spreadsheetml/2006/main" xmlns:r="http://schemas.openxmlformats.org/officeDocument/2006/relationships">
  <sheetPr codeName="Sheet6">
    <pageSetUpPr fitToPage="1"/>
  </sheetPr>
  <dimension ref="A1:K44"/>
  <sheetViews>
    <sheetView workbookViewId="0">
      <selection activeCell="D12" sqref="D12"/>
    </sheetView>
  </sheetViews>
  <sheetFormatPr defaultRowHeight="15.75"/>
  <cols>
    <col min="1" max="1" width="17.296875" style="237" customWidth="1"/>
    <col min="2" max="2" width="19.796875" style="237" customWidth="1"/>
    <col min="3" max="3" width="8.69921875" style="237" hidden="1" customWidth="1"/>
    <col min="4" max="4" width="12.09765625" style="237" customWidth="1"/>
    <col min="5" max="5" width="12.09765625" style="237" hidden="1" customWidth="1"/>
    <col min="6" max="6" width="9.765625E-2" style="237" hidden="1" customWidth="1"/>
    <col min="7" max="7" width="13.69921875" style="237" customWidth="1"/>
    <col min="8" max="8" width="9.765625E-2" style="237" customWidth="1"/>
    <col min="9" max="11" width="13.69921875" style="237" customWidth="1"/>
    <col min="12" max="16384" width="8.796875" style="237"/>
  </cols>
  <sheetData>
    <row r="1" spans="1:11">
      <c r="A1" s="67"/>
      <c r="B1" s="235" t="str">
        <f ca="1">inputPrYr!D3</f>
        <v>Paradise Township</v>
      </c>
      <c r="C1" s="67"/>
      <c r="D1" s="67"/>
      <c r="E1" s="67"/>
      <c r="F1" s="67"/>
      <c r="G1" s="67"/>
      <c r="H1" s="67"/>
      <c r="I1" s="67"/>
      <c r="J1" s="67"/>
      <c r="K1" s="236">
        <f ca="1">inputPrYr!D9</f>
        <v>2013</v>
      </c>
    </row>
    <row r="2" spans="1:11">
      <c r="A2" s="67"/>
      <c r="B2" s="235"/>
      <c r="C2" s="67"/>
      <c r="D2" s="67"/>
      <c r="E2" s="67"/>
      <c r="F2" s="67"/>
      <c r="G2" s="67"/>
      <c r="H2" s="67"/>
      <c r="I2" s="67"/>
      <c r="J2" s="221"/>
      <c r="K2" s="221"/>
    </row>
    <row r="3" spans="1:11">
      <c r="A3" s="67"/>
      <c r="B3" s="235"/>
      <c r="C3" s="67"/>
      <c r="D3" s="67"/>
      <c r="E3" s="67"/>
      <c r="F3" s="67"/>
      <c r="G3" s="67"/>
      <c r="H3" s="67"/>
      <c r="I3" s="67"/>
      <c r="J3" s="221"/>
      <c r="K3" s="221"/>
    </row>
    <row r="4" spans="1:11">
      <c r="A4" s="67"/>
      <c r="B4" s="235"/>
      <c r="C4" s="67"/>
      <c r="D4" s="67"/>
      <c r="E4" s="67"/>
      <c r="F4" s="67"/>
      <c r="G4" s="67"/>
      <c r="H4" s="67"/>
      <c r="I4" s="67"/>
      <c r="J4" s="221"/>
      <c r="K4" s="221"/>
    </row>
    <row r="5" spans="1:11">
      <c r="A5" s="67"/>
      <c r="B5" s="67"/>
      <c r="C5" s="67"/>
      <c r="D5" s="67"/>
      <c r="E5" s="67"/>
      <c r="F5" s="67"/>
      <c r="G5" s="67"/>
      <c r="H5" s="67"/>
      <c r="I5" s="67"/>
      <c r="J5" s="67"/>
      <c r="K5" s="67"/>
    </row>
    <row r="6" spans="1:11">
      <c r="A6" s="67"/>
      <c r="B6" s="516" t="s">
        <v>82</v>
      </c>
      <c r="C6" s="467"/>
      <c r="D6" s="467"/>
      <c r="E6" s="467"/>
      <c r="F6" s="467"/>
      <c r="G6" s="467"/>
      <c r="H6" s="467"/>
      <c r="I6" s="467"/>
      <c r="J6" s="467"/>
      <c r="K6" s="467"/>
    </row>
    <row r="7" spans="1:11" ht="16.5">
      <c r="A7" s="67"/>
      <c r="B7" s="468"/>
      <c r="C7" s="517"/>
      <c r="D7" s="517"/>
      <c r="E7" s="517"/>
      <c r="F7" s="517"/>
      <c r="G7" s="517"/>
      <c r="H7" s="517"/>
      <c r="I7" s="517"/>
      <c r="J7" s="517"/>
      <c r="K7" s="517"/>
    </row>
    <row r="8" spans="1:11" ht="16.5">
      <c r="A8" s="67"/>
      <c r="B8" s="468"/>
      <c r="C8" s="517"/>
      <c r="D8" s="517"/>
      <c r="E8" s="517"/>
      <c r="F8" s="517"/>
      <c r="G8" s="517"/>
      <c r="H8" s="517"/>
      <c r="I8" s="517"/>
      <c r="J8" s="517"/>
      <c r="K8" s="517"/>
    </row>
    <row r="9" spans="1:11">
      <c r="A9" s="67"/>
      <c r="B9" s="67"/>
      <c r="C9" s="238"/>
      <c r="D9" s="238"/>
      <c r="E9" s="238"/>
      <c r="F9" s="238"/>
      <c r="G9" s="239"/>
      <c r="H9" s="68"/>
      <c r="I9" s="68"/>
      <c r="J9" s="67"/>
      <c r="K9" s="67"/>
    </row>
    <row r="10" spans="1:11" ht="21" customHeight="1">
      <c r="A10" s="67"/>
      <c r="B10" s="213"/>
      <c r="C10" s="240"/>
      <c r="D10" s="518" t="str">
        <f>CONCATENATE("Budget Tax Levy Amount for ",K1-2,"")</f>
        <v>Budget Tax Levy Amount for 2011</v>
      </c>
      <c r="E10" s="518" t="str">
        <f>CONCATENATE("Budget Tax Levy Rate for ",K1-1,"")</f>
        <v>Budget Tax Levy Rate for 2012</v>
      </c>
      <c r="F10" s="87"/>
      <c r="G10" s="472" t="str">
        <f>CONCATENATE("Allocation for Year ",K1,"")</f>
        <v>Allocation for Year 2013</v>
      </c>
      <c r="H10" s="520"/>
      <c r="I10" s="520"/>
      <c r="J10" s="520"/>
      <c r="K10" s="521"/>
    </row>
    <row r="11" spans="1:11">
      <c r="A11" s="67"/>
      <c r="B11" s="241" t="str">
        <f>CONCATENATE("",K1-1," Budgeted Funds")</f>
        <v>2012 Budgeted Funds</v>
      </c>
      <c r="C11" s="242"/>
      <c r="D11" s="519"/>
      <c r="E11" s="519"/>
      <c r="F11" s="83"/>
      <c r="G11" s="83" t="s">
        <v>573</v>
      </c>
      <c r="H11" s="83"/>
      <c r="I11" s="83" t="s">
        <v>574</v>
      </c>
      <c r="J11" s="80" t="s">
        <v>616</v>
      </c>
      <c r="K11" s="80" t="s">
        <v>659</v>
      </c>
    </row>
    <row r="12" spans="1:11">
      <c r="A12" s="67"/>
      <c r="B12" s="94" t="str">
        <f ca="1">inputPrYr!B20</f>
        <v>General</v>
      </c>
      <c r="C12" s="243"/>
      <c r="D12" s="94">
        <f ca="1">IF(inputPrYr!E20&gt;0,inputPrYr!E20,"  ")</f>
        <v>6845</v>
      </c>
      <c r="E12" s="244">
        <f ca="1">IF(inputOth!D37&gt;0,inputOth!D37,"  ")</f>
        <v>0.45400000000000001</v>
      </c>
      <c r="F12" s="245"/>
      <c r="G12" s="94">
        <f ca="1">IF(inputPrYr!E20=0,0,G25-SUM(G13:G22))</f>
        <v>85</v>
      </c>
      <c r="H12" s="246"/>
      <c r="I12" s="94">
        <f ca="1">IF(inputPrYr!E20=0,0,I27-SUM(I13:I22))</f>
        <v>2</v>
      </c>
      <c r="J12" s="94">
        <f ca="1">IF(inputPrYr!E20=0,0,J29-SUM(J13:J22))</f>
        <v>47</v>
      </c>
      <c r="K12" s="94">
        <f ca="1">IF(inputPrYr!E20=0,0,K31-SUM(K13:K22))</f>
        <v>0</v>
      </c>
    </row>
    <row r="13" spans="1:11">
      <c r="A13" s="67"/>
      <c r="B13" s="94" t="str">
        <f ca="1">inputPrYr!B21</f>
        <v>Debt Service</v>
      </c>
      <c r="C13" s="243"/>
      <c r="D13" s="94" t="str">
        <f ca="1">IF(inputPrYr!E21&gt;0,inputPrYr!E21,"  ")</f>
        <v xml:space="preserve">  </v>
      </c>
      <c r="E13" s="244" t="str">
        <f ca="1">IF(inputOth!D38&gt;0,inputOth!D38,"  ")</f>
        <v xml:space="preserve">  </v>
      </c>
      <c r="F13" s="245"/>
      <c r="G13" s="94">
        <f ca="1">IF(inputPrYr!E21=0,0,ROUND(D13*$G$33,0))</f>
        <v>0</v>
      </c>
      <c r="H13" s="246"/>
      <c r="I13" s="94">
        <f ca="1">IF(inputPrYr!$E$21=0,0,ROUND($D$13*$I$35,0))</f>
        <v>0</v>
      </c>
      <c r="J13" s="94">
        <f ca="1">IF(inputPrYr!E21=0,0,ROUND($D13*$J$37,0))</f>
        <v>0</v>
      </c>
      <c r="K13" s="94">
        <f ca="1">IF(inputPrYr!E21=0,0,ROUND($D13*$K$39,0))</f>
        <v>0</v>
      </c>
    </row>
    <row r="14" spans="1:11">
      <c r="A14" s="67"/>
      <c r="B14" s="94" t="str">
        <f ca="1">IF(inputPrYr!$B22&gt;"  ",inputPrYr!$B22,"  ")</f>
        <v>Road</v>
      </c>
      <c r="C14" s="243"/>
      <c r="D14" s="94">
        <f ca="1">IF(inputPrYr!E22&gt;0,inputPrYr!E22,"  ")</f>
        <v>119071</v>
      </c>
      <c r="E14" s="244">
        <f ca="1">IF(inputOth!D39&gt;0,inputOth!D39,"  ")</f>
        <v>8.0120000000000005</v>
      </c>
      <c r="F14" s="245"/>
      <c r="G14" s="94">
        <f ca="1">IF(inputPrYr!E22=0,0,ROUND(D14*$G$33,0))</f>
        <v>1486</v>
      </c>
      <c r="H14" s="246"/>
      <c r="I14" s="94">
        <f ca="1">IF(inputPrYr!$E$22=0,0,ROUND($D$14*$I$35,0))</f>
        <v>41</v>
      </c>
      <c r="J14" s="94">
        <f ca="1">IF(inputPrYr!E22=0,0,ROUND($D14*$J$37,0))</f>
        <v>824</v>
      </c>
      <c r="K14" s="94">
        <f ca="1">IF(inputPrYr!E22=0,0,ROUND($D14*$K$39,0))</f>
        <v>0</v>
      </c>
    </row>
    <row r="15" spans="1:11">
      <c r="A15" s="67"/>
      <c r="B15" s="94" t="str">
        <f ca="1">IF(inputPrYr!$B23&gt;"  ",inputPrYr!$B23,"  ")</f>
        <v>Special Road</v>
      </c>
      <c r="C15" s="243"/>
      <c r="D15" s="94" t="str">
        <f ca="1">IF(inputPrYr!E23&gt;0,inputPrYr!E23,"  ")</f>
        <v xml:space="preserve">  </v>
      </c>
      <c r="E15" s="244" t="str">
        <f ca="1">IF(inputOth!D40&gt;0,inputOth!D40,"  ")</f>
        <v xml:space="preserve">  </v>
      </c>
      <c r="F15" s="245"/>
      <c r="G15" s="94">
        <f ca="1">IF(inputPrYr!E23=0,0,ROUND(D15*$G$33,0))</f>
        <v>0</v>
      </c>
      <c r="H15" s="246"/>
      <c r="I15" s="94">
        <f ca="1">IF(inputPrYr!$E$23=0,0,ROUND($D$15*$I$35,0))</f>
        <v>0</v>
      </c>
      <c r="J15" s="94">
        <f ca="1">IF(inputPrYr!E23=0,0,ROUND($D15*$J$37,0))</f>
        <v>0</v>
      </c>
      <c r="K15" s="94">
        <f ca="1">IF(inputPrYr!E23=0,0,ROUND($D15*$K$39,0))</f>
        <v>0</v>
      </c>
    </row>
    <row r="16" spans="1:11">
      <c r="A16" s="67"/>
      <c r="B16" s="94" t="str">
        <f ca="1">IF(inputPrYr!$B24&gt;"  ",inputPrYr!$B24,"  ")</f>
        <v>Noxious Weed</v>
      </c>
      <c r="C16" s="243"/>
      <c r="D16" s="94" t="str">
        <f ca="1">IF(inputPrYr!E24&gt;0,inputPrYr!E24,"  ")</f>
        <v xml:space="preserve">  </v>
      </c>
      <c r="E16" s="244" t="str">
        <f ca="1">IF(inputOth!D41&gt;0,inputOth!D41,"  ")</f>
        <v xml:space="preserve">  </v>
      </c>
      <c r="F16" s="245"/>
      <c r="G16" s="94">
        <f ca="1">IF(inputPrYr!E24=0,0,ROUND(D16*$G$33,0))</f>
        <v>0</v>
      </c>
      <c r="H16" s="246"/>
      <c r="I16" s="94">
        <f ca="1">IF(inputPrYr!$E$24=0,0,ROUND($D$16*$I$35,0))</f>
        <v>0</v>
      </c>
      <c r="J16" s="94">
        <f ca="1">IF(inputPrYr!E24=0,0,ROUND($D16*$J$37,0))</f>
        <v>0</v>
      </c>
      <c r="K16" s="94">
        <f ca="1">IF(inputPrYr!E24=0,0,ROUND($D16*$K$39,0))</f>
        <v>0</v>
      </c>
    </row>
    <row r="17" spans="1:11">
      <c r="A17" s="67"/>
      <c r="B17" s="94" t="str">
        <f ca="1">IF(inputPrYr!$B25&gt;"  ",inputPrYr!$B25,"  ")</f>
        <v>Fire Protection</v>
      </c>
      <c r="C17" s="243"/>
      <c r="D17" s="94" t="str">
        <f ca="1">IF(inputPrYr!E25&gt;0,inputPrYr!E25,"  ")</f>
        <v xml:space="preserve">  </v>
      </c>
      <c r="E17" s="244" t="str">
        <f ca="1">IF(inputOth!D42&gt;0,inputOth!D42,"  ")</f>
        <v xml:space="preserve">  </v>
      </c>
      <c r="F17" s="245"/>
      <c r="G17" s="94">
        <f ca="1">IF(inputPrYr!E25=0,0,ROUND(D17*$G$33,0))</f>
        <v>0</v>
      </c>
      <c r="H17" s="246"/>
      <c r="I17" s="94">
        <f ca="1">IF(inputPrYr!$E$25=0,0,ROUND($D$17*$I$35,0))</f>
        <v>0</v>
      </c>
      <c r="J17" s="94">
        <f ca="1">IF(inputPrYr!E25=0,0,ROUND($D17*$J$37,0))</f>
        <v>0</v>
      </c>
      <c r="K17" s="94">
        <f ca="1">IF(inputPrYr!E25=0,0,ROUND($D17*$K$39,0))</f>
        <v>0</v>
      </c>
    </row>
    <row r="18" spans="1:11">
      <c r="A18" s="67"/>
      <c r="B18" s="94" t="str">
        <f ca="1">IF(inputPrYr!$B26&gt;"  ",inputPrYr!$B26,"  ")</f>
        <v xml:space="preserve">  </v>
      </c>
      <c r="C18" s="243"/>
      <c r="D18" s="94" t="str">
        <f ca="1">IF(inputPrYr!E26&gt;0,inputPrYr!E26,"  ")</f>
        <v xml:space="preserve">  </v>
      </c>
      <c r="E18" s="244" t="str">
        <f ca="1">IF(inputOth!D43&gt;0,inputOth!D43,"  ")</f>
        <v xml:space="preserve">  </v>
      </c>
      <c r="F18" s="245"/>
      <c r="G18" s="94">
        <f ca="1">IF(inputPrYr!E26=0,0,ROUND(D18*$G$33,0))</f>
        <v>0</v>
      </c>
      <c r="H18" s="246"/>
      <c r="I18" s="94">
        <f ca="1">IF(inputPrYr!$E$26=0,0,ROUND($D$18*$I$35,0))</f>
        <v>0</v>
      </c>
      <c r="J18" s="94">
        <f ca="1">IF(inputPrYr!E26=0,0,ROUND($D18*$J$37,0))</f>
        <v>0</v>
      </c>
      <c r="K18" s="94">
        <f ca="1">IF(inputPrYr!E26=0,0,ROUND($D18*$K$39,0))</f>
        <v>0</v>
      </c>
    </row>
    <row r="19" spans="1:11">
      <c r="A19" s="67"/>
      <c r="B19" s="94" t="str">
        <f ca="1">IF(inputPrYr!$B27&gt;"  ",inputPrYr!$B27,"  ")</f>
        <v xml:space="preserve">  </v>
      </c>
      <c r="C19" s="243"/>
      <c r="D19" s="94" t="str">
        <f ca="1">IF(inputPrYr!E27&gt;0,inputPrYr!E27,"  ")</f>
        <v xml:space="preserve">  </v>
      </c>
      <c r="E19" s="244" t="str">
        <f ca="1">IF(inputOth!D44&gt;0,inputOth!D44,"  ")</f>
        <v xml:space="preserve">  </v>
      </c>
      <c r="F19" s="245"/>
      <c r="G19" s="94">
        <f ca="1">IF(inputPrYr!E27=0,0,ROUND(D19*$G$33,0))</f>
        <v>0</v>
      </c>
      <c r="H19" s="246"/>
      <c r="I19" s="94">
        <f ca="1">IF(inputPrYr!$E$27=0,0,ROUND($D$19*$I$35,0))</f>
        <v>0</v>
      </c>
      <c r="J19" s="94">
        <f ca="1">IF(inputPrYr!E27=0,0,ROUND($D19*$J$37,0))</f>
        <v>0</v>
      </c>
      <c r="K19" s="94">
        <f ca="1">IF(inputPrYr!E27=0,0,ROUND($D19*$K$39,0))</f>
        <v>0</v>
      </c>
    </row>
    <row r="20" spans="1:11">
      <c r="A20" s="67"/>
      <c r="B20" s="94" t="str">
        <f ca="1">IF(inputPrYr!$B28&gt;"  ",inputPrYr!$B28,"  ")</f>
        <v xml:space="preserve">  </v>
      </c>
      <c r="C20" s="243"/>
      <c r="D20" s="94" t="str">
        <f ca="1">IF(inputPrYr!E28&gt;0,inputPrYr!E28,"  ")</f>
        <v xml:space="preserve">  </v>
      </c>
      <c r="E20" s="244" t="str">
        <f ca="1">IF(inputOth!D45&gt;0,inputOth!D45,"  ")</f>
        <v xml:space="preserve">  </v>
      </c>
      <c r="F20" s="245"/>
      <c r="G20" s="94">
        <f ca="1">IF(inputPrYr!E28=0,0,ROUND(D20*$G$33,0))</f>
        <v>0</v>
      </c>
      <c r="H20" s="246"/>
      <c r="I20" s="94">
        <f ca="1">IF(inputPrYr!$E$28=0,0,ROUND($D$20*$I$35,0))</f>
        <v>0</v>
      </c>
      <c r="J20" s="94">
        <f ca="1">IF(inputPrYr!E28=0,0,ROUND($D20*$J$37,0))</f>
        <v>0</v>
      </c>
      <c r="K20" s="94">
        <f ca="1">IF(inputPrYr!E28=0,0,ROUND($D20*$K$39,0))</f>
        <v>0</v>
      </c>
    </row>
    <row r="21" spans="1:11">
      <c r="A21" s="67"/>
      <c r="B21" s="94" t="str">
        <f ca="1">IF(inputPrYr!$B29&gt;"  ",inputPrYr!$B29,"  ")</f>
        <v xml:space="preserve">  </v>
      </c>
      <c r="C21" s="243"/>
      <c r="D21" s="94" t="str">
        <f ca="1">IF(inputPrYr!E29&gt;0,inputPrYr!E29,"  ")</f>
        <v xml:space="preserve">  </v>
      </c>
      <c r="E21" s="244" t="str">
        <f ca="1">IF(inputOth!D46&gt;0,inputOth!D46,"  ")</f>
        <v xml:space="preserve">  </v>
      </c>
      <c r="F21" s="245"/>
      <c r="G21" s="94">
        <f ca="1">IF(inputPrYr!E29=0,0,ROUND(D21*$G$33,0))</f>
        <v>0</v>
      </c>
      <c r="H21" s="246"/>
      <c r="I21" s="94">
        <f ca="1">IF(inputPrYr!$E$29=0,0,ROUND($D$21*$I$35,0))</f>
        <v>0</v>
      </c>
      <c r="J21" s="94">
        <f ca="1">IF(inputPrYr!E29=0,0,ROUND($D21*$J$37,0))</f>
        <v>0</v>
      </c>
      <c r="K21" s="94">
        <f ca="1">IF(inputPrYr!E29=0,0,ROUND($D21*$K$39,0))</f>
        <v>0</v>
      </c>
    </row>
    <row r="22" spans="1:11">
      <c r="A22" s="67"/>
      <c r="B22" s="94" t="str">
        <f ca="1">IF(inputPrYr!$B31&gt;"  ",inputPrYr!$B31,"  ")</f>
        <v xml:space="preserve">  </v>
      </c>
      <c r="C22" s="243"/>
      <c r="D22" s="94" t="str">
        <f ca="1">IF(inputPrYr!E31&gt;0,inputPrYr!E31,"  ")</f>
        <v xml:space="preserve">  </v>
      </c>
      <c r="E22" s="244" t="str">
        <f ca="1">IF(inputOth!D47&gt;0,inputOth!D47,"  ")</f>
        <v xml:space="preserve">  </v>
      </c>
      <c r="F22" s="245"/>
      <c r="G22" s="94">
        <f ca="1">IF(inputPrYr!E31=0,0,ROUND(D22*$G$33,0))</f>
        <v>0</v>
      </c>
      <c r="H22" s="246"/>
      <c r="I22" s="94">
        <f ca="1">IF(inputPrYr!$E$31=0,0,ROUND($D$22*$I$35,0))</f>
        <v>0</v>
      </c>
      <c r="J22" s="94">
        <f ca="1">IF(inputPrYr!E31=0,0,ROUND($D22*$J$37,0))</f>
        <v>0</v>
      </c>
      <c r="K22" s="94">
        <f ca="1">IF(inputPrYr!E31=0,0,ROUND($D22*$K$39,0))</f>
        <v>0</v>
      </c>
    </row>
    <row r="23" spans="1:11" ht="16.5" thickBot="1">
      <c r="A23" s="67"/>
      <c r="B23" s="110" t="s">
        <v>98</v>
      </c>
      <c r="C23" s="247"/>
      <c r="D23" s="248">
        <f t="shared" ref="D23:J23" si="0">SUM(D12:D22)</f>
        <v>125916</v>
      </c>
      <c r="E23" s="249">
        <f>SUM(E12:E22)</f>
        <v>8.4660000000000011</v>
      </c>
      <c r="F23" s="250"/>
      <c r="G23" s="248">
        <f t="shared" si="0"/>
        <v>1571</v>
      </c>
      <c r="H23" s="248"/>
      <c r="I23" s="248">
        <f t="shared" si="0"/>
        <v>43</v>
      </c>
      <c r="J23" s="248">
        <f t="shared" si="0"/>
        <v>871</v>
      </c>
      <c r="K23" s="248">
        <f>SUM(K12:K22)</f>
        <v>0</v>
      </c>
    </row>
    <row r="24" spans="1:11" ht="16.5" thickTop="1">
      <c r="A24" s="67"/>
      <c r="B24" s="67"/>
      <c r="C24" s="67"/>
      <c r="D24" s="67"/>
      <c r="E24" s="67"/>
      <c r="F24" s="67"/>
      <c r="G24" s="67"/>
      <c r="H24" s="67"/>
      <c r="I24" s="67"/>
      <c r="J24" s="67"/>
      <c r="K24" s="67"/>
    </row>
    <row r="25" spans="1:11">
      <c r="A25" s="67"/>
      <c r="B25" s="76" t="s">
        <v>123</v>
      </c>
      <c r="C25" s="217"/>
      <c r="D25" s="67"/>
      <c r="E25" s="67"/>
      <c r="F25" s="67"/>
      <c r="G25" s="251">
        <f ca="1">SUM(inputOth!E58,inputOth!E62,inputOth!E66)</f>
        <v>1571</v>
      </c>
      <c r="H25" s="67"/>
      <c r="I25" s="67"/>
      <c r="J25" s="67"/>
      <c r="K25" s="67"/>
    </row>
    <row r="26" spans="1:11">
      <c r="A26" s="67"/>
      <c r="B26" s="67"/>
      <c r="C26" s="67"/>
      <c r="D26" s="67"/>
      <c r="E26" s="67"/>
      <c r="F26" s="67"/>
      <c r="G26" s="67"/>
      <c r="H26" s="67"/>
      <c r="I26" s="67"/>
      <c r="J26" s="67"/>
      <c r="K26" s="67"/>
    </row>
    <row r="27" spans="1:11">
      <c r="A27" s="67"/>
      <c r="B27" s="76" t="s">
        <v>124</v>
      </c>
      <c r="C27" s="67"/>
      <c r="D27" s="67"/>
      <c r="E27" s="67"/>
      <c r="F27" s="67"/>
      <c r="G27" s="67"/>
      <c r="H27" s="251">
        <f ca="1">inputPrYr!E82</f>
        <v>0</v>
      </c>
      <c r="I27" s="251">
        <f ca="1">SUM(inputOth!E59,inputOth!E63,inputOth!E67)</f>
        <v>43</v>
      </c>
      <c r="J27" s="67"/>
      <c r="K27" s="67"/>
    </row>
    <row r="28" spans="1:11">
      <c r="A28" s="67"/>
      <c r="B28" s="67"/>
      <c r="C28" s="67"/>
      <c r="D28" s="67"/>
      <c r="E28" s="67"/>
      <c r="F28" s="67"/>
      <c r="G28" s="67"/>
      <c r="H28" s="67"/>
      <c r="I28" s="67"/>
      <c r="J28" s="67"/>
      <c r="K28" s="67"/>
    </row>
    <row r="29" spans="1:11">
      <c r="A29" s="67"/>
      <c r="B29" s="76" t="s">
        <v>570</v>
      </c>
      <c r="C29" s="67"/>
      <c r="D29" s="67"/>
      <c r="E29" s="67"/>
      <c r="F29" s="67"/>
      <c r="G29" s="67"/>
      <c r="H29" s="67"/>
      <c r="I29" s="67"/>
      <c r="J29" s="251">
        <f ca="1">SUM(inputOth!E60,inputOth!E64,inputOth!E68)</f>
        <v>871</v>
      </c>
      <c r="K29" s="185"/>
    </row>
    <row r="30" spans="1:11">
      <c r="A30" s="67"/>
      <c r="B30" s="67"/>
      <c r="C30" s="67"/>
      <c r="D30" s="67"/>
      <c r="E30" s="67"/>
      <c r="F30" s="67"/>
      <c r="G30" s="67"/>
      <c r="H30" s="67"/>
      <c r="I30" s="67"/>
      <c r="J30" s="67"/>
      <c r="K30" s="67"/>
    </row>
    <row r="31" spans="1:11">
      <c r="A31" s="67"/>
      <c r="B31" s="67" t="s">
        <v>15</v>
      </c>
      <c r="C31" s="67"/>
      <c r="D31" s="67"/>
      <c r="E31" s="67"/>
      <c r="F31" s="67"/>
      <c r="G31" s="67"/>
      <c r="H31" s="67"/>
      <c r="I31" s="67"/>
      <c r="J31" s="67"/>
      <c r="K31" s="252">
        <f ca="1">inputOth!E71</f>
        <v>0</v>
      </c>
    </row>
    <row r="32" spans="1:11">
      <c r="A32" s="67"/>
      <c r="B32" s="67"/>
      <c r="C32" s="67"/>
      <c r="D32" s="67"/>
      <c r="E32" s="67"/>
      <c r="F32" s="67"/>
      <c r="G32" s="67"/>
      <c r="H32" s="67"/>
      <c r="I32" s="67"/>
      <c r="J32" s="67"/>
      <c r="K32" s="67"/>
    </row>
    <row r="33" spans="1:11">
      <c r="A33" s="67"/>
      <c r="B33" s="76" t="s">
        <v>125</v>
      </c>
      <c r="C33" s="67"/>
      <c r="D33" s="67"/>
      <c r="E33" s="67"/>
      <c r="F33" s="67"/>
      <c r="G33" s="253">
        <f>IF(D23=0,0,G25/D23)</f>
        <v>1.2476571682709107E-2</v>
      </c>
      <c r="H33" s="67"/>
      <c r="I33" s="67"/>
      <c r="J33" s="67"/>
      <c r="K33" s="67"/>
    </row>
    <row r="34" spans="1:11">
      <c r="A34" s="67"/>
      <c r="B34" s="67"/>
      <c r="C34" s="254"/>
      <c r="D34" s="67"/>
      <c r="E34" s="67"/>
      <c r="F34" s="67"/>
      <c r="G34" s="67"/>
      <c r="H34" s="67"/>
      <c r="I34" s="67"/>
      <c r="J34" s="67"/>
      <c r="K34" s="67"/>
    </row>
    <row r="35" spans="1:11">
      <c r="A35" s="67"/>
      <c r="B35" s="76" t="s">
        <v>126</v>
      </c>
      <c r="C35" s="67"/>
      <c r="D35" s="67"/>
      <c r="E35" s="67"/>
      <c r="F35" s="67"/>
      <c r="G35" s="67"/>
      <c r="H35" s="255">
        <f>IF(D23=0,0,H27/D23)</f>
        <v>0</v>
      </c>
      <c r="I35" s="256">
        <f>IF(D23=0,0,I27/D23)</f>
        <v>3.4149750627402397E-4</v>
      </c>
      <c r="J35" s="67"/>
      <c r="K35" s="67"/>
    </row>
    <row r="36" spans="1:11">
      <c r="A36" s="67"/>
      <c r="B36" s="67"/>
      <c r="C36" s="67"/>
      <c r="D36" s="67"/>
      <c r="E36" s="67"/>
      <c r="F36" s="67"/>
      <c r="G36" s="67"/>
      <c r="H36" s="67"/>
      <c r="I36" s="67"/>
      <c r="J36" s="67"/>
      <c r="K36" s="67"/>
    </row>
    <row r="37" spans="1:11">
      <c r="A37" s="67"/>
      <c r="B37" s="76" t="s">
        <v>572</v>
      </c>
      <c r="C37" s="67"/>
      <c r="D37" s="67"/>
      <c r="E37" s="67"/>
      <c r="F37" s="67"/>
      <c r="G37" s="67"/>
      <c r="H37" s="67"/>
      <c r="I37" s="67"/>
      <c r="J37" s="253">
        <f>IF(D23=0,0,J29/D23)</f>
        <v>6.9173099526668577E-3</v>
      </c>
      <c r="K37" s="257"/>
    </row>
    <row r="38" spans="1:11">
      <c r="A38" s="67"/>
      <c r="B38" s="67"/>
      <c r="C38" s="67"/>
      <c r="D38" s="67"/>
      <c r="E38" s="67"/>
      <c r="F38" s="67"/>
      <c r="G38" s="67"/>
      <c r="H38" s="67"/>
      <c r="I38" s="67"/>
      <c r="J38" s="67"/>
      <c r="K38" s="67"/>
    </row>
    <row r="39" spans="1:11">
      <c r="A39" s="67"/>
      <c r="B39" s="67" t="s">
        <v>16</v>
      </c>
      <c r="C39" s="67"/>
      <c r="D39" s="67"/>
      <c r="E39" s="67"/>
      <c r="F39" s="67"/>
      <c r="G39" s="67"/>
      <c r="H39" s="67"/>
      <c r="I39" s="67"/>
      <c r="J39" s="67"/>
      <c r="K39" s="253">
        <f>IF(D23=0,0,K31/D23)</f>
        <v>0</v>
      </c>
    </row>
    <row r="40" spans="1:11">
      <c r="A40" s="67"/>
      <c r="B40" s="67"/>
      <c r="C40" s="67"/>
      <c r="D40" s="67"/>
      <c r="E40" s="67"/>
      <c r="F40" s="67"/>
      <c r="G40" s="67"/>
      <c r="H40" s="67"/>
      <c r="I40" s="67"/>
      <c r="J40" s="67"/>
      <c r="K40" s="67"/>
    </row>
    <row r="44" spans="1:11">
      <c r="B44" s="258"/>
      <c r="C44" s="258"/>
      <c r="D44" s="258"/>
      <c r="E44" s="258"/>
      <c r="F44" s="258"/>
      <c r="G44" s="258"/>
      <c r="H44" s="258"/>
    </row>
  </sheetData>
  <sheetProtection sheet="1" objects="1" scenarios="1"/>
  <mergeCells count="6">
    <mergeCell ref="B6:K6"/>
    <mergeCell ref="B7:K7"/>
    <mergeCell ref="B8:K8"/>
    <mergeCell ref="D10:D11"/>
    <mergeCell ref="G10:K10"/>
    <mergeCell ref="E10:E11"/>
  </mergeCells>
  <phoneticPr fontId="0" type="noConversion"/>
  <pageMargins left="0.4" right="0.4" top="0.83" bottom="0.85" header="0.3" footer="0.6"/>
  <pageSetup scale="79" orientation="landscape" blackAndWhite="1" horizontalDpi="4294967292" verticalDpi="300" r:id="rId1"/>
  <headerFooter alignWithMargins="0">
    <oddHeader xml:space="preserve">&amp;RState of Kansas
Township
</oddHeader>
    <oddFooter>&amp;Lrevised 8/21/09&amp;CPage No. 3</oddFooter>
  </headerFooter>
</worksheet>
</file>

<file path=xl/worksheets/sheet17.xml><?xml version="1.0" encoding="utf-8"?>
<worksheet xmlns="http://schemas.openxmlformats.org/spreadsheetml/2006/main" xmlns:r="http://schemas.openxmlformats.org/officeDocument/2006/relationships">
  <sheetPr codeName="Sheet7">
    <pageSetUpPr fitToPage="1"/>
  </sheetPr>
  <dimension ref="A1:F32"/>
  <sheetViews>
    <sheetView workbookViewId="0">
      <selection activeCell="B13" sqref="B13"/>
    </sheetView>
  </sheetViews>
  <sheetFormatPr defaultRowHeight="15.75"/>
  <cols>
    <col min="1" max="2" width="16" style="162" customWidth="1"/>
    <col min="3" max="6" width="11.5" style="162" customWidth="1"/>
    <col min="7" max="16384" width="8.796875" style="162"/>
  </cols>
  <sheetData>
    <row r="1" spans="1:6">
      <c r="A1" s="235"/>
      <c r="B1" s="67"/>
      <c r="C1" s="67"/>
      <c r="D1" s="67"/>
      <c r="E1" s="221"/>
      <c r="F1" s="67">
        <f ca="1">inputPrYr!D9</f>
        <v>2013</v>
      </c>
    </row>
    <row r="2" spans="1:6">
      <c r="A2" s="128" t="str">
        <f ca="1">inputPrYr!D3</f>
        <v>Paradise Township</v>
      </c>
      <c r="B2" s="128"/>
      <c r="C2" s="67"/>
      <c r="D2" s="67"/>
      <c r="E2" s="221"/>
      <c r="F2" s="67"/>
    </row>
    <row r="3" spans="1:6">
      <c r="A3" s="235"/>
      <c r="B3" s="128"/>
      <c r="C3" s="67"/>
      <c r="D3" s="67"/>
      <c r="E3" s="221"/>
      <c r="F3" s="67"/>
    </row>
    <row r="4" spans="1:6">
      <c r="A4" s="235"/>
      <c r="B4" s="67"/>
      <c r="C4" s="67"/>
      <c r="D4" s="67"/>
      <c r="E4" s="221"/>
      <c r="F4" s="67"/>
    </row>
    <row r="5" spans="1:6" ht="15" customHeight="1">
      <c r="A5" s="468" t="s">
        <v>665</v>
      </c>
      <c r="B5" s="468"/>
      <c r="C5" s="468"/>
      <c r="D5" s="468"/>
      <c r="E5" s="468"/>
      <c r="F5" s="468"/>
    </row>
    <row r="6" spans="1:6" ht="14.25" customHeight="1">
      <c r="A6" s="66"/>
      <c r="B6" s="259"/>
      <c r="C6" s="259"/>
      <c r="D6" s="259"/>
      <c r="E6" s="259"/>
      <c r="F6" s="259"/>
    </row>
    <row r="7" spans="1:6" ht="15" customHeight="1">
      <c r="A7" s="260" t="s">
        <v>106</v>
      </c>
      <c r="B7" s="260" t="s">
        <v>518</v>
      </c>
      <c r="C7" s="261" t="s">
        <v>150</v>
      </c>
      <c r="D7" s="261" t="s">
        <v>666</v>
      </c>
      <c r="E7" s="260" t="s">
        <v>667</v>
      </c>
      <c r="F7" s="260" t="s">
        <v>668</v>
      </c>
    </row>
    <row r="8" spans="1:6" ht="15" customHeight="1">
      <c r="A8" s="262" t="s">
        <v>519</v>
      </c>
      <c r="B8" s="262" t="s">
        <v>520</v>
      </c>
      <c r="C8" s="263" t="s">
        <v>669</v>
      </c>
      <c r="D8" s="263" t="s">
        <v>669</v>
      </c>
      <c r="E8" s="263" t="s">
        <v>669</v>
      </c>
      <c r="F8" s="263" t="s">
        <v>670</v>
      </c>
    </row>
    <row r="9" spans="1:6" s="266" customFormat="1" ht="15" customHeight="1" thickBot="1">
      <c r="A9" s="264" t="s">
        <v>671</v>
      </c>
      <c r="B9" s="265" t="s">
        <v>672</v>
      </c>
      <c r="C9" s="265">
        <f>F1-2</f>
        <v>2011</v>
      </c>
      <c r="D9" s="265">
        <f>F1-1</f>
        <v>2012</v>
      </c>
      <c r="E9" s="265">
        <f>F1</f>
        <v>2013</v>
      </c>
      <c r="F9" s="265" t="s">
        <v>93</v>
      </c>
    </row>
    <row r="10" spans="1:6" ht="15" customHeight="1" thickTop="1">
      <c r="A10" s="267"/>
      <c r="B10" s="267"/>
      <c r="C10" s="268"/>
      <c r="D10" s="268"/>
      <c r="E10" s="268"/>
      <c r="F10" s="267"/>
    </row>
    <row r="11" spans="1:6" ht="15" customHeight="1">
      <c r="A11" s="215" t="s">
        <v>45</v>
      </c>
      <c r="B11" s="215" t="s">
        <v>110</v>
      </c>
      <c r="C11" s="269">
        <f ca="1">gen!$C$39</f>
        <v>0</v>
      </c>
      <c r="D11" s="269">
        <f ca="1">gen!$E$39</f>
        <v>0</v>
      </c>
      <c r="E11" s="269">
        <f ca="1">gen!$G$39</f>
        <v>0</v>
      </c>
      <c r="F11" s="215" t="str">
        <f>IF(C11+D11+E11&gt;0,"80-1406b","")</f>
        <v/>
      </c>
    </row>
    <row r="12" spans="1:6" ht="15" customHeight="1">
      <c r="A12" s="215" t="s">
        <v>45</v>
      </c>
      <c r="B12" s="215" t="s">
        <v>110</v>
      </c>
      <c r="C12" s="269">
        <f ca="1">gen!$C$41</f>
        <v>0</v>
      </c>
      <c r="D12" s="269">
        <f ca="1">gen!$E$41</f>
        <v>0</v>
      </c>
      <c r="E12" s="269">
        <f ca="1">gen!$G$41</f>
        <v>0</v>
      </c>
      <c r="F12" s="215" t="str">
        <f>IF(C12+D12+E12&gt;0,"80-122","")</f>
        <v/>
      </c>
    </row>
    <row r="13" spans="1:6" ht="15" customHeight="1">
      <c r="A13" s="215" t="s">
        <v>97</v>
      </c>
      <c r="B13" s="215" t="s">
        <v>110</v>
      </c>
      <c r="C13" s="269">
        <f ca="1">road!$C$36</f>
        <v>30000</v>
      </c>
      <c r="D13" s="269">
        <f ca="1">road!$E$36</f>
        <v>0</v>
      </c>
      <c r="E13" s="269">
        <f ca="1">road!$G$36</f>
        <v>0</v>
      </c>
      <c r="F13" s="215" t="str">
        <f>IF(C13+D13+E13&gt;0,"68-141g","")</f>
        <v>68-141g</v>
      </c>
    </row>
    <row r="14" spans="1:6" ht="15" customHeight="1">
      <c r="A14" s="187"/>
      <c r="B14" s="187"/>
      <c r="C14" s="270"/>
      <c r="D14" s="270"/>
      <c r="E14" s="270"/>
      <c r="F14" s="187"/>
    </row>
    <row r="15" spans="1:6" ht="15" customHeight="1">
      <c r="A15" s="187"/>
      <c r="B15" s="187"/>
      <c r="C15" s="270"/>
      <c r="D15" s="270"/>
      <c r="E15" s="270"/>
      <c r="F15" s="187"/>
    </row>
    <row r="16" spans="1:6" ht="15" customHeight="1">
      <c r="A16" s="187"/>
      <c r="B16" s="187"/>
      <c r="C16" s="270"/>
      <c r="D16" s="270"/>
      <c r="E16" s="270"/>
      <c r="F16" s="187"/>
    </row>
    <row r="17" spans="1:6" ht="15" customHeight="1">
      <c r="A17" s="187"/>
      <c r="B17" s="187"/>
      <c r="C17" s="270"/>
      <c r="D17" s="270"/>
      <c r="E17" s="270"/>
      <c r="F17" s="187"/>
    </row>
    <row r="18" spans="1:6" ht="15" customHeight="1">
      <c r="A18" s="187"/>
      <c r="B18" s="187"/>
      <c r="C18" s="270"/>
      <c r="D18" s="270"/>
      <c r="E18" s="270"/>
      <c r="F18" s="187"/>
    </row>
    <row r="19" spans="1:6" ht="15" customHeight="1">
      <c r="A19" s="187"/>
      <c r="B19" s="271"/>
      <c r="C19" s="270"/>
      <c r="D19" s="270"/>
      <c r="E19" s="270"/>
      <c r="F19" s="187"/>
    </row>
    <row r="20" spans="1:6" ht="15" customHeight="1">
      <c r="A20" s="187"/>
      <c r="B20" s="187"/>
      <c r="C20" s="270"/>
      <c r="D20" s="270"/>
      <c r="E20" s="270"/>
      <c r="F20" s="187"/>
    </row>
    <row r="21" spans="1:6" ht="15" customHeight="1">
      <c r="A21" s="187"/>
      <c r="B21" s="187"/>
      <c r="C21" s="270"/>
      <c r="D21" s="270"/>
      <c r="E21" s="270"/>
      <c r="F21" s="187"/>
    </row>
    <row r="22" spans="1:6" ht="15" customHeight="1">
      <c r="A22" s="187"/>
      <c r="B22" s="187"/>
      <c r="C22" s="270"/>
      <c r="D22" s="270"/>
      <c r="E22" s="270"/>
      <c r="F22" s="187"/>
    </row>
    <row r="23" spans="1:6" ht="15" customHeight="1">
      <c r="A23" s="187"/>
      <c r="B23" s="187"/>
      <c r="C23" s="270"/>
      <c r="D23" s="270"/>
      <c r="E23" s="270"/>
      <c r="F23" s="187"/>
    </row>
    <row r="24" spans="1:6" ht="15" customHeight="1">
      <c r="A24" s="187"/>
      <c r="B24" s="187"/>
      <c r="C24" s="270"/>
      <c r="D24" s="270"/>
      <c r="E24" s="270"/>
      <c r="F24" s="187"/>
    </row>
    <row r="25" spans="1:6" ht="15" customHeight="1">
      <c r="A25" s="187"/>
      <c r="B25" s="187"/>
      <c r="C25" s="270"/>
      <c r="D25" s="270"/>
      <c r="E25" s="270"/>
      <c r="F25" s="187"/>
    </row>
    <row r="26" spans="1:6" ht="15" customHeight="1">
      <c r="A26" s="187"/>
      <c r="B26" s="187"/>
      <c r="C26" s="270"/>
      <c r="D26" s="270"/>
      <c r="E26" s="270"/>
      <c r="F26" s="187"/>
    </row>
    <row r="27" spans="1:6">
      <c r="A27" s="199"/>
      <c r="B27" s="92" t="s">
        <v>98</v>
      </c>
      <c r="C27" s="272">
        <f>SUM(C10:C26)</f>
        <v>30000</v>
      </c>
      <c r="D27" s="272">
        <f>SUM(D10:D26)</f>
        <v>0</v>
      </c>
      <c r="E27" s="272">
        <f>SUM(E10:E26)</f>
        <v>0</v>
      </c>
      <c r="F27" s="199"/>
    </row>
    <row r="28" spans="1:6">
      <c r="A28" s="199"/>
      <c r="B28" s="92" t="s">
        <v>517</v>
      </c>
      <c r="C28" s="67"/>
      <c r="D28" s="187"/>
      <c r="E28" s="187"/>
      <c r="F28" s="199"/>
    </row>
    <row r="29" spans="1:6">
      <c r="A29" s="199"/>
      <c r="B29" s="92" t="s">
        <v>673</v>
      </c>
      <c r="C29" s="189">
        <f>C27</f>
        <v>30000</v>
      </c>
      <c r="D29" s="189">
        <f>SUM(D27-D28)</f>
        <v>0</v>
      </c>
      <c r="E29" s="189">
        <f>SUM(E27-E28)</f>
        <v>0</v>
      </c>
      <c r="F29" s="199"/>
    </row>
    <row r="30" spans="1:6">
      <c r="A30" s="199"/>
      <c r="B30" s="67"/>
      <c r="C30" s="67"/>
      <c r="D30" s="67"/>
      <c r="E30" s="67"/>
      <c r="F30" s="199"/>
    </row>
    <row r="31" spans="1:6">
      <c r="A31" s="199"/>
      <c r="B31" s="67"/>
      <c r="C31" s="67"/>
      <c r="D31" s="67"/>
      <c r="E31" s="67"/>
      <c r="F31" s="199"/>
    </row>
    <row r="32" spans="1:6">
      <c r="A32" s="434" t="s">
        <v>521</v>
      </c>
      <c r="B32" s="435" t="str">
        <f>CONCATENATE("Adjustments are required only if the transfer is being made in ",D9," and/or ",E9," from a non-budgeted fund.")</f>
        <v>Adjustments are required only if the transfer is being made in 2012 and/or 2013 from a non-budgeted fund.</v>
      </c>
      <c r="C32" s="67"/>
      <c r="D32" s="67"/>
      <c r="E32" s="67"/>
      <c r="F32" s="199"/>
    </row>
  </sheetData>
  <sheetProtection sheet="1" objects="1" scenarios="1"/>
  <mergeCells count="1">
    <mergeCell ref="A5:F5"/>
  </mergeCells>
  <phoneticPr fontId="12" type="noConversion"/>
  <pageMargins left="0.75" right="0.75" top="1" bottom="1" header="0.5" footer="0.5"/>
  <pageSetup scale="89" orientation="portrait" blackAndWhite="1" r:id="rId1"/>
  <headerFooter alignWithMargins="0">
    <oddHeader>&amp;RState of Kansas
Township</oddHeader>
    <oddFooter>&amp;Lrevised 4/15/10&amp;CPage No. 4</oddFooter>
  </headerFooter>
</worksheet>
</file>

<file path=xl/worksheets/sheet18.xml><?xml version="1.0" encoding="utf-8"?>
<worksheet xmlns="http://schemas.openxmlformats.org/spreadsheetml/2006/main" xmlns:r="http://schemas.openxmlformats.org/officeDocument/2006/relationships">
  <dimension ref="A1:A27"/>
  <sheetViews>
    <sheetView workbookViewId="0"/>
  </sheetViews>
  <sheetFormatPr defaultRowHeight="15.75"/>
  <cols>
    <col min="1" max="1" width="70.09765625" style="114" customWidth="1"/>
    <col min="2" max="16384" width="8.796875" style="114"/>
  </cols>
  <sheetData>
    <row r="1" spans="1:1" ht="18.75">
      <c r="A1" s="411" t="s">
        <v>189</v>
      </c>
    </row>
    <row r="2" spans="1:1">
      <c r="A2" s="119"/>
    </row>
    <row r="3" spans="1:1">
      <c r="A3" s="119"/>
    </row>
    <row r="4" spans="1:1" ht="52.5" customHeight="1">
      <c r="A4" s="228" t="s">
        <v>227</v>
      </c>
    </row>
    <row r="5" spans="1:1">
      <c r="A5" s="119"/>
    </row>
    <row r="6" spans="1:1">
      <c r="A6" s="119"/>
    </row>
    <row r="7" spans="1:1" ht="70.5" customHeight="1">
      <c r="A7" s="228" t="s">
        <v>228</v>
      </c>
    </row>
    <row r="8" spans="1:1">
      <c r="A8" s="406"/>
    </row>
    <row r="9" spans="1:1">
      <c r="A9" s="119"/>
    </row>
    <row r="10" spans="1:1" ht="56.25" customHeight="1">
      <c r="A10" s="228" t="s">
        <v>229</v>
      </c>
    </row>
    <row r="11" spans="1:1">
      <c r="A11" s="406"/>
    </row>
    <row r="12" spans="1:1">
      <c r="A12" s="406"/>
    </row>
    <row r="13" spans="1:1" ht="57.75" customHeight="1">
      <c r="A13" s="228" t="s">
        <v>230</v>
      </c>
    </row>
    <row r="14" spans="1:1">
      <c r="A14" s="406"/>
    </row>
    <row r="15" spans="1:1">
      <c r="A15" s="406"/>
    </row>
    <row r="16" spans="1:1" ht="87.75" customHeight="1">
      <c r="A16" s="228" t="s">
        <v>231</v>
      </c>
    </row>
    <row r="17" spans="1:1">
      <c r="A17" s="406"/>
    </row>
    <row r="18" spans="1:1">
      <c r="A18" s="119"/>
    </row>
    <row r="19" spans="1:1" ht="54.75" customHeight="1">
      <c r="A19" s="228" t="s">
        <v>232</v>
      </c>
    </row>
    <row r="20" spans="1:1">
      <c r="A20" s="119"/>
    </row>
    <row r="21" spans="1:1">
      <c r="A21" s="119"/>
    </row>
    <row r="22" spans="1:1" ht="69" customHeight="1">
      <c r="A22" s="228" t="s">
        <v>233</v>
      </c>
    </row>
    <row r="23" spans="1:1">
      <c r="A23" s="119"/>
    </row>
    <row r="24" spans="1:1">
      <c r="A24" s="408"/>
    </row>
    <row r="25" spans="1:1" ht="47.25" customHeight="1">
      <c r="A25" s="409" t="s">
        <v>234</v>
      </c>
    </row>
    <row r="26" spans="1:1">
      <c r="A26" s="410"/>
    </row>
    <row r="27" spans="1:1">
      <c r="A27" s="408"/>
    </row>
  </sheetData>
  <sheetProtection sheet="1"/>
  <phoneticPr fontId="0" type="noConversion"/>
  <pageMargins left="0.7" right="0.7" top="0.75" bottom="0.75" header="0.3" footer="0.3"/>
  <pageSetup orientation="portrait" r:id="rId1"/>
  <headerFooter>
    <oddFooter>&amp;Lrevised 8/21/09</oddFooter>
  </headerFooter>
</worksheet>
</file>

<file path=xl/worksheets/sheet19.xml><?xml version="1.0" encoding="utf-8"?>
<worksheet xmlns="http://schemas.openxmlformats.org/spreadsheetml/2006/main" xmlns:r="http://schemas.openxmlformats.org/officeDocument/2006/relationships">
  <sheetPr codeName="Sheet8">
    <pageSetUpPr fitToPage="1"/>
  </sheetPr>
  <dimension ref="A1:X39"/>
  <sheetViews>
    <sheetView workbookViewId="0">
      <selection activeCell="B13" sqref="B13:B14"/>
    </sheetView>
  </sheetViews>
  <sheetFormatPr defaultRowHeight="15.75"/>
  <cols>
    <col min="1" max="1" width="18.69921875" style="287" customWidth="1"/>
    <col min="2" max="2" width="8.796875" style="287"/>
    <col min="3" max="3" width="7.8984375" style="287" customWidth="1"/>
    <col min="4" max="4" width="8.796875" style="287"/>
    <col min="5" max="5" width="16.19921875" style="287" customWidth="1"/>
    <col min="6" max="16384" width="8.796875" style="287"/>
  </cols>
  <sheetData>
    <row r="1" spans="1:11">
      <c r="A1" s="285" t="str">
        <f ca="1">inputPrYr!$D$3</f>
        <v>Paradise Township</v>
      </c>
      <c r="B1" s="286"/>
      <c r="C1" s="286"/>
      <c r="D1" s="286"/>
      <c r="E1" s="286"/>
      <c r="F1" s="286"/>
      <c r="G1" s="286"/>
      <c r="H1" s="286"/>
      <c r="I1" s="67"/>
      <c r="J1" s="67"/>
      <c r="K1" s="236">
        <f ca="1">inputPrYr!D9</f>
        <v>2013</v>
      </c>
    </row>
    <row r="2" spans="1:11">
      <c r="A2" s="285" t="str">
        <f ca="1">inputPrYr!$D$4</f>
        <v>Russell County</v>
      </c>
      <c r="B2" s="286"/>
      <c r="C2" s="286"/>
      <c r="D2" s="286"/>
      <c r="E2" s="286"/>
      <c r="F2" s="286"/>
      <c r="G2" s="286"/>
      <c r="H2" s="286"/>
      <c r="I2" s="67"/>
      <c r="J2" s="67"/>
      <c r="K2" s="221"/>
    </row>
    <row r="3" spans="1:11">
      <c r="A3" s="288" t="s">
        <v>569</v>
      </c>
      <c r="B3" s="289"/>
      <c r="C3" s="289"/>
      <c r="D3" s="68"/>
      <c r="E3" s="289"/>
      <c r="F3" s="289"/>
      <c r="G3" s="289"/>
      <c r="H3" s="289"/>
      <c r="I3" s="289"/>
      <c r="J3" s="289"/>
      <c r="K3" s="289"/>
    </row>
    <row r="4" spans="1:11">
      <c r="A4" s="286"/>
      <c r="B4" s="286"/>
      <c r="C4" s="286"/>
      <c r="D4" s="286"/>
      <c r="E4" s="286"/>
      <c r="F4" s="286"/>
      <c r="G4" s="286"/>
      <c r="H4" s="286"/>
      <c r="I4" s="286"/>
      <c r="J4" s="286"/>
      <c r="K4" s="286"/>
    </row>
    <row r="5" spans="1:11">
      <c r="A5" s="67"/>
      <c r="B5" s="240" t="s">
        <v>544</v>
      </c>
      <c r="C5" s="240" t="s">
        <v>552</v>
      </c>
      <c r="D5" s="240"/>
      <c r="E5" s="240" t="s">
        <v>122</v>
      </c>
      <c r="F5" s="290"/>
      <c r="G5" s="291"/>
      <c r="H5" s="290" t="s">
        <v>545</v>
      </c>
      <c r="I5" s="291"/>
      <c r="J5" s="290" t="s">
        <v>545</v>
      </c>
      <c r="K5" s="291"/>
    </row>
    <row r="6" spans="1:11">
      <c r="A6" s="67"/>
      <c r="B6" s="292" t="s">
        <v>546</v>
      </c>
      <c r="C6" s="292" t="s">
        <v>121</v>
      </c>
      <c r="D6" s="292" t="s">
        <v>122</v>
      </c>
      <c r="E6" s="292" t="s">
        <v>617</v>
      </c>
      <c r="F6" s="293" t="s">
        <v>547</v>
      </c>
      <c r="G6" s="294"/>
      <c r="H6" s="293">
        <f>K1-1</f>
        <v>2012</v>
      </c>
      <c r="I6" s="294"/>
      <c r="J6" s="293">
        <f>K1</f>
        <v>2013</v>
      </c>
      <c r="K6" s="294"/>
    </row>
    <row r="7" spans="1:11">
      <c r="A7" s="295" t="s">
        <v>548</v>
      </c>
      <c r="B7" s="242" t="s">
        <v>549</v>
      </c>
      <c r="C7" s="242" t="s">
        <v>147</v>
      </c>
      <c r="D7" s="242" t="s">
        <v>550</v>
      </c>
      <c r="E7" s="296" t="str">
        <f>CONCATENATE("Jan 1,",K1-1,"")</f>
        <v>Jan 1,2012</v>
      </c>
      <c r="F7" s="92" t="s">
        <v>552</v>
      </c>
      <c r="G7" s="92" t="s">
        <v>553</v>
      </c>
      <c r="H7" s="92" t="s">
        <v>552</v>
      </c>
      <c r="I7" s="92" t="s">
        <v>553</v>
      </c>
      <c r="J7" s="92" t="s">
        <v>552</v>
      </c>
      <c r="K7" s="92" t="s">
        <v>553</v>
      </c>
    </row>
    <row r="8" spans="1:11">
      <c r="A8" s="297" t="s">
        <v>539</v>
      </c>
      <c r="B8" s="298"/>
      <c r="C8" s="297"/>
      <c r="D8" s="297"/>
      <c r="E8" s="297"/>
      <c r="F8" s="299"/>
      <c r="G8" s="299"/>
      <c r="H8" s="297"/>
      <c r="I8" s="297"/>
      <c r="J8" s="297"/>
      <c r="K8" s="297"/>
    </row>
    <row r="9" spans="1:11">
      <c r="A9" s="300"/>
      <c r="B9" s="436"/>
      <c r="C9" s="302"/>
      <c r="D9" s="177"/>
      <c r="E9" s="303"/>
      <c r="F9" s="304"/>
      <c r="G9" s="304"/>
      <c r="H9" s="303"/>
      <c r="I9" s="303"/>
      <c r="J9" s="303"/>
      <c r="K9" s="303"/>
    </row>
    <row r="10" spans="1:11">
      <c r="A10" s="300"/>
      <c r="B10" s="436"/>
      <c r="C10" s="302"/>
      <c r="D10" s="177"/>
      <c r="E10" s="303"/>
      <c r="F10" s="304"/>
      <c r="G10" s="304"/>
      <c r="H10" s="303"/>
      <c r="I10" s="303"/>
      <c r="J10" s="303"/>
      <c r="K10" s="303"/>
    </row>
    <row r="11" spans="1:11">
      <c r="A11" s="215" t="s">
        <v>651</v>
      </c>
      <c r="B11" s="305"/>
      <c r="C11" s="306"/>
      <c r="D11" s="272"/>
      <c r="E11" s="184">
        <f>SUM(E9:E10)</f>
        <v>0</v>
      </c>
      <c r="F11" s="307"/>
      <c r="G11" s="307"/>
      <c r="H11" s="184">
        <f>SUM(H9:H10)</f>
        <v>0</v>
      </c>
      <c r="I11" s="184">
        <f>SUM(I9:I10)</f>
        <v>0</v>
      </c>
      <c r="J11" s="184">
        <f>SUM(J9:J10)</f>
        <v>0</v>
      </c>
      <c r="K11" s="184">
        <f>SUM(K9:K10)</f>
        <v>0</v>
      </c>
    </row>
    <row r="12" spans="1:11">
      <c r="A12" s="215" t="s">
        <v>139</v>
      </c>
      <c r="B12" s="305"/>
      <c r="C12" s="306"/>
      <c r="D12" s="272"/>
      <c r="E12" s="94"/>
      <c r="F12" s="308"/>
      <c r="G12" s="308"/>
      <c r="H12" s="94"/>
      <c r="I12" s="94"/>
      <c r="J12" s="94"/>
      <c r="K12" s="94"/>
    </row>
    <row r="13" spans="1:11">
      <c r="A13" s="300"/>
      <c r="B13" s="436"/>
      <c r="C13" s="302"/>
      <c r="D13" s="177"/>
      <c r="E13" s="303"/>
      <c r="F13" s="304"/>
      <c r="G13" s="304"/>
      <c r="H13" s="303"/>
      <c r="I13" s="303"/>
      <c r="J13" s="303"/>
      <c r="K13" s="303"/>
    </row>
    <row r="14" spans="1:11">
      <c r="A14" s="300"/>
      <c r="B14" s="436"/>
      <c r="C14" s="302"/>
      <c r="D14" s="177"/>
      <c r="E14" s="303"/>
      <c r="F14" s="304"/>
      <c r="G14" s="304"/>
      <c r="H14" s="303"/>
      <c r="I14" s="303"/>
      <c r="J14" s="303"/>
      <c r="K14" s="303"/>
    </row>
    <row r="15" spans="1:11">
      <c r="A15" s="215" t="s">
        <v>652</v>
      </c>
      <c r="B15" s="305"/>
      <c r="C15" s="306"/>
      <c r="D15" s="272"/>
      <c r="E15" s="184">
        <f>SUM(E13:E14)</f>
        <v>0</v>
      </c>
      <c r="F15" s="308"/>
      <c r="G15" s="308"/>
      <c r="H15" s="184">
        <f>SUM(H13:H14)</f>
        <v>0</v>
      </c>
      <c r="I15" s="184">
        <f>SUM(I13:I14)</f>
        <v>0</v>
      </c>
      <c r="J15" s="184">
        <f>SUM(J13:J14)</f>
        <v>0</v>
      </c>
      <c r="K15" s="184">
        <f>SUM(K13:K14)</f>
        <v>0</v>
      </c>
    </row>
    <row r="16" spans="1:11">
      <c r="A16" s="309" t="s">
        <v>571</v>
      </c>
      <c r="B16" s="310"/>
      <c r="C16" s="311"/>
      <c r="D16" s="312"/>
      <c r="E16" s="313">
        <f>SUM(E11+E15)</f>
        <v>0</v>
      </c>
      <c r="F16" s="310"/>
      <c r="G16" s="314"/>
      <c r="H16" s="313">
        <f>SUM(H11+H15)</f>
        <v>0</v>
      </c>
      <c r="I16" s="313">
        <f>SUM(I11+I15)</f>
        <v>0</v>
      </c>
      <c r="J16" s="313">
        <f>SUM(J11+J15)</f>
        <v>0</v>
      </c>
      <c r="K16" s="313">
        <f>SUM(K11+K15)</f>
        <v>0</v>
      </c>
    </row>
    <row r="17" spans="1:24">
      <c r="A17" s="67"/>
      <c r="B17" s="67"/>
      <c r="C17" s="75"/>
      <c r="D17" s="75"/>
      <c r="E17" s="75"/>
      <c r="F17" s="75"/>
      <c r="G17" s="75"/>
      <c r="H17" s="75"/>
      <c r="I17" s="75"/>
      <c r="J17" s="75"/>
      <c r="K17" s="75"/>
      <c r="L17" s="119"/>
      <c r="M17" s="119"/>
      <c r="N17" s="119"/>
      <c r="O17" s="119"/>
      <c r="P17" s="119"/>
      <c r="Q17" s="119"/>
      <c r="R17" s="119"/>
      <c r="S17" s="119"/>
      <c r="T17" s="119"/>
      <c r="U17" s="119"/>
      <c r="V17" s="119"/>
      <c r="W17" s="119"/>
      <c r="X17" s="119"/>
    </row>
    <row r="18" spans="1:24" s="317" customFormat="1">
      <c r="A18" s="288" t="s">
        <v>568</v>
      </c>
      <c r="B18" s="315"/>
      <c r="C18" s="315"/>
      <c r="D18" s="315"/>
      <c r="E18" s="68"/>
      <c r="F18" s="315"/>
      <c r="G18" s="315"/>
      <c r="H18" s="315"/>
      <c r="I18" s="315"/>
      <c r="J18" s="315"/>
      <c r="K18" s="316"/>
    </row>
    <row r="19" spans="1:24" s="317" customFormat="1">
      <c r="A19" s="75"/>
      <c r="B19" s="318"/>
      <c r="C19" s="318"/>
      <c r="D19" s="318"/>
      <c r="E19" s="318"/>
      <c r="F19" s="318"/>
      <c r="G19" s="318"/>
      <c r="H19" s="318"/>
      <c r="I19" s="319"/>
      <c r="J19" s="319"/>
      <c r="K19" s="316"/>
    </row>
    <row r="20" spans="1:24" s="317" customFormat="1">
      <c r="A20" s="213"/>
      <c r="B20" s="213"/>
      <c r="C20" s="240" t="s">
        <v>551</v>
      </c>
      <c r="D20" s="213"/>
      <c r="E20" s="240" t="s">
        <v>98</v>
      </c>
      <c r="F20" s="213"/>
      <c r="G20" s="213"/>
      <c r="H20" s="213"/>
      <c r="I20" s="320"/>
      <c r="J20" s="321"/>
      <c r="K20" s="316"/>
    </row>
    <row r="21" spans="1:24" s="317" customFormat="1">
      <c r="A21" s="79"/>
      <c r="B21" s="292"/>
      <c r="C21" s="292" t="s">
        <v>546</v>
      </c>
      <c r="D21" s="292" t="s">
        <v>552</v>
      </c>
      <c r="E21" s="292" t="s">
        <v>122</v>
      </c>
      <c r="F21" s="292" t="s">
        <v>553</v>
      </c>
      <c r="G21" s="292" t="s">
        <v>554</v>
      </c>
      <c r="H21" s="292" t="s">
        <v>554</v>
      </c>
      <c r="I21" s="316"/>
      <c r="J21" s="316"/>
      <c r="K21" s="316"/>
    </row>
    <row r="22" spans="1:24" s="317" customFormat="1">
      <c r="A22" s="79"/>
      <c r="B22" s="292" t="s">
        <v>555</v>
      </c>
      <c r="C22" s="292" t="s">
        <v>556</v>
      </c>
      <c r="D22" s="292" t="s">
        <v>121</v>
      </c>
      <c r="E22" s="292" t="s">
        <v>557</v>
      </c>
      <c r="F22" s="292" t="s">
        <v>601</v>
      </c>
      <c r="G22" s="292" t="s">
        <v>558</v>
      </c>
      <c r="H22" s="292" t="s">
        <v>558</v>
      </c>
      <c r="I22" s="316"/>
      <c r="J22" s="316"/>
      <c r="K22" s="316"/>
    </row>
    <row r="23" spans="1:24" s="317" customFormat="1">
      <c r="A23" s="322" t="s">
        <v>559</v>
      </c>
      <c r="B23" s="242" t="s">
        <v>544</v>
      </c>
      <c r="C23" s="323" t="s">
        <v>560</v>
      </c>
      <c r="D23" s="242" t="s">
        <v>147</v>
      </c>
      <c r="E23" s="323" t="s">
        <v>618</v>
      </c>
      <c r="F23" s="296" t="str">
        <f>CONCATENATE("Jan 1,",K1-1,"")</f>
        <v>Jan 1,2012</v>
      </c>
      <c r="G23" s="242">
        <f>K1-1</f>
        <v>2012</v>
      </c>
      <c r="H23" s="242">
        <f>K1</f>
        <v>2013</v>
      </c>
      <c r="I23" s="316"/>
      <c r="J23" s="316"/>
      <c r="K23" s="316"/>
    </row>
    <row r="24" spans="1:24" s="317" customFormat="1">
      <c r="A24" s="300"/>
      <c r="B24" s="301"/>
      <c r="C24" s="324"/>
      <c r="D24" s="302"/>
      <c r="E24" s="177"/>
      <c r="F24" s="177"/>
      <c r="G24" s="177"/>
      <c r="H24" s="177"/>
      <c r="I24" s="316"/>
      <c r="J24" s="316"/>
      <c r="K24" s="316"/>
    </row>
    <row r="25" spans="1:24" s="317" customFormat="1">
      <c r="A25" s="300"/>
      <c r="B25" s="301"/>
      <c r="C25" s="324"/>
      <c r="D25" s="302"/>
      <c r="E25" s="177"/>
      <c r="F25" s="177"/>
      <c r="G25" s="177"/>
      <c r="H25" s="177"/>
      <c r="I25" s="316"/>
      <c r="J25" s="316"/>
      <c r="K25" s="316"/>
    </row>
    <row r="26" spans="1:24" s="317" customFormat="1">
      <c r="A26" s="300"/>
      <c r="B26" s="301"/>
      <c r="C26" s="324"/>
      <c r="D26" s="302"/>
      <c r="E26" s="177"/>
      <c r="F26" s="177"/>
      <c r="G26" s="177"/>
      <c r="H26" s="177"/>
      <c r="I26" s="316"/>
      <c r="J26" s="316"/>
      <c r="K26" s="316"/>
    </row>
    <row r="27" spans="1:24" s="317" customFormat="1">
      <c r="A27" s="300"/>
      <c r="B27" s="301"/>
      <c r="C27" s="324"/>
      <c r="D27" s="302"/>
      <c r="E27" s="177"/>
      <c r="F27" s="177"/>
      <c r="G27" s="177"/>
      <c r="H27" s="177"/>
      <c r="I27" s="316"/>
      <c r="J27" s="316"/>
      <c r="K27" s="316"/>
    </row>
    <row r="28" spans="1:24" s="317" customFormat="1">
      <c r="A28" s="300"/>
      <c r="B28" s="301"/>
      <c r="C28" s="324"/>
      <c r="D28" s="302"/>
      <c r="E28" s="177"/>
      <c r="F28" s="177"/>
      <c r="G28" s="177"/>
      <c r="H28" s="177"/>
      <c r="I28" s="316"/>
      <c r="J28" s="316"/>
      <c r="K28" s="316"/>
    </row>
    <row r="29" spans="1:24" s="317" customFormat="1">
      <c r="A29" s="300"/>
      <c r="B29" s="301"/>
      <c r="C29" s="324"/>
      <c r="D29" s="302"/>
      <c r="E29" s="177"/>
      <c r="F29" s="177"/>
      <c r="G29" s="177"/>
      <c r="H29" s="177"/>
      <c r="I29" s="316"/>
      <c r="J29" s="316"/>
      <c r="K29" s="316"/>
    </row>
    <row r="30" spans="1:24" s="317" customFormat="1">
      <c r="A30" s="300"/>
      <c r="B30" s="301"/>
      <c r="C30" s="324"/>
      <c r="D30" s="302"/>
      <c r="E30" s="177"/>
      <c r="F30" s="177"/>
      <c r="G30" s="177"/>
      <c r="H30" s="177"/>
      <c r="I30" s="316"/>
      <c r="J30" s="316"/>
      <c r="K30" s="316"/>
    </row>
    <row r="31" spans="1:24" s="317" customFormat="1">
      <c r="A31" s="300"/>
      <c r="B31" s="301"/>
      <c r="C31" s="324"/>
      <c r="D31" s="302"/>
      <c r="E31" s="177"/>
      <c r="F31" s="177"/>
      <c r="G31" s="177"/>
      <c r="H31" s="177"/>
      <c r="I31" s="316"/>
      <c r="J31" s="316"/>
      <c r="K31" s="316"/>
    </row>
    <row r="32" spans="1:24" s="317" customFormat="1">
      <c r="A32" s="300"/>
      <c r="B32" s="301"/>
      <c r="C32" s="324"/>
      <c r="D32" s="302"/>
      <c r="E32" s="177"/>
      <c r="F32" s="177"/>
      <c r="G32" s="177"/>
      <c r="H32" s="177"/>
      <c r="I32" s="316"/>
      <c r="J32" s="316"/>
      <c r="K32" s="316"/>
    </row>
    <row r="33" spans="1:11" s="317" customFormat="1">
      <c r="A33" s="300"/>
      <c r="B33" s="301"/>
      <c r="C33" s="324"/>
      <c r="D33" s="302"/>
      <c r="E33" s="177"/>
      <c r="F33" s="177"/>
      <c r="G33" s="177"/>
      <c r="H33" s="177"/>
      <c r="I33" s="316"/>
      <c r="J33" s="316"/>
      <c r="K33" s="316"/>
    </row>
    <row r="34" spans="1:11" s="317" customFormat="1">
      <c r="A34" s="300"/>
      <c r="B34" s="301"/>
      <c r="C34" s="324"/>
      <c r="D34" s="302"/>
      <c r="E34" s="177"/>
      <c r="F34" s="177"/>
      <c r="G34" s="177"/>
      <c r="H34" s="177"/>
      <c r="I34" s="316"/>
      <c r="J34" s="316"/>
      <c r="K34" s="316"/>
    </row>
    <row r="35" spans="1:11" s="317" customFormat="1">
      <c r="A35" s="300"/>
      <c r="B35" s="301"/>
      <c r="C35" s="324"/>
      <c r="D35" s="302"/>
      <c r="E35" s="177"/>
      <c r="F35" s="177"/>
      <c r="G35" s="177"/>
      <c r="H35" s="177"/>
      <c r="I35" s="316"/>
      <c r="J35" s="316"/>
      <c r="K35" s="316"/>
    </row>
    <row r="36" spans="1:11">
      <c r="A36" s="309" t="s">
        <v>571</v>
      </c>
      <c r="B36" s="310"/>
      <c r="C36" s="311"/>
      <c r="D36" s="325"/>
      <c r="E36" s="314"/>
      <c r="F36" s="313">
        <f>SUM(F24:F35)</f>
        <v>0</v>
      </c>
      <c r="G36" s="313">
        <f>SUM(G24:G35)</f>
        <v>0</v>
      </c>
      <c r="H36" s="313">
        <f>SUM(H24:H35)</f>
        <v>0</v>
      </c>
      <c r="I36" s="286"/>
      <c r="J36" s="286"/>
      <c r="K36" s="326"/>
    </row>
    <row r="37" spans="1:11">
      <c r="A37" s="286"/>
      <c r="B37" s="286"/>
      <c r="C37" s="286"/>
      <c r="D37" s="286"/>
      <c r="E37" s="286"/>
      <c r="F37" s="286"/>
      <c r="G37" s="286"/>
      <c r="H37" s="286"/>
      <c r="I37" s="286"/>
      <c r="J37" s="286"/>
      <c r="K37" s="286"/>
    </row>
    <row r="38" spans="1:11">
      <c r="A38" s="327" t="s">
        <v>37</v>
      </c>
      <c r="B38" s="327"/>
      <c r="C38" s="327"/>
      <c r="D38" s="327"/>
      <c r="E38" s="327"/>
      <c r="F38" s="327"/>
      <c r="G38" s="327"/>
      <c r="H38" s="286"/>
      <c r="I38" s="286"/>
      <c r="J38" s="286"/>
      <c r="K38" s="286"/>
    </row>
    <row r="39" spans="1:11">
      <c r="A39" s="328"/>
    </row>
  </sheetData>
  <sheetProtection sheet="1" objects="1" scenarios="1"/>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&amp;Lrevised 8/06/07&amp;CPage No. 5</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G92"/>
  <sheetViews>
    <sheetView topLeftCell="A46" workbookViewId="0">
      <selection activeCell="E64" sqref="E64"/>
    </sheetView>
  </sheetViews>
  <sheetFormatPr defaultRowHeight="15.75"/>
  <cols>
    <col min="1" max="1" width="10.69921875" style="162" customWidth="1"/>
    <col min="2" max="2" width="20.69921875" style="162" customWidth="1"/>
    <col min="3" max="3" width="11.69921875" style="162" customWidth="1"/>
    <col min="4" max="4" width="15" style="162" customWidth="1"/>
    <col min="5" max="5" width="14.09765625" style="162" customWidth="1"/>
    <col min="6" max="6" width="2.69921875" style="162" customWidth="1"/>
    <col min="7" max="16384" width="8.796875" style="162"/>
  </cols>
  <sheetData>
    <row r="1" spans="1:5">
      <c r="A1" s="161" t="s">
        <v>695</v>
      </c>
      <c r="B1" s="67"/>
      <c r="C1" s="67"/>
      <c r="D1" s="67"/>
      <c r="E1" s="67"/>
    </row>
    <row r="2" spans="1:5">
      <c r="A2" s="163" t="s">
        <v>80</v>
      </c>
      <c r="B2" s="67"/>
      <c r="C2" s="67"/>
      <c r="D2" s="67"/>
      <c r="E2" s="67"/>
    </row>
    <row r="3" spans="1:5">
      <c r="A3" s="163" t="s">
        <v>78</v>
      </c>
      <c r="B3" s="67"/>
      <c r="C3" s="67"/>
      <c r="D3" s="124" t="s">
        <v>529</v>
      </c>
      <c r="E3" s="75"/>
    </row>
    <row r="4" spans="1:5">
      <c r="A4" s="163" t="s">
        <v>79</v>
      </c>
      <c r="B4" s="67"/>
      <c r="C4" s="67"/>
      <c r="D4" s="164" t="s">
        <v>530</v>
      </c>
      <c r="E4" s="75"/>
    </row>
    <row r="5" spans="1:5">
      <c r="A5" s="67"/>
      <c r="B5" s="67"/>
      <c r="C5" s="67"/>
      <c r="D5" s="67"/>
      <c r="E5" s="67"/>
    </row>
    <row r="6" spans="1:5">
      <c r="A6" s="165" t="s">
        <v>696</v>
      </c>
      <c r="B6" s="67"/>
      <c r="C6" s="67"/>
      <c r="D6" s="116" t="s">
        <v>531</v>
      </c>
      <c r="E6" s="67"/>
    </row>
    <row r="7" spans="1:5">
      <c r="A7" s="165" t="s">
        <v>697</v>
      </c>
      <c r="B7" s="67"/>
      <c r="C7" s="67"/>
      <c r="D7" s="117"/>
      <c r="E7" s="67"/>
    </row>
    <row r="8" spans="1:5">
      <c r="A8" s="67"/>
      <c r="B8" s="67"/>
      <c r="C8" s="67"/>
      <c r="D8" s="67"/>
      <c r="E8" s="67"/>
    </row>
    <row r="9" spans="1:5">
      <c r="A9" s="165" t="s">
        <v>642</v>
      </c>
      <c r="B9" s="67"/>
      <c r="C9" s="67"/>
      <c r="D9" s="166">
        <v>2013</v>
      </c>
      <c r="E9" s="67"/>
    </row>
    <row r="10" spans="1:5">
      <c r="A10" s="67"/>
      <c r="B10" s="67"/>
      <c r="C10" s="67"/>
      <c r="D10" s="67"/>
      <c r="E10" s="67"/>
    </row>
    <row r="11" spans="1:5">
      <c r="A11" s="167" t="s">
        <v>644</v>
      </c>
      <c r="B11" s="168"/>
      <c r="C11" s="168"/>
      <c r="D11" s="168"/>
      <c r="E11" s="168"/>
    </row>
    <row r="12" spans="1:5">
      <c r="A12" s="167" t="s">
        <v>7</v>
      </c>
      <c r="B12" s="168"/>
      <c r="C12" s="168"/>
      <c r="D12" s="168"/>
      <c r="E12" s="168"/>
    </row>
    <row r="13" spans="1:5">
      <c r="A13" s="67"/>
      <c r="B13" s="67"/>
      <c r="C13" s="67"/>
      <c r="D13" s="67"/>
      <c r="E13" s="67"/>
    </row>
    <row r="14" spans="1:5">
      <c r="A14" s="441" t="s">
        <v>655</v>
      </c>
      <c r="B14" s="442"/>
      <c r="C14" s="442"/>
      <c r="D14" s="442"/>
      <c r="E14" s="442"/>
    </row>
    <row r="15" spans="1:5">
      <c r="A15" s="163"/>
      <c r="B15" s="67"/>
      <c r="C15" s="67"/>
      <c r="D15" s="67"/>
      <c r="E15" s="67"/>
    </row>
    <row r="16" spans="1:5">
      <c r="A16" s="169" t="s">
        <v>643</v>
      </c>
      <c r="B16" s="170"/>
      <c r="C16" s="67"/>
      <c r="D16" s="70"/>
      <c r="E16" s="171"/>
    </row>
    <row r="17" spans="1:5">
      <c r="A17" s="172" t="str">
        <f>CONCATENATE("the ",D9-1," Budget, Certificate Page:")</f>
        <v>the 2012 Budget, Certificate Page:</v>
      </c>
      <c r="B17" s="173"/>
      <c r="C17" s="70"/>
      <c r="D17" s="67"/>
      <c r="E17" s="67"/>
    </row>
    <row r="18" spans="1:5">
      <c r="A18" s="172" t="s">
        <v>180</v>
      </c>
      <c r="B18" s="173"/>
      <c r="C18" s="70"/>
      <c r="D18" s="174">
        <f>D9-1</f>
        <v>2012</v>
      </c>
      <c r="E18" s="174">
        <f>D9-2</f>
        <v>2011</v>
      </c>
    </row>
    <row r="19" spans="1:5">
      <c r="A19" s="76" t="s">
        <v>94</v>
      </c>
      <c r="B19" s="67"/>
      <c r="C19" s="175" t="s">
        <v>93</v>
      </c>
      <c r="D19" s="176" t="s">
        <v>211</v>
      </c>
      <c r="E19" s="176" t="s">
        <v>134</v>
      </c>
    </row>
    <row r="20" spans="1:5">
      <c r="A20" s="67"/>
      <c r="B20" s="110" t="s">
        <v>95</v>
      </c>
      <c r="C20" s="87" t="s">
        <v>96</v>
      </c>
      <c r="D20" s="177">
        <v>7000</v>
      </c>
      <c r="E20" s="177">
        <v>6845</v>
      </c>
    </row>
    <row r="21" spans="1:5">
      <c r="A21" s="67"/>
      <c r="B21" s="110" t="s">
        <v>169</v>
      </c>
      <c r="C21" s="87" t="s">
        <v>649</v>
      </c>
      <c r="D21" s="177"/>
      <c r="E21" s="177"/>
    </row>
    <row r="22" spans="1:5">
      <c r="A22" s="67"/>
      <c r="B22" s="110" t="s">
        <v>97</v>
      </c>
      <c r="C22" s="178" t="s">
        <v>81</v>
      </c>
      <c r="D22" s="177">
        <v>130000</v>
      </c>
      <c r="E22" s="177">
        <v>119071</v>
      </c>
    </row>
    <row r="23" spans="1:5">
      <c r="A23" s="67"/>
      <c r="B23" s="110" t="s">
        <v>178</v>
      </c>
      <c r="C23" s="92" t="s">
        <v>179</v>
      </c>
      <c r="D23" s="177"/>
      <c r="E23" s="177"/>
    </row>
    <row r="24" spans="1:5">
      <c r="A24" s="67"/>
      <c r="B24" s="110" t="s">
        <v>25</v>
      </c>
      <c r="C24" s="92" t="s">
        <v>26</v>
      </c>
      <c r="D24" s="177"/>
      <c r="E24" s="177"/>
    </row>
    <row r="25" spans="1:5">
      <c r="A25" s="67"/>
      <c r="B25" s="215" t="s">
        <v>240</v>
      </c>
      <c r="C25" s="92" t="s">
        <v>241</v>
      </c>
      <c r="D25" s="177"/>
      <c r="E25" s="177"/>
    </row>
    <row r="26" spans="1:5">
      <c r="A26" s="67"/>
      <c r="B26" s="179"/>
      <c r="C26" s="437"/>
      <c r="D26" s="177"/>
      <c r="E26" s="177"/>
    </row>
    <row r="27" spans="1:5">
      <c r="A27" s="67"/>
      <c r="B27" s="179"/>
      <c r="C27" s="180"/>
      <c r="D27" s="177"/>
      <c r="E27" s="177"/>
    </row>
    <row r="28" spans="1:5">
      <c r="A28" s="67"/>
      <c r="B28" s="179"/>
      <c r="C28" s="438"/>
      <c r="D28" s="177"/>
      <c r="E28" s="177"/>
    </row>
    <row r="29" spans="1:5">
      <c r="A29" s="67"/>
      <c r="B29" s="179"/>
      <c r="C29" s="180"/>
      <c r="D29" s="177"/>
      <c r="E29" s="177"/>
    </row>
    <row r="30" spans="1:5">
      <c r="A30" s="67"/>
      <c r="B30" s="179"/>
      <c r="C30" s="180"/>
      <c r="D30" s="177"/>
      <c r="E30" s="177"/>
    </row>
    <row r="31" spans="1:5">
      <c r="A31" s="67"/>
      <c r="B31" s="179"/>
      <c r="C31" s="180"/>
      <c r="D31" s="177"/>
      <c r="E31" s="177"/>
    </row>
    <row r="32" spans="1:5">
      <c r="A32" s="181" t="str">
        <f>CONCATENATE("Total Ad Valorem Tax for ",D9-1,"")</f>
        <v>Total Ad Valorem Tax for 2012</v>
      </c>
      <c r="B32" s="82"/>
      <c r="C32" s="182"/>
      <c r="D32" s="183"/>
      <c r="E32" s="184">
        <f>SUM(E20:E31)</f>
        <v>125916</v>
      </c>
    </row>
    <row r="33" spans="1:5">
      <c r="A33" s="75"/>
      <c r="B33" s="75"/>
      <c r="C33" s="75"/>
      <c r="D33" s="185"/>
      <c r="E33" s="186"/>
    </row>
    <row r="34" spans="1:5">
      <c r="A34" s="67" t="s">
        <v>638</v>
      </c>
      <c r="B34" s="67"/>
      <c r="C34" s="67"/>
      <c r="D34" s="67"/>
      <c r="E34" s="67"/>
    </row>
    <row r="35" spans="1:5">
      <c r="A35" s="67"/>
      <c r="B35" s="187"/>
      <c r="C35" s="67"/>
      <c r="D35" s="188"/>
      <c r="E35" s="75"/>
    </row>
    <row r="36" spans="1:5">
      <c r="A36" s="67"/>
      <c r="B36" s="187"/>
      <c r="C36" s="67"/>
      <c r="D36" s="188"/>
      <c r="E36" s="75"/>
    </row>
    <row r="37" spans="1:5">
      <c r="A37" s="67"/>
      <c r="B37" s="187"/>
      <c r="C37" s="67"/>
      <c r="D37" s="188"/>
      <c r="E37" s="67"/>
    </row>
    <row r="38" spans="1:5">
      <c r="A38" s="67"/>
      <c r="B38" s="187"/>
      <c r="C38" s="67"/>
      <c r="D38" s="188"/>
      <c r="E38" s="67"/>
    </row>
    <row r="39" spans="1:5">
      <c r="A39" s="82" t="str">
        <f>CONCATENATE("Total Expenditures for ",D9-1,"")</f>
        <v>Total Expenditures for 2012</v>
      </c>
      <c r="B39" s="82"/>
      <c r="C39" s="82"/>
      <c r="D39" s="189">
        <f>SUM(D20:D31,D35:D38)</f>
        <v>137000</v>
      </c>
      <c r="E39" s="67"/>
    </row>
    <row r="40" spans="1:5">
      <c r="A40" s="113" t="s">
        <v>206</v>
      </c>
      <c r="B40" s="75"/>
      <c r="C40" s="75"/>
      <c r="D40" s="67"/>
      <c r="E40" s="67"/>
    </row>
    <row r="41" spans="1:5">
      <c r="A41" s="400">
        <v>1</v>
      </c>
      <c r="B41" s="187"/>
      <c r="C41" s="75"/>
      <c r="D41" s="67"/>
      <c r="E41" s="67"/>
    </row>
    <row r="42" spans="1:5">
      <c r="A42" s="400">
        <v>2</v>
      </c>
      <c r="B42" s="187"/>
      <c r="C42" s="75"/>
      <c r="D42" s="67"/>
      <c r="E42" s="67"/>
    </row>
    <row r="43" spans="1:5">
      <c r="A43" s="400">
        <v>3</v>
      </c>
      <c r="B43" s="187"/>
      <c r="C43" s="75"/>
      <c r="D43" s="67"/>
      <c r="E43" s="67"/>
    </row>
    <row r="44" spans="1:5">
      <c r="A44" s="400">
        <v>4</v>
      </c>
      <c r="B44" s="187"/>
      <c r="C44" s="75"/>
      <c r="D44" s="67"/>
      <c r="E44" s="67"/>
    </row>
    <row r="45" spans="1:5">
      <c r="A45" s="400">
        <v>5</v>
      </c>
      <c r="B45" s="187"/>
      <c r="C45" s="75"/>
      <c r="D45" s="67"/>
      <c r="E45" s="67"/>
    </row>
    <row r="46" spans="1:5">
      <c r="A46" s="67"/>
      <c r="B46" s="67"/>
      <c r="C46" s="67"/>
      <c r="D46" s="67"/>
      <c r="E46" s="67"/>
    </row>
    <row r="47" spans="1:5" ht="15.75" customHeight="1">
      <c r="A47" s="169" t="s">
        <v>643</v>
      </c>
      <c r="B47" s="170"/>
      <c r="C47" s="67"/>
      <c r="D47" s="439" t="str">
        <f>CONCATENATE("",D9-3," Tax Rate         (",D9-2," Column)")</f>
        <v>2010 Tax Rate         (2011 Column)</v>
      </c>
      <c r="E47" s="67"/>
    </row>
    <row r="48" spans="1:5">
      <c r="A48" s="172" t="str">
        <f>CONCATENATE("the ",D9-1," Budget, Budget Summary Page:")</f>
        <v>the 2012 Budget, Budget Summary Page:</v>
      </c>
      <c r="B48" s="190"/>
      <c r="C48" s="67"/>
      <c r="D48" s="440"/>
      <c r="E48" s="67"/>
    </row>
    <row r="49" spans="1:5">
      <c r="A49" s="67"/>
      <c r="B49" s="94" t="str">
        <f t="shared" ref="B49:B58" si="0">B20</f>
        <v>General</v>
      </c>
      <c r="C49" s="67"/>
      <c r="D49" s="191">
        <v>0.46200000000000002</v>
      </c>
      <c r="E49" s="67"/>
    </row>
    <row r="50" spans="1:5">
      <c r="A50" s="67"/>
      <c r="B50" s="94" t="str">
        <f t="shared" si="0"/>
        <v>Debt Service</v>
      </c>
      <c r="C50" s="67"/>
      <c r="D50" s="192"/>
      <c r="E50" s="67"/>
    </row>
    <row r="51" spans="1:5">
      <c r="A51" s="67"/>
      <c r="B51" s="94" t="str">
        <f t="shared" si="0"/>
        <v>Road</v>
      </c>
      <c r="C51" s="67"/>
      <c r="D51" s="192">
        <v>7.9279999999999999</v>
      </c>
      <c r="E51" s="67"/>
    </row>
    <row r="52" spans="1:5">
      <c r="A52" s="67"/>
      <c r="B52" s="110" t="str">
        <f t="shared" si="0"/>
        <v>Special Road</v>
      </c>
      <c r="C52" s="67"/>
      <c r="D52" s="192"/>
      <c r="E52" s="67"/>
    </row>
    <row r="53" spans="1:5">
      <c r="A53" s="67"/>
      <c r="B53" s="110" t="str">
        <f t="shared" si="0"/>
        <v>Noxious Weed</v>
      </c>
      <c r="C53" s="67"/>
      <c r="D53" s="192"/>
      <c r="E53" s="67"/>
    </row>
    <row r="54" spans="1:5">
      <c r="A54" s="67"/>
      <c r="B54" s="110" t="str">
        <f t="shared" si="0"/>
        <v>Fire Protection</v>
      </c>
      <c r="C54" s="67"/>
      <c r="D54" s="192"/>
      <c r="E54" s="67"/>
    </row>
    <row r="55" spans="1:5">
      <c r="A55" s="67"/>
      <c r="B55" s="110">
        <f t="shared" si="0"/>
        <v>0</v>
      </c>
      <c r="C55" s="67"/>
      <c r="D55" s="192"/>
      <c r="E55" s="67"/>
    </row>
    <row r="56" spans="1:5">
      <c r="A56" s="67"/>
      <c r="B56" s="110">
        <f t="shared" si="0"/>
        <v>0</v>
      </c>
      <c r="C56" s="67"/>
      <c r="D56" s="192"/>
      <c r="E56" s="67"/>
    </row>
    <row r="57" spans="1:5">
      <c r="A57" s="67"/>
      <c r="B57" s="110">
        <f t="shared" si="0"/>
        <v>0</v>
      </c>
      <c r="C57" s="67"/>
      <c r="D57" s="192"/>
      <c r="E57" s="67"/>
    </row>
    <row r="58" spans="1:5">
      <c r="A58" s="67"/>
      <c r="B58" s="110">
        <f t="shared" si="0"/>
        <v>0</v>
      </c>
      <c r="C58" s="67"/>
      <c r="D58" s="192"/>
      <c r="E58" s="67"/>
    </row>
    <row r="59" spans="1:5">
      <c r="A59" s="67"/>
      <c r="B59" s="110">
        <f>B31</f>
        <v>0</v>
      </c>
      <c r="C59" s="67"/>
      <c r="D59" s="192"/>
      <c r="E59" s="67"/>
    </row>
    <row r="60" spans="1:5" ht="16.5" thickBot="1">
      <c r="A60" s="81" t="str">
        <f>CONCATENATE("Total ",D9-3," Tax Levy Rate")</f>
        <v>Total 2010 Tax Levy Rate</v>
      </c>
      <c r="B60" s="193"/>
      <c r="C60" s="93"/>
      <c r="D60" s="194">
        <f>SUM(D49:D59)</f>
        <v>8.39</v>
      </c>
      <c r="E60" s="67"/>
    </row>
    <row r="61" spans="1:5" ht="16.5" thickTop="1">
      <c r="A61" s="67"/>
      <c r="B61" s="67"/>
      <c r="C61" s="67"/>
      <c r="D61" s="67"/>
      <c r="E61" s="67"/>
    </row>
    <row r="62" spans="1:5">
      <c r="A62" s="195" t="str">
        <f>CONCATENATE("Total Tax Levy (",D9-2," budget column)")</f>
        <v>Total Tax Levy (2011 budget column)</v>
      </c>
      <c r="B62" s="170"/>
      <c r="C62" s="75"/>
      <c r="D62" s="75"/>
      <c r="E62" s="196">
        <v>116912</v>
      </c>
    </row>
    <row r="63" spans="1:5">
      <c r="A63" s="195" t="str">
        <f>CONCATENATE("Assessed Valuation (",D9-2," budget column):")</f>
        <v>Assessed Valuation (2011 budget column):</v>
      </c>
      <c r="B63" s="170"/>
      <c r="C63" s="67"/>
      <c r="D63" s="67"/>
      <c r="E63" s="196">
        <v>14120892</v>
      </c>
    </row>
    <row r="64" spans="1:5">
      <c r="A64" s="67"/>
      <c r="B64" s="67"/>
      <c r="C64" s="67"/>
      <c r="D64" s="67"/>
      <c r="E64" s="197"/>
    </row>
    <row r="65" spans="1:5">
      <c r="A65" s="198" t="s">
        <v>8</v>
      </c>
      <c r="B65" s="198"/>
      <c r="C65" s="199"/>
      <c r="D65" s="200">
        <f>D9-3</f>
        <v>2010</v>
      </c>
      <c r="E65" s="200">
        <f>D9-2</f>
        <v>2011</v>
      </c>
    </row>
    <row r="66" spans="1:5">
      <c r="A66" s="198" t="s">
        <v>662</v>
      </c>
      <c r="B66" s="198"/>
      <c r="C66" s="201"/>
      <c r="D66" s="188"/>
      <c r="E66" s="188"/>
    </row>
    <row r="67" spans="1:5">
      <c r="A67" s="202" t="s">
        <v>4</v>
      </c>
      <c r="B67" s="202"/>
      <c r="C67" s="203"/>
      <c r="D67" s="188"/>
      <c r="E67" s="188"/>
    </row>
    <row r="68" spans="1:5">
      <c r="A68" s="202" t="s">
        <v>663</v>
      </c>
      <c r="B68" s="202"/>
      <c r="C68" s="203"/>
      <c r="D68" s="188"/>
      <c r="E68" s="188"/>
    </row>
    <row r="69" spans="1:5">
      <c r="A69" s="202"/>
      <c r="B69" s="202"/>
      <c r="C69" s="204"/>
      <c r="D69" s="188"/>
      <c r="E69" s="188"/>
    </row>
    <row r="70" spans="1:5">
      <c r="A70" s="114"/>
      <c r="B70" s="114"/>
      <c r="C70" s="114"/>
      <c r="D70" s="114"/>
      <c r="E70" s="114"/>
    </row>
    <row r="71" spans="1:5">
      <c r="A71" s="114"/>
      <c r="B71" s="114"/>
      <c r="C71" s="114"/>
      <c r="D71" s="114"/>
      <c r="E71" s="114"/>
    </row>
    <row r="72" spans="1:5">
      <c r="A72" s="114"/>
      <c r="B72" s="114"/>
      <c r="C72" s="114"/>
      <c r="D72" s="114"/>
      <c r="E72" s="114"/>
    </row>
    <row r="73" spans="1:5">
      <c r="A73" s="114"/>
      <c r="B73" s="114"/>
      <c r="C73" s="114"/>
      <c r="D73" s="114"/>
      <c r="E73" s="114"/>
    </row>
    <row r="74" spans="1:5">
      <c r="A74" s="114"/>
      <c r="B74" s="114"/>
      <c r="C74" s="114"/>
      <c r="D74" s="114"/>
      <c r="E74" s="114"/>
    </row>
    <row r="75" spans="1:5">
      <c r="A75" s="114"/>
      <c r="B75" s="114"/>
      <c r="C75" s="114"/>
      <c r="D75" s="114"/>
      <c r="E75" s="114"/>
    </row>
    <row r="76" spans="1:5">
      <c r="A76" s="114"/>
      <c r="B76" s="114"/>
      <c r="C76" s="114"/>
      <c r="D76" s="114"/>
      <c r="E76" s="114"/>
    </row>
    <row r="77" spans="1:5">
      <c r="A77" s="114"/>
      <c r="B77" s="114"/>
      <c r="C77" s="114"/>
      <c r="D77" s="114"/>
      <c r="E77" s="114"/>
    </row>
    <row r="78" spans="1:5">
      <c r="A78" s="114"/>
      <c r="B78" s="114"/>
      <c r="C78" s="114"/>
      <c r="D78" s="114"/>
      <c r="E78" s="114"/>
    </row>
    <row r="79" spans="1:5">
      <c r="A79" s="114"/>
      <c r="B79" s="114"/>
      <c r="C79" s="114"/>
      <c r="D79" s="114"/>
      <c r="E79" s="114"/>
    </row>
    <row r="80" spans="1:5" s="205" customFormat="1">
      <c r="A80" s="114"/>
      <c r="B80" s="114"/>
      <c r="C80" s="114"/>
      <c r="D80" s="114"/>
      <c r="E80" s="114"/>
    </row>
    <row r="81" spans="1:7">
      <c r="A81" s="114"/>
      <c r="B81" s="114"/>
      <c r="C81" s="114"/>
      <c r="D81" s="114"/>
      <c r="E81" s="114"/>
    </row>
    <row r="82" spans="1:7">
      <c r="A82" s="114"/>
      <c r="B82" s="114"/>
      <c r="C82" s="114"/>
      <c r="D82" s="114"/>
      <c r="E82" s="114"/>
    </row>
    <row r="83" spans="1:7">
      <c r="A83" s="114"/>
      <c r="B83" s="114"/>
      <c r="C83" s="114"/>
      <c r="D83" s="114"/>
      <c r="E83" s="114"/>
    </row>
    <row r="84" spans="1:7">
      <c r="A84" s="114"/>
      <c r="B84" s="114"/>
      <c r="C84" s="114"/>
      <c r="D84" s="114"/>
      <c r="E84" s="114"/>
    </row>
    <row r="85" spans="1:7">
      <c r="A85" s="114"/>
      <c r="B85" s="114"/>
      <c r="C85" s="114"/>
      <c r="D85" s="114"/>
      <c r="E85" s="114"/>
    </row>
    <row r="86" spans="1:7">
      <c r="A86" s="114"/>
      <c r="B86" s="114"/>
      <c r="C86" s="114"/>
      <c r="D86" s="114"/>
      <c r="E86" s="114"/>
    </row>
    <row r="87" spans="1:7">
      <c r="A87" s="114"/>
      <c r="B87" s="114"/>
      <c r="C87" s="114"/>
      <c r="D87" s="114"/>
      <c r="E87" s="114"/>
    </row>
    <row r="88" spans="1:7">
      <c r="A88" s="114"/>
      <c r="B88" s="114"/>
      <c r="C88" s="114"/>
      <c r="D88" s="114"/>
      <c r="E88" s="114"/>
    </row>
    <row r="89" spans="1:7">
      <c r="A89" s="114"/>
      <c r="B89" s="114"/>
      <c r="C89" s="114"/>
      <c r="D89" s="114"/>
      <c r="E89" s="114"/>
    </row>
    <row r="90" spans="1:7" s="119" customFormat="1">
      <c r="A90" s="114"/>
      <c r="B90" s="114"/>
      <c r="C90" s="114"/>
      <c r="D90" s="114"/>
      <c r="E90" s="114"/>
      <c r="G90" s="162"/>
    </row>
    <row r="91" spans="1:7" s="119" customFormat="1">
      <c r="A91" s="114"/>
      <c r="B91" s="114"/>
      <c r="C91" s="114"/>
      <c r="D91" s="114"/>
      <c r="E91" s="114"/>
      <c r="G91" s="162"/>
    </row>
    <row r="92" spans="1:7">
      <c r="A92" s="114"/>
      <c r="B92" s="114"/>
      <c r="C92" s="114"/>
      <c r="D92" s="114"/>
      <c r="E92" s="114"/>
    </row>
  </sheetData>
  <sheetProtection sheet="1" objects="1" scenarios="1"/>
  <mergeCells count="2">
    <mergeCell ref="D47:D48"/>
    <mergeCell ref="A14:E14"/>
  </mergeCells>
  <phoneticPr fontId="0" type="noConversion"/>
  <pageMargins left="0.3" right="0.3" top="0.5" bottom="0.5" header="0.3" footer="0.3"/>
  <pageSetup fitToHeight="2" orientation="portrait" blackAndWhite="1" horizontalDpi="4294967292" verticalDpi="96" r:id="rId1"/>
  <headerFooter alignWithMargins="0">
    <oddFooter>&amp;Lrevised 8/21/09</oddFooter>
  </headerFooter>
</worksheet>
</file>

<file path=xl/worksheets/sheet20.xml><?xml version="1.0" encoding="utf-8"?>
<worksheet xmlns="http://schemas.openxmlformats.org/spreadsheetml/2006/main" xmlns:r="http://schemas.openxmlformats.org/officeDocument/2006/relationships">
  <sheetPr codeName="Sheet10">
    <pageSetUpPr fitToPage="1"/>
  </sheetPr>
  <dimension ref="A1:H59"/>
  <sheetViews>
    <sheetView workbookViewId="0"/>
  </sheetViews>
  <sheetFormatPr defaultRowHeight="15.75"/>
  <cols>
    <col min="1" max="1" width="25.89843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5.19921875" style="162" customWidth="1"/>
    <col min="8" max="16384" width="8.796875" style="162"/>
  </cols>
  <sheetData>
    <row r="1" spans="1:7">
      <c r="A1" s="235" t="str">
        <f ca="1">inputPrYr!D3</f>
        <v>Paradise Township</v>
      </c>
      <c r="B1" s="235"/>
      <c r="C1" s="67"/>
      <c r="D1" s="67"/>
      <c r="E1" s="67"/>
      <c r="F1" s="67"/>
      <c r="G1" s="356">
        <f ca="1">inputPrYr!$D$9</f>
        <v>2013</v>
      </c>
    </row>
    <row r="2" spans="1:7">
      <c r="A2" s="67"/>
      <c r="B2" s="67"/>
      <c r="C2" s="67"/>
      <c r="D2" s="67"/>
      <c r="E2" s="67"/>
      <c r="F2" s="67"/>
      <c r="G2" s="221"/>
    </row>
    <row r="3" spans="1:7">
      <c r="A3" s="165" t="s">
        <v>28</v>
      </c>
      <c r="B3" s="165"/>
      <c r="C3" s="217"/>
      <c r="D3" s="217"/>
      <c r="E3" s="217"/>
      <c r="F3" s="217"/>
      <c r="G3" s="69"/>
    </row>
    <row r="4" spans="1:7">
      <c r="A4" s="67"/>
      <c r="B4" s="67"/>
      <c r="C4" s="357"/>
      <c r="D4" s="357"/>
      <c r="E4" s="357"/>
      <c r="F4" s="357"/>
      <c r="G4" s="357"/>
    </row>
    <row r="5" spans="1:7">
      <c r="A5" s="76" t="s">
        <v>128</v>
      </c>
      <c r="B5" s="76"/>
      <c r="C5" s="487" t="s">
        <v>129</v>
      </c>
      <c r="D5" s="488"/>
      <c r="E5" s="495" t="s">
        <v>130</v>
      </c>
      <c r="F5" s="496"/>
      <c r="G5" s="78" t="s">
        <v>131</v>
      </c>
    </row>
    <row r="6" spans="1:7">
      <c r="A6" s="185" t="s">
        <v>169</v>
      </c>
      <c r="B6" s="185"/>
      <c r="C6" s="489" t="str">
        <f>CONCATENATE("Actual ",$G$1-2,"")</f>
        <v>Actual 2011</v>
      </c>
      <c r="D6" s="490"/>
      <c r="E6" s="489" t="str">
        <f>CONCATENATE("Estimate ",$G$1-1,"")</f>
        <v>Estimate 2012</v>
      </c>
      <c r="F6" s="490"/>
      <c r="G6" s="83" t="str">
        <f>CONCATENATE("Year ",$G$1,"")</f>
        <v>Year 2013</v>
      </c>
    </row>
    <row r="7" spans="1:7">
      <c r="A7" s="84" t="s">
        <v>640</v>
      </c>
      <c r="B7" s="341"/>
      <c r="C7" s="524"/>
      <c r="D7" s="525"/>
      <c r="E7" s="526">
        <f>C52</f>
        <v>0</v>
      </c>
      <c r="F7" s="527"/>
      <c r="G7" s="358">
        <f>E52</f>
        <v>0</v>
      </c>
    </row>
    <row r="8" spans="1:7">
      <c r="A8" s="84" t="s">
        <v>615</v>
      </c>
      <c r="B8" s="341"/>
      <c r="C8" s="522"/>
      <c r="D8" s="523"/>
      <c r="E8" s="526"/>
      <c r="F8" s="527"/>
      <c r="G8" s="358"/>
    </row>
    <row r="9" spans="1:7">
      <c r="A9" s="84" t="s">
        <v>134</v>
      </c>
      <c r="B9" s="341"/>
      <c r="C9" s="491"/>
      <c r="D9" s="492"/>
      <c r="E9" s="522">
        <f ca="1">inputPrYr!E21</f>
        <v>0</v>
      </c>
      <c r="F9" s="523"/>
      <c r="G9" s="335" t="s">
        <v>112</v>
      </c>
    </row>
    <row r="10" spans="1:7">
      <c r="A10" s="84" t="s">
        <v>135</v>
      </c>
      <c r="B10" s="341"/>
      <c r="C10" s="491"/>
      <c r="D10" s="492"/>
      <c r="E10" s="491"/>
      <c r="F10" s="492"/>
      <c r="G10" s="359"/>
    </row>
    <row r="11" spans="1:7">
      <c r="A11" s="84" t="s">
        <v>136</v>
      </c>
      <c r="B11" s="341"/>
      <c r="C11" s="491"/>
      <c r="D11" s="492"/>
      <c r="E11" s="491"/>
      <c r="F11" s="492"/>
      <c r="G11" s="360">
        <f ca="1">mvalloc!G13</f>
        <v>0</v>
      </c>
    </row>
    <row r="12" spans="1:7">
      <c r="A12" s="84" t="s">
        <v>137</v>
      </c>
      <c r="B12" s="341"/>
      <c r="C12" s="491"/>
      <c r="D12" s="492"/>
      <c r="E12" s="491"/>
      <c r="F12" s="492"/>
      <c r="G12" s="360">
        <f ca="1">mvalloc!I13</f>
        <v>0</v>
      </c>
    </row>
    <row r="13" spans="1:7">
      <c r="A13" s="361" t="s">
        <v>594</v>
      </c>
      <c r="B13" s="341"/>
      <c r="C13" s="491"/>
      <c r="D13" s="492"/>
      <c r="E13" s="491"/>
      <c r="F13" s="492"/>
      <c r="G13" s="360">
        <f ca="1">mvalloc!J13</f>
        <v>0</v>
      </c>
    </row>
    <row r="14" spans="1:7">
      <c r="A14" s="361" t="s">
        <v>659</v>
      </c>
      <c r="B14" s="341"/>
      <c r="C14" s="491"/>
      <c r="D14" s="492"/>
      <c r="E14" s="491"/>
      <c r="F14" s="492"/>
      <c r="G14" s="360">
        <f ca="1">mvalloc!K13</f>
        <v>0</v>
      </c>
    </row>
    <row r="15" spans="1:7">
      <c r="A15" s="361"/>
      <c r="B15" s="341"/>
      <c r="C15" s="491"/>
      <c r="D15" s="492"/>
      <c r="E15" s="491"/>
      <c r="F15" s="492"/>
      <c r="G15" s="360"/>
    </row>
    <row r="16" spans="1:7">
      <c r="A16" s="362"/>
      <c r="B16" s="363"/>
      <c r="C16" s="491"/>
      <c r="D16" s="492"/>
      <c r="E16" s="491"/>
      <c r="F16" s="492"/>
      <c r="G16" s="359"/>
    </row>
    <row r="17" spans="1:7">
      <c r="A17" s="362"/>
      <c r="B17" s="363"/>
      <c r="C17" s="491"/>
      <c r="D17" s="492"/>
      <c r="E17" s="491"/>
      <c r="F17" s="492"/>
      <c r="G17" s="364"/>
    </row>
    <row r="18" spans="1:7">
      <c r="A18" s="362"/>
      <c r="B18" s="363"/>
      <c r="C18" s="491"/>
      <c r="D18" s="492"/>
      <c r="E18" s="491"/>
      <c r="F18" s="492"/>
      <c r="G18" s="359"/>
    </row>
    <row r="19" spans="1:7">
      <c r="A19" s="362"/>
      <c r="B19" s="363"/>
      <c r="C19" s="491"/>
      <c r="D19" s="492"/>
      <c r="E19" s="491"/>
      <c r="F19" s="492"/>
      <c r="G19" s="359"/>
    </row>
    <row r="20" spans="1:7">
      <c r="A20" s="362"/>
      <c r="B20" s="363"/>
      <c r="C20" s="491"/>
      <c r="D20" s="492"/>
      <c r="E20" s="491"/>
      <c r="F20" s="492"/>
      <c r="G20" s="359"/>
    </row>
    <row r="21" spans="1:7">
      <c r="A21" s="362"/>
      <c r="B21" s="363"/>
      <c r="C21" s="491"/>
      <c r="D21" s="492"/>
      <c r="E21" s="491"/>
      <c r="F21" s="492"/>
      <c r="G21" s="359"/>
    </row>
    <row r="22" spans="1:7">
      <c r="A22" s="362"/>
      <c r="B22" s="363"/>
      <c r="C22" s="491"/>
      <c r="D22" s="492"/>
      <c r="E22" s="491"/>
      <c r="F22" s="492"/>
      <c r="G22" s="359"/>
    </row>
    <row r="23" spans="1:7">
      <c r="A23" s="362"/>
      <c r="B23" s="363"/>
      <c r="C23" s="491"/>
      <c r="D23" s="492"/>
      <c r="E23" s="491"/>
      <c r="F23" s="492"/>
      <c r="G23" s="359"/>
    </row>
    <row r="24" spans="1:7">
      <c r="A24" s="362"/>
      <c r="B24" s="363"/>
      <c r="C24" s="491"/>
      <c r="D24" s="492"/>
      <c r="E24" s="491"/>
      <c r="F24" s="492"/>
      <c r="G24" s="359"/>
    </row>
    <row r="25" spans="1:7">
      <c r="A25" s="362" t="s">
        <v>650</v>
      </c>
      <c r="B25" s="363"/>
      <c r="C25" s="491"/>
      <c r="D25" s="492"/>
      <c r="E25" s="491"/>
      <c r="F25" s="492"/>
      <c r="G25" s="359"/>
    </row>
    <row r="26" spans="1:7">
      <c r="A26" s="365" t="s">
        <v>140</v>
      </c>
      <c r="B26" s="363"/>
      <c r="C26" s="491"/>
      <c r="D26" s="492"/>
      <c r="E26" s="491"/>
      <c r="F26" s="492"/>
      <c r="G26" s="359"/>
    </row>
    <row r="27" spans="1:7">
      <c r="A27" s="340" t="s">
        <v>84</v>
      </c>
      <c r="B27" s="341"/>
      <c r="C27" s="491"/>
      <c r="D27" s="492"/>
      <c r="E27" s="491"/>
      <c r="F27" s="492"/>
      <c r="G27" s="333"/>
    </row>
    <row r="28" spans="1:7">
      <c r="A28" s="340" t="s">
        <v>85</v>
      </c>
      <c r="B28" s="341"/>
      <c r="C28" s="500" t="str">
        <f>IF(C29*0.1&lt;C27,"Exceed 10% Rule","")</f>
        <v/>
      </c>
      <c r="D28" s="501"/>
      <c r="E28" s="500" t="str">
        <f>IF(E29*0.1&lt;E27,"Exceed 10% Rule","")</f>
        <v/>
      </c>
      <c r="F28" s="501"/>
      <c r="G28" s="342" t="str">
        <f>IF(G29*0.1+G57&lt;G27,"Exceed 10% Rule","")</f>
        <v/>
      </c>
    </row>
    <row r="29" spans="1:7">
      <c r="A29" s="102" t="s">
        <v>141</v>
      </c>
      <c r="B29" s="341"/>
      <c r="C29" s="528">
        <f>SUM(C9:C27)</f>
        <v>0</v>
      </c>
      <c r="D29" s="532"/>
      <c r="E29" s="528">
        <f>SUM(E9:E27)</f>
        <v>0</v>
      </c>
      <c r="F29" s="529"/>
      <c r="G29" s="366">
        <f>SUM(G9:G27)</f>
        <v>0</v>
      </c>
    </row>
    <row r="30" spans="1:7">
      <c r="A30" s="102" t="s">
        <v>142</v>
      </c>
      <c r="B30" s="341"/>
      <c r="C30" s="528">
        <f>C7+C29</f>
        <v>0</v>
      </c>
      <c r="D30" s="529"/>
      <c r="E30" s="528">
        <f>E7+E29</f>
        <v>0</v>
      </c>
      <c r="F30" s="529"/>
      <c r="G30" s="367">
        <f>G7+G29</f>
        <v>0</v>
      </c>
    </row>
    <row r="31" spans="1:7">
      <c r="A31" s="89" t="s">
        <v>143</v>
      </c>
      <c r="B31" s="341"/>
      <c r="C31" s="522"/>
      <c r="D31" s="523"/>
      <c r="E31" s="522"/>
      <c r="F31" s="523"/>
      <c r="G31" s="360"/>
    </row>
    <row r="32" spans="1:7">
      <c r="A32" s="337"/>
      <c r="B32" s="363"/>
      <c r="C32" s="491"/>
      <c r="D32" s="492"/>
      <c r="E32" s="491"/>
      <c r="F32" s="492"/>
      <c r="G32" s="359"/>
    </row>
    <row r="33" spans="1:7">
      <c r="A33" s="337"/>
      <c r="B33" s="363"/>
      <c r="C33" s="491"/>
      <c r="D33" s="492"/>
      <c r="E33" s="491"/>
      <c r="F33" s="492"/>
      <c r="G33" s="359"/>
    </row>
    <row r="34" spans="1:7">
      <c r="A34" s="337"/>
      <c r="B34" s="363"/>
      <c r="C34" s="491"/>
      <c r="D34" s="492"/>
      <c r="E34" s="491"/>
      <c r="F34" s="492"/>
      <c r="G34" s="359"/>
    </row>
    <row r="35" spans="1:7">
      <c r="A35" s="337"/>
      <c r="B35" s="363"/>
      <c r="C35" s="491"/>
      <c r="D35" s="492"/>
      <c r="E35" s="491"/>
      <c r="F35" s="492"/>
      <c r="G35" s="359"/>
    </row>
    <row r="36" spans="1:7">
      <c r="A36" s="337"/>
      <c r="B36" s="363"/>
      <c r="C36" s="491"/>
      <c r="D36" s="492"/>
      <c r="E36" s="491"/>
      <c r="F36" s="492"/>
      <c r="G36" s="359"/>
    </row>
    <row r="37" spans="1:7">
      <c r="A37" s="337"/>
      <c r="B37" s="363"/>
      <c r="C37" s="491"/>
      <c r="D37" s="492"/>
      <c r="E37" s="491"/>
      <c r="F37" s="492"/>
      <c r="G37" s="359"/>
    </row>
    <row r="38" spans="1:7">
      <c r="A38" s="337"/>
      <c r="B38" s="363"/>
      <c r="C38" s="491"/>
      <c r="D38" s="492"/>
      <c r="E38" s="491"/>
      <c r="F38" s="492"/>
      <c r="G38" s="359"/>
    </row>
    <row r="39" spans="1:7">
      <c r="A39" s="337"/>
      <c r="B39" s="363"/>
      <c r="C39" s="491"/>
      <c r="D39" s="492"/>
      <c r="E39" s="491"/>
      <c r="F39" s="492"/>
      <c r="G39" s="359"/>
    </row>
    <row r="40" spans="1:7">
      <c r="A40" s="337"/>
      <c r="B40" s="363"/>
      <c r="C40" s="491"/>
      <c r="D40" s="492"/>
      <c r="E40" s="491"/>
      <c r="F40" s="492"/>
      <c r="G40" s="359"/>
    </row>
    <row r="41" spans="1:7">
      <c r="A41" s="337"/>
      <c r="B41" s="363"/>
      <c r="C41" s="491"/>
      <c r="D41" s="492"/>
      <c r="E41" s="491"/>
      <c r="F41" s="492"/>
      <c r="G41" s="359"/>
    </row>
    <row r="42" spans="1:7">
      <c r="A42" s="337"/>
      <c r="B42" s="363"/>
      <c r="C42" s="491"/>
      <c r="D42" s="492"/>
      <c r="E42" s="491"/>
      <c r="F42" s="492"/>
      <c r="G42" s="359"/>
    </row>
    <row r="43" spans="1:7">
      <c r="A43" s="337"/>
      <c r="B43" s="363"/>
      <c r="C43" s="491"/>
      <c r="D43" s="492"/>
      <c r="E43" s="491"/>
      <c r="F43" s="492"/>
      <c r="G43" s="359"/>
    </row>
    <row r="44" spans="1:7">
      <c r="A44" s="337"/>
      <c r="B44" s="363"/>
      <c r="C44" s="491"/>
      <c r="D44" s="492"/>
      <c r="E44" s="491"/>
      <c r="F44" s="492"/>
      <c r="G44" s="359"/>
    </row>
    <row r="45" spans="1:7">
      <c r="A45" s="337"/>
      <c r="B45" s="363"/>
      <c r="C45" s="491"/>
      <c r="D45" s="492"/>
      <c r="E45" s="491"/>
      <c r="F45" s="492"/>
      <c r="G45" s="359"/>
    </row>
    <row r="46" spans="1:7">
      <c r="A46" s="337"/>
      <c r="B46" s="363"/>
      <c r="C46" s="491"/>
      <c r="D46" s="492"/>
      <c r="E46" s="491"/>
      <c r="F46" s="492"/>
      <c r="G46" s="359"/>
    </row>
    <row r="47" spans="1:7">
      <c r="A47" s="337"/>
      <c r="B47" s="363"/>
      <c r="C47" s="491"/>
      <c r="D47" s="492"/>
      <c r="E47" s="491"/>
      <c r="F47" s="492"/>
      <c r="G47" s="359"/>
    </row>
    <row r="48" spans="1:7">
      <c r="A48" s="336" t="s">
        <v>86</v>
      </c>
      <c r="B48" s="341"/>
      <c r="C48" s="491"/>
      <c r="D48" s="492"/>
      <c r="E48" s="491"/>
      <c r="F48" s="492"/>
      <c r="G48" s="189" t="str">
        <f ca="1">nhood!E7</f>
        <v/>
      </c>
    </row>
    <row r="49" spans="1:8">
      <c r="A49" s="336" t="s">
        <v>84</v>
      </c>
      <c r="B49" s="341"/>
      <c r="C49" s="491"/>
      <c r="D49" s="492"/>
      <c r="E49" s="491"/>
      <c r="F49" s="492"/>
      <c r="G49" s="333"/>
    </row>
    <row r="50" spans="1:8">
      <c r="A50" s="336" t="s">
        <v>87</v>
      </c>
      <c r="B50" s="341"/>
      <c r="C50" s="500" t="str">
        <f>IF(C51*0.1&lt;C49,"Exceed 10% Rule","")</f>
        <v/>
      </c>
      <c r="D50" s="501"/>
      <c r="E50" s="500" t="str">
        <f>IF(E51*0.1&lt;E49,"Exceed 10% Rule","")</f>
        <v/>
      </c>
      <c r="F50" s="501"/>
      <c r="G50" s="342" t="str">
        <f>IF(G51*0.1&lt;G49,"Exceed 10% Rule","")</f>
        <v/>
      </c>
    </row>
    <row r="51" spans="1:8">
      <c r="A51" s="102" t="s">
        <v>144</v>
      </c>
      <c r="B51" s="341"/>
      <c r="C51" s="528">
        <f>SUM(C32:C49)</f>
        <v>0</v>
      </c>
      <c r="D51" s="532"/>
      <c r="E51" s="528">
        <f>SUM(E32:E49)</f>
        <v>0</v>
      </c>
      <c r="F51" s="529"/>
      <c r="G51" s="366">
        <f>SUM(G32:G49)</f>
        <v>0</v>
      </c>
    </row>
    <row r="52" spans="1:8">
      <c r="A52" s="84" t="s">
        <v>614</v>
      </c>
      <c r="B52" s="341"/>
      <c r="C52" s="530">
        <f>C30-C51</f>
        <v>0</v>
      </c>
      <c r="D52" s="531"/>
      <c r="E52" s="530">
        <f>E30-E51</f>
        <v>0</v>
      </c>
      <c r="F52" s="531"/>
      <c r="G52" s="335" t="s">
        <v>112</v>
      </c>
    </row>
    <row r="53" spans="1:8">
      <c r="A53" s="123" t="str">
        <f>CONCATENATE("",G1-2,"/",G1-1," Budget Authority Amount:")</f>
        <v>2011/2012 Budget Authority Amount:</v>
      </c>
      <c r="B53" s="349">
        <f ca="1">inputOth!B84</f>
        <v>0</v>
      </c>
      <c r="C53" s="70">
        <f ca="1">inputPrYr!D21</f>
        <v>0</v>
      </c>
      <c r="D53" s="497" t="s">
        <v>38</v>
      </c>
      <c r="E53" s="498"/>
      <c r="F53" s="499"/>
      <c r="G53" s="177"/>
      <c r="H53" s="350" t="str">
        <f>IF(G51/0.95-G51&lt;G53,"Exceeds 5%","")</f>
        <v/>
      </c>
    </row>
    <row r="54" spans="1:8">
      <c r="A54" s="123"/>
      <c r="B54" s="351" t="str">
        <f>IF(C51&gt;B53,"See Tab A","")</f>
        <v/>
      </c>
      <c r="C54" s="351" t="str">
        <f>IF(E51&gt;C53,"See Tab C","")</f>
        <v/>
      </c>
      <c r="D54" s="67"/>
      <c r="E54" s="502" t="s">
        <v>39</v>
      </c>
      <c r="F54" s="503"/>
      <c r="G54" s="272">
        <f>G51+G53</f>
        <v>0</v>
      </c>
    </row>
    <row r="55" spans="1:8">
      <c r="A55" s="123"/>
      <c r="B55" s="351" t="str">
        <f>IF(C52&lt;0,"See Tab B","")</f>
        <v/>
      </c>
      <c r="C55" s="351" t="str">
        <f>IF(E52&lt;0,"See Tab D","")</f>
        <v/>
      </c>
      <c r="D55" s="67"/>
      <c r="E55" s="502" t="s">
        <v>146</v>
      </c>
      <c r="F55" s="503"/>
      <c r="G55" s="189">
        <f>IF(G54-G30&gt;0,G54-G30,0)</f>
        <v>0</v>
      </c>
    </row>
    <row r="56" spans="1:8">
      <c r="A56" s="221"/>
      <c r="B56" s="221"/>
      <c r="C56" s="221"/>
      <c r="D56" s="504" t="s">
        <v>40</v>
      </c>
      <c r="E56" s="505"/>
      <c r="F56" s="352">
        <f ca="1">inputOth!$E$77</f>
        <v>0</v>
      </c>
      <c r="G56" s="272">
        <f>ROUND(IF(F56&gt;0,(G55*F56),0),0)</f>
        <v>0</v>
      </c>
    </row>
    <row r="57" spans="1:8">
      <c r="A57" s="67"/>
      <c r="B57" s="67"/>
      <c r="C57" s="506" t="str">
        <f>CONCATENATE("Amount of  ",$G$1-1," Ad Valorem Tax")</f>
        <v>Amount of  2012 Ad Valorem Tax</v>
      </c>
      <c r="D57" s="507"/>
      <c r="E57" s="507"/>
      <c r="F57" s="508"/>
      <c r="G57" s="189">
        <f>G55+G56</f>
        <v>0</v>
      </c>
    </row>
    <row r="58" spans="1:8">
      <c r="A58" s="221"/>
      <c r="B58" s="221"/>
      <c r="C58" s="67"/>
      <c r="D58" s="67"/>
      <c r="E58" s="67"/>
      <c r="F58" s="67"/>
      <c r="G58" s="67"/>
    </row>
    <row r="59" spans="1:8">
      <c r="A59" s="123"/>
      <c r="B59" s="123" t="s">
        <v>127</v>
      </c>
      <c r="C59" s="159"/>
      <c r="D59" s="368"/>
      <c r="E59" s="67"/>
      <c r="F59" s="67"/>
      <c r="G59" s="67"/>
    </row>
  </sheetData>
  <sheetProtection sheet="1" objects="1" scenarios="1"/>
  <mergeCells count="101">
    <mergeCell ref="C41:D41"/>
    <mergeCell ref="C44:D44"/>
    <mergeCell ref="C46:D46"/>
    <mergeCell ref="E33:F33"/>
    <mergeCell ref="E34:F34"/>
    <mergeCell ref="E42:F42"/>
    <mergeCell ref="E43:F43"/>
    <mergeCell ref="E41:F41"/>
    <mergeCell ref="E38:F38"/>
    <mergeCell ref="E39:F39"/>
    <mergeCell ref="E48:F48"/>
    <mergeCell ref="E44:F44"/>
    <mergeCell ref="E45:F45"/>
    <mergeCell ref="E46:F46"/>
    <mergeCell ref="E47:F47"/>
    <mergeCell ref="C43:D43"/>
    <mergeCell ref="C47:D47"/>
    <mergeCell ref="C48:D48"/>
    <mergeCell ref="C57:F57"/>
    <mergeCell ref="C9:D9"/>
    <mergeCell ref="C10:D10"/>
    <mergeCell ref="C11:D11"/>
    <mergeCell ref="C12:D12"/>
    <mergeCell ref="C13:D13"/>
    <mergeCell ref="C14:D14"/>
    <mergeCell ref="C50:D50"/>
    <mergeCell ref="E49:F49"/>
    <mergeCell ref="E50:F50"/>
    <mergeCell ref="E9:F9"/>
    <mergeCell ref="C27:D27"/>
    <mergeCell ref="C28:D28"/>
    <mergeCell ref="C29:D29"/>
    <mergeCell ref="E27:F27"/>
    <mergeCell ref="E28:F28"/>
    <mergeCell ref="E29:F29"/>
    <mergeCell ref="C16:D16"/>
    <mergeCell ref="E18:F18"/>
    <mergeCell ref="C15:D15"/>
    <mergeCell ref="E54:F54"/>
    <mergeCell ref="E55:F55"/>
    <mergeCell ref="D56:E56"/>
    <mergeCell ref="E51:F51"/>
    <mergeCell ref="E52:F52"/>
    <mergeCell ref="D53:F53"/>
    <mergeCell ref="C51:D51"/>
    <mergeCell ref="C52:D52"/>
    <mergeCell ref="E40:F40"/>
    <mergeCell ref="E32:F32"/>
    <mergeCell ref="E35:F35"/>
    <mergeCell ref="E36:F36"/>
    <mergeCell ref="E37:F37"/>
    <mergeCell ref="C30:D30"/>
    <mergeCell ref="C39:D39"/>
    <mergeCell ref="E30:F30"/>
    <mergeCell ref="E31:F31"/>
    <mergeCell ref="C40:D40"/>
    <mergeCell ref="C35:D35"/>
    <mergeCell ref="C36:D36"/>
    <mergeCell ref="C37:D37"/>
    <mergeCell ref="C38:D38"/>
    <mergeCell ref="C21:D21"/>
    <mergeCell ref="C22:D22"/>
    <mergeCell ref="C23:D23"/>
    <mergeCell ref="E15:F15"/>
    <mergeCell ref="E16:F16"/>
    <mergeCell ref="E17:F17"/>
    <mergeCell ref="C32:D32"/>
    <mergeCell ref="C33:D33"/>
    <mergeCell ref="C34:D34"/>
    <mergeCell ref="E25:F25"/>
    <mergeCell ref="E26:F26"/>
    <mergeCell ref="E20:F20"/>
    <mergeCell ref="E21:F21"/>
    <mergeCell ref="E22:F22"/>
    <mergeCell ref="E24:F24"/>
    <mergeCell ref="C26:D26"/>
    <mergeCell ref="E10:F10"/>
    <mergeCell ref="E11:F11"/>
    <mergeCell ref="E12:F12"/>
    <mergeCell ref="E13:F13"/>
    <mergeCell ref="E14:F14"/>
    <mergeCell ref="E23:F23"/>
    <mergeCell ref="C5:D5"/>
    <mergeCell ref="C6:D6"/>
    <mergeCell ref="C7:D7"/>
    <mergeCell ref="C8:D8"/>
    <mergeCell ref="E5:F5"/>
    <mergeCell ref="E6:F6"/>
    <mergeCell ref="E7:F7"/>
    <mergeCell ref="E8:F8"/>
    <mergeCell ref="E19:F19"/>
    <mergeCell ref="C49:D49"/>
    <mergeCell ref="C42:D42"/>
    <mergeCell ref="C31:D31"/>
    <mergeCell ref="C24:D24"/>
    <mergeCell ref="C25:D25"/>
    <mergeCell ref="C17:D17"/>
    <mergeCell ref="C18:D18"/>
    <mergeCell ref="C19:D19"/>
    <mergeCell ref="C20:D20"/>
    <mergeCell ref="C45:D45"/>
  </mergeCells>
  <phoneticPr fontId="12" type="noConversion"/>
  <conditionalFormatting sqref="C49:D49">
    <cfRule type="cellIs" dxfId="10" priority="2" stopIfTrue="1" operator="greaterThan">
      <formula>$C$51*0.1</formula>
    </cfRule>
  </conditionalFormatting>
  <conditionalFormatting sqref="E49:F49">
    <cfRule type="cellIs" dxfId="9" priority="3" stopIfTrue="1" operator="greaterThan">
      <formula>$E$51*0.1</formula>
    </cfRule>
  </conditionalFormatting>
  <conditionalFormatting sqref="G49">
    <cfRule type="cellIs" dxfId="8" priority="4" stopIfTrue="1" operator="greaterThan">
      <formula>$G$51*0.1</formula>
    </cfRule>
  </conditionalFormatting>
  <conditionalFormatting sqref="G53">
    <cfRule type="cellIs" dxfId="7" priority="5" stopIfTrue="1" operator="greaterThan">
      <formula>$G$51/0.95-$G$51</formula>
    </cfRule>
  </conditionalFormatting>
  <conditionalFormatting sqref="C52:D52">
    <cfRule type="cellIs" dxfId="6" priority="6" stopIfTrue="1" operator="lessThan">
      <formula>0</formula>
    </cfRule>
  </conditionalFormatting>
  <conditionalFormatting sqref="C51:D51">
    <cfRule type="cellIs" dxfId="5" priority="7" stopIfTrue="1" operator="greaterThan">
      <formula>$B$53</formula>
    </cfRule>
  </conditionalFormatting>
  <conditionalFormatting sqref="E51:F51">
    <cfRule type="cellIs" dxfId="4" priority="8" stopIfTrue="1" operator="greaterThan">
      <formula>$C$53</formula>
    </cfRule>
  </conditionalFormatting>
  <conditionalFormatting sqref="C27:D27">
    <cfRule type="cellIs" dxfId="3" priority="9" stopIfTrue="1" operator="greaterThan">
      <formula>$C$29*0.1</formula>
    </cfRule>
  </conditionalFormatting>
  <conditionalFormatting sqref="E27:F27">
    <cfRule type="cellIs" dxfId="2" priority="10" stopIfTrue="1" operator="greaterThan">
      <formula>$E$29*0.1</formula>
    </cfRule>
  </conditionalFormatting>
  <conditionalFormatting sqref="G27">
    <cfRule type="cellIs" dxfId="1" priority="11" stopIfTrue="1" operator="greaterThan">
      <formula>$G$29*0.1+$G$57</formula>
    </cfRule>
  </conditionalFormatting>
  <conditionalFormatting sqref="E52:F52">
    <cfRule type="cellIs" dxfId="0" priority="1" stopIfTrue="1" operator="lessThan">
      <formula>0</formula>
    </cfRule>
  </conditionalFormatting>
  <pageMargins left="0.75" right="0.75" top="1" bottom="1" header="0.5" footer="0.5"/>
  <pageSetup scale="76" orientation="portrait" blackAndWhite="1" r:id="rId1"/>
  <headerFooter alignWithMargins="0">
    <oddHeader>&amp;RState of Kansas
Township</oddHeader>
    <oddFooter>&amp;Lrevised 8/21/09</oddFooter>
  </headerFooter>
</worksheet>
</file>

<file path=xl/worksheets/sheet21.xml><?xml version="1.0" encoding="utf-8"?>
<worksheet xmlns="http://schemas.openxmlformats.org/spreadsheetml/2006/main" xmlns:r="http://schemas.openxmlformats.org/officeDocument/2006/relationships">
  <sheetPr>
    <pageSetUpPr fitToPage="1"/>
  </sheetPr>
  <dimension ref="A1:L41"/>
  <sheetViews>
    <sheetView workbookViewId="0">
      <selection activeCell="F24" sqref="F24"/>
    </sheetView>
  </sheetViews>
  <sheetFormatPr defaultRowHeight="15.75"/>
  <cols>
    <col min="1" max="1" width="10.3984375" style="119" customWidth="1"/>
    <col min="2" max="2" width="6.69921875" style="119" customWidth="1"/>
    <col min="3" max="3" width="10.3984375" style="119" customWidth="1"/>
    <col min="4" max="4" width="6.69921875" style="119" customWidth="1"/>
    <col min="5" max="5" width="10.3984375" style="119" customWidth="1"/>
    <col min="6" max="6" width="6.69921875" style="119" customWidth="1"/>
    <col min="7" max="7" width="10.3984375" style="119" customWidth="1"/>
    <col min="8" max="8" width="6.69921875" style="119" customWidth="1"/>
    <col min="9" max="9" width="10.3984375" style="119" customWidth="1"/>
    <col min="10" max="16384" width="8.796875" style="119"/>
  </cols>
  <sheetData>
    <row r="1" spans="1:11">
      <c r="A1" s="128" t="str">
        <f ca="1">inputPrYr!$D$3</f>
        <v>Paradise Township</v>
      </c>
      <c r="B1" s="125"/>
      <c r="C1" s="118"/>
      <c r="D1" s="118"/>
      <c r="E1" s="118"/>
      <c r="F1" s="126" t="s">
        <v>194</v>
      </c>
      <c r="G1" s="118"/>
      <c r="H1" s="118"/>
      <c r="I1" s="118"/>
      <c r="J1" s="118"/>
      <c r="K1" s="118">
        <f ca="1">inputPrYr!$D$9</f>
        <v>2013</v>
      </c>
    </row>
    <row r="2" spans="1:11">
      <c r="A2" s="118"/>
      <c r="B2" s="118"/>
      <c r="C2" s="118"/>
      <c r="D2" s="118"/>
      <c r="E2" s="118"/>
      <c r="F2" s="127" t="str">
        <f>CONCATENATE("(Only the actual budget year for ",K1-2," is to be shown)")</f>
        <v>(Only the actual budget year for 2011 is to be shown)</v>
      </c>
      <c r="G2" s="118"/>
      <c r="H2" s="118"/>
      <c r="I2" s="118"/>
      <c r="J2" s="118"/>
      <c r="K2" s="118"/>
    </row>
    <row r="3" spans="1:11">
      <c r="A3" s="118" t="s">
        <v>195</v>
      </c>
      <c r="B3" s="118"/>
      <c r="C3" s="118"/>
      <c r="D3" s="118"/>
      <c r="E3" s="118"/>
      <c r="F3" s="125"/>
      <c r="G3" s="118"/>
      <c r="H3" s="118"/>
      <c r="I3" s="118"/>
      <c r="J3" s="118"/>
      <c r="K3" s="118"/>
    </row>
    <row r="4" spans="1:11">
      <c r="A4" s="118" t="s">
        <v>196</v>
      </c>
      <c r="B4" s="118"/>
      <c r="C4" s="118" t="s">
        <v>197</v>
      </c>
      <c r="D4" s="118"/>
      <c r="E4" s="118" t="s">
        <v>198</v>
      </c>
      <c r="F4" s="125"/>
      <c r="G4" s="118" t="s">
        <v>199</v>
      </c>
      <c r="H4" s="118"/>
      <c r="I4" s="118" t="s">
        <v>200</v>
      </c>
      <c r="J4" s="118"/>
      <c r="K4" s="118"/>
    </row>
    <row r="5" spans="1:11">
      <c r="A5" s="535">
        <f ca="1">inputPrYr!B41</f>
        <v>0</v>
      </c>
      <c r="B5" s="534"/>
      <c r="C5" s="535">
        <f ca="1">inputPrYr!B42</f>
        <v>0</v>
      </c>
      <c r="D5" s="534"/>
      <c r="E5" s="535">
        <f ca="1">inputPrYr!B43</f>
        <v>0</v>
      </c>
      <c r="F5" s="534"/>
      <c r="G5" s="533">
        <f ca="1">inputPrYr!B44</f>
        <v>0</v>
      </c>
      <c r="H5" s="534"/>
      <c r="I5" s="533">
        <f ca="1">inputPrYr!B45</f>
        <v>0</v>
      </c>
      <c r="J5" s="534"/>
      <c r="K5" s="130"/>
    </row>
    <row r="6" spans="1:11">
      <c r="A6" s="131" t="s">
        <v>201</v>
      </c>
      <c r="B6" s="132"/>
      <c r="C6" s="133" t="s">
        <v>201</v>
      </c>
      <c r="D6" s="134"/>
      <c r="E6" s="133" t="s">
        <v>201</v>
      </c>
      <c r="F6" s="135"/>
      <c r="G6" s="133" t="s">
        <v>201</v>
      </c>
      <c r="H6" s="129"/>
      <c r="I6" s="133" t="s">
        <v>201</v>
      </c>
      <c r="J6" s="118"/>
      <c r="K6" s="136" t="s">
        <v>98</v>
      </c>
    </row>
    <row r="7" spans="1:11">
      <c r="A7" s="137" t="s">
        <v>202</v>
      </c>
      <c r="B7" s="138"/>
      <c r="C7" s="139" t="s">
        <v>202</v>
      </c>
      <c r="D7" s="138"/>
      <c r="E7" s="139" t="s">
        <v>202</v>
      </c>
      <c r="F7" s="138"/>
      <c r="G7" s="139" t="s">
        <v>202</v>
      </c>
      <c r="H7" s="138"/>
      <c r="I7" s="139" t="s">
        <v>202</v>
      </c>
      <c r="J7" s="138"/>
      <c r="K7" s="140">
        <f>SUM(B7+D7+F7+H7+J7)</f>
        <v>0</v>
      </c>
    </row>
    <row r="8" spans="1:11">
      <c r="A8" s="141" t="s">
        <v>615</v>
      </c>
      <c r="B8" s="142"/>
      <c r="C8" s="141" t="s">
        <v>615</v>
      </c>
      <c r="D8" s="143"/>
      <c r="E8" s="141" t="s">
        <v>615</v>
      </c>
      <c r="F8" s="125"/>
      <c r="G8" s="141" t="s">
        <v>615</v>
      </c>
      <c r="H8" s="118"/>
      <c r="I8" s="141" t="s">
        <v>615</v>
      </c>
      <c r="J8" s="118"/>
      <c r="K8" s="125"/>
    </row>
    <row r="9" spans="1:11">
      <c r="A9" s="144"/>
      <c r="B9" s="138"/>
      <c r="C9" s="144"/>
      <c r="D9" s="138"/>
      <c r="E9" s="144"/>
      <c r="F9" s="138"/>
      <c r="G9" s="144"/>
      <c r="H9" s="138"/>
      <c r="I9" s="144"/>
      <c r="J9" s="138"/>
      <c r="K9" s="125"/>
    </row>
    <row r="10" spans="1:11">
      <c r="A10" s="144"/>
      <c r="B10" s="138"/>
      <c r="C10" s="144"/>
      <c r="D10" s="138"/>
      <c r="E10" s="144"/>
      <c r="F10" s="138"/>
      <c r="G10" s="144"/>
      <c r="H10" s="138"/>
      <c r="I10" s="144"/>
      <c r="J10" s="138"/>
      <c r="K10" s="125"/>
    </row>
    <row r="11" spans="1:11">
      <c r="A11" s="144"/>
      <c r="B11" s="138"/>
      <c r="C11" s="145"/>
      <c r="D11" s="146"/>
      <c r="E11" s="145"/>
      <c r="F11" s="138"/>
      <c r="G11" s="145"/>
      <c r="H11" s="138"/>
      <c r="I11" s="147"/>
      <c r="J11" s="138"/>
      <c r="K11" s="125"/>
    </row>
    <row r="12" spans="1:11">
      <c r="A12" s="144"/>
      <c r="B12" s="148"/>
      <c r="C12" s="144"/>
      <c r="D12" s="149"/>
      <c r="E12" s="150"/>
      <c r="F12" s="138"/>
      <c r="G12" s="150"/>
      <c r="H12" s="138"/>
      <c r="I12" s="150"/>
      <c r="J12" s="138"/>
      <c r="K12" s="125"/>
    </row>
    <row r="13" spans="1:11">
      <c r="A13" s="151"/>
      <c r="B13" s="152"/>
      <c r="C13" s="153"/>
      <c r="D13" s="149"/>
      <c r="E13" s="153"/>
      <c r="F13" s="138"/>
      <c r="G13" s="153"/>
      <c r="H13" s="138"/>
      <c r="I13" s="147"/>
      <c r="J13" s="138"/>
      <c r="K13" s="125"/>
    </row>
    <row r="14" spans="1:11">
      <c r="A14" s="144"/>
      <c r="B14" s="138"/>
      <c r="C14" s="150"/>
      <c r="D14" s="149"/>
      <c r="E14" s="150"/>
      <c r="F14" s="138"/>
      <c r="G14" s="150"/>
      <c r="H14" s="138"/>
      <c r="I14" s="150"/>
      <c r="J14" s="138"/>
      <c r="K14" s="125"/>
    </row>
    <row r="15" spans="1:11">
      <c r="A15" s="144"/>
      <c r="B15" s="138"/>
      <c r="C15" s="150"/>
      <c r="D15" s="149"/>
      <c r="E15" s="150"/>
      <c r="F15" s="138"/>
      <c r="G15" s="150"/>
      <c r="H15" s="138"/>
      <c r="I15" s="150"/>
      <c r="J15" s="138"/>
      <c r="K15" s="125"/>
    </row>
    <row r="16" spans="1:11">
      <c r="A16" s="144"/>
      <c r="B16" s="152"/>
      <c r="C16" s="144"/>
      <c r="D16" s="149"/>
      <c r="E16" s="144"/>
      <c r="F16" s="138"/>
      <c r="G16" s="150"/>
      <c r="H16" s="138"/>
      <c r="I16" s="144"/>
      <c r="J16" s="138"/>
      <c r="K16" s="125"/>
    </row>
    <row r="17" spans="1:12">
      <c r="A17" s="141" t="s">
        <v>141</v>
      </c>
      <c r="B17" s="140">
        <f>SUM(B9:B16)</f>
        <v>0</v>
      </c>
      <c r="C17" s="141" t="s">
        <v>141</v>
      </c>
      <c r="D17" s="140">
        <f>SUM(D9:D16)</f>
        <v>0</v>
      </c>
      <c r="E17" s="141" t="s">
        <v>141</v>
      </c>
      <c r="F17" s="154">
        <f>SUM(F9:F16)</f>
        <v>0</v>
      </c>
      <c r="G17" s="141" t="s">
        <v>141</v>
      </c>
      <c r="H17" s="140">
        <f>SUM(H9:H16)</f>
        <v>0</v>
      </c>
      <c r="I17" s="141" t="s">
        <v>141</v>
      </c>
      <c r="J17" s="140">
        <f>SUM(J9:J16)</f>
        <v>0</v>
      </c>
      <c r="K17" s="140">
        <f>SUM(B17+D17+F17+H17+J17)</f>
        <v>0</v>
      </c>
    </row>
    <row r="18" spans="1:12">
      <c r="A18" s="141" t="s">
        <v>142</v>
      </c>
      <c r="B18" s="140">
        <f>SUM(B7+B17)</f>
        <v>0</v>
      </c>
      <c r="C18" s="141" t="s">
        <v>142</v>
      </c>
      <c r="D18" s="140">
        <f>SUM(D7+D17)</f>
        <v>0</v>
      </c>
      <c r="E18" s="141" t="s">
        <v>142</v>
      </c>
      <c r="F18" s="140">
        <f>SUM(F7+F17)</f>
        <v>0</v>
      </c>
      <c r="G18" s="141" t="s">
        <v>142</v>
      </c>
      <c r="H18" s="140">
        <f>SUM(H7+H17)</f>
        <v>0</v>
      </c>
      <c r="I18" s="141" t="s">
        <v>142</v>
      </c>
      <c r="J18" s="140">
        <f>SUM(J7+J17)</f>
        <v>0</v>
      </c>
      <c r="K18" s="140">
        <f>SUM(B18+D18+F18+H18+J18)</f>
        <v>0</v>
      </c>
    </row>
    <row r="19" spans="1:12">
      <c r="A19" s="141" t="s">
        <v>143</v>
      </c>
      <c r="B19" s="142"/>
      <c r="C19" s="141" t="s">
        <v>143</v>
      </c>
      <c r="D19" s="143"/>
      <c r="E19" s="141" t="s">
        <v>143</v>
      </c>
      <c r="F19" s="125"/>
      <c r="G19" s="141" t="s">
        <v>143</v>
      </c>
      <c r="H19" s="118"/>
      <c r="I19" s="141" t="s">
        <v>143</v>
      </c>
      <c r="J19" s="118"/>
      <c r="K19" s="125"/>
    </row>
    <row r="20" spans="1:12">
      <c r="A20" s="144"/>
      <c r="B20" s="138"/>
      <c r="C20" s="150"/>
      <c r="D20" s="138"/>
      <c r="E20" s="150"/>
      <c r="F20" s="138"/>
      <c r="G20" s="150"/>
      <c r="H20" s="138"/>
      <c r="I20" s="150"/>
      <c r="J20" s="138"/>
      <c r="K20" s="125"/>
    </row>
    <row r="21" spans="1:12">
      <c r="A21" s="144"/>
      <c r="B21" s="138"/>
      <c r="C21" s="150"/>
      <c r="D21" s="138"/>
      <c r="E21" s="150"/>
      <c r="F21" s="138"/>
      <c r="G21" s="150"/>
      <c r="H21" s="138"/>
      <c r="I21" s="150"/>
      <c r="J21" s="138"/>
      <c r="K21" s="125"/>
    </row>
    <row r="22" spans="1:12">
      <c r="A22" s="144"/>
      <c r="B22" s="138"/>
      <c r="C22" s="153"/>
      <c r="D22" s="138"/>
      <c r="E22" s="153"/>
      <c r="F22" s="138"/>
      <c r="G22" s="153"/>
      <c r="H22" s="138"/>
      <c r="I22" s="147"/>
      <c r="J22" s="138"/>
      <c r="K22" s="125"/>
    </row>
    <row r="23" spans="1:12">
      <c r="A23" s="144"/>
      <c r="B23" s="138"/>
      <c r="C23" s="150"/>
      <c r="D23" s="138"/>
      <c r="E23" s="150"/>
      <c r="F23" s="138"/>
      <c r="G23" s="150"/>
      <c r="H23" s="138"/>
      <c r="I23" s="150"/>
      <c r="J23" s="138"/>
      <c r="K23" s="125"/>
    </row>
    <row r="24" spans="1:12">
      <c r="A24" s="144"/>
      <c r="B24" s="138"/>
      <c r="C24" s="153"/>
      <c r="D24" s="138"/>
      <c r="E24" s="153"/>
      <c r="F24" s="138"/>
      <c r="G24" s="153"/>
      <c r="H24" s="138"/>
      <c r="I24" s="147"/>
      <c r="J24" s="138"/>
      <c r="K24" s="125"/>
    </row>
    <row r="25" spans="1:12">
      <c r="A25" s="144"/>
      <c r="B25" s="138"/>
      <c r="C25" s="150"/>
      <c r="D25" s="138"/>
      <c r="E25" s="150"/>
      <c r="F25" s="138"/>
      <c r="G25" s="150"/>
      <c r="H25" s="138"/>
      <c r="I25" s="150"/>
      <c r="J25" s="138"/>
      <c r="K25" s="125"/>
    </row>
    <row r="26" spans="1:12">
      <c r="A26" s="144"/>
      <c r="B26" s="138"/>
      <c r="C26" s="150"/>
      <c r="D26" s="138"/>
      <c r="E26" s="150"/>
      <c r="F26" s="138"/>
      <c r="G26" s="150"/>
      <c r="H26" s="138"/>
      <c r="I26" s="150"/>
      <c r="J26" s="138"/>
      <c r="K26" s="125"/>
    </row>
    <row r="27" spans="1:12">
      <c r="A27" s="144"/>
      <c r="B27" s="138"/>
      <c r="C27" s="144"/>
      <c r="D27" s="138"/>
      <c r="E27" s="144"/>
      <c r="F27" s="138"/>
      <c r="G27" s="150"/>
      <c r="H27" s="138"/>
      <c r="I27" s="150"/>
      <c r="J27" s="138"/>
      <c r="K27" s="125"/>
    </row>
    <row r="28" spans="1:12">
      <c r="A28" s="141" t="s">
        <v>144</v>
      </c>
      <c r="B28" s="140">
        <f>SUM(B20:B27)</f>
        <v>0</v>
      </c>
      <c r="C28" s="141" t="s">
        <v>144</v>
      </c>
      <c r="D28" s="140">
        <f>SUM(D20:D27)</f>
        <v>0</v>
      </c>
      <c r="E28" s="141" t="s">
        <v>144</v>
      </c>
      <c r="F28" s="154">
        <f>SUM(F20:F27)</f>
        <v>0</v>
      </c>
      <c r="G28" s="141" t="s">
        <v>144</v>
      </c>
      <c r="H28" s="154">
        <f>SUM(H20:H27)</f>
        <v>0</v>
      </c>
      <c r="I28" s="141" t="s">
        <v>144</v>
      </c>
      <c r="J28" s="140">
        <f>SUM(J20:J27)</f>
        <v>0</v>
      </c>
      <c r="K28" s="140">
        <f>SUM(B28+D28+F28+H28+J28)</f>
        <v>0</v>
      </c>
    </row>
    <row r="29" spans="1:12">
      <c r="A29" s="141" t="s">
        <v>203</v>
      </c>
      <c r="B29" s="140">
        <f>SUM(B18-B28)</f>
        <v>0</v>
      </c>
      <c r="C29" s="141" t="s">
        <v>203</v>
      </c>
      <c r="D29" s="140">
        <f>SUM(D18-D28)</f>
        <v>0</v>
      </c>
      <c r="E29" s="141" t="s">
        <v>203</v>
      </c>
      <c r="F29" s="140">
        <f>SUM(F18-F28)</f>
        <v>0</v>
      </c>
      <c r="G29" s="141" t="s">
        <v>203</v>
      </c>
      <c r="H29" s="140">
        <f>SUM(H18-H28)</f>
        <v>0</v>
      </c>
      <c r="I29" s="141" t="s">
        <v>203</v>
      </c>
      <c r="J29" s="140">
        <f>SUM(J18-J28)</f>
        <v>0</v>
      </c>
      <c r="K29" s="155">
        <f>SUM(B29+D29+F29+H29+J29)</f>
        <v>0</v>
      </c>
      <c r="L29" s="119" t="s">
        <v>204</v>
      </c>
    </row>
    <row r="30" spans="1:12">
      <c r="A30" s="141"/>
      <c r="B30" s="404" t="str">
        <f>IF(B29&lt;0,"See Tab B","")</f>
        <v/>
      </c>
      <c r="C30" s="141"/>
      <c r="D30" s="404" t="str">
        <f>IF(D29&lt;0,"See Tab B","")</f>
        <v/>
      </c>
      <c r="E30" s="141"/>
      <c r="F30" s="404" t="str">
        <f>IF(F29&lt;0,"See Tab B","")</f>
        <v/>
      </c>
      <c r="G30" s="118"/>
      <c r="H30" s="404" t="str">
        <f>IF(H29&lt;0,"See Tab B","")</f>
        <v/>
      </c>
      <c r="I30" s="118"/>
      <c r="J30" s="404" t="str">
        <f>IF(J29&lt;0,"See Tab B","")</f>
        <v/>
      </c>
      <c r="K30" s="155">
        <f>SUM(K7+K17-K28)</f>
        <v>0</v>
      </c>
      <c r="L30" s="119" t="s">
        <v>204</v>
      </c>
    </row>
    <row r="31" spans="1:12">
      <c r="A31" s="118"/>
      <c r="B31" s="156"/>
      <c r="C31" s="118"/>
      <c r="D31" s="125"/>
      <c r="E31" s="118"/>
      <c r="F31" s="118"/>
      <c r="G31" s="157" t="s">
        <v>205</v>
      </c>
      <c r="H31" s="157"/>
      <c r="I31" s="157"/>
      <c r="J31" s="157"/>
      <c r="K31" s="118"/>
    </row>
    <row r="32" spans="1:12">
      <c r="A32" s="118"/>
      <c r="B32" s="156"/>
      <c r="C32" s="118"/>
      <c r="D32" s="118"/>
      <c r="E32" s="118"/>
      <c r="F32" s="118"/>
      <c r="G32" s="118"/>
      <c r="H32" s="118"/>
      <c r="I32" s="118"/>
      <c r="J32" s="118"/>
      <c r="K32" s="118"/>
    </row>
    <row r="33" spans="1:11">
      <c r="A33" s="118"/>
      <c r="B33" s="156"/>
      <c r="C33" s="118"/>
      <c r="D33" s="118"/>
      <c r="E33" s="158" t="s">
        <v>127</v>
      </c>
      <c r="F33" s="159"/>
      <c r="G33" s="118"/>
      <c r="H33" s="118"/>
      <c r="I33" s="118"/>
      <c r="J33" s="118"/>
      <c r="K33" s="118"/>
    </row>
    <row r="34" spans="1:11">
      <c r="B34" s="160"/>
    </row>
    <row r="35" spans="1:11">
      <c r="B35" s="160"/>
    </row>
    <row r="36" spans="1:11">
      <c r="B36" s="160"/>
    </row>
    <row r="37" spans="1:11">
      <c r="B37" s="160"/>
    </row>
    <row r="38" spans="1:11">
      <c r="B38" s="160"/>
    </row>
    <row r="39" spans="1:11">
      <c r="B39" s="160"/>
    </row>
    <row r="40" spans="1:11">
      <c r="B40" s="160"/>
    </row>
    <row r="41" spans="1:11">
      <c r="B41" s="160"/>
    </row>
  </sheetData>
  <sheetProtection sheet="1" objects="1" scenarios="1"/>
  <mergeCells count="5">
    <mergeCell ref="I5:J5"/>
    <mergeCell ref="A5:B5"/>
    <mergeCell ref="C5:D5"/>
    <mergeCell ref="E5:F5"/>
    <mergeCell ref="G5:H5"/>
  </mergeCells>
  <phoneticPr fontId="0" type="noConversion"/>
  <pageMargins left="0.7" right="0.7" top="0.75" bottom="0.75" header="0.3" footer="0.3"/>
  <pageSetup scale="67" orientation="portrait" blackAndWhite="1" r:id="rId1"/>
  <headerFooter>
    <oddHeader>&amp;RState of Kansas
Township</oddHeader>
    <oddFooter>&amp;Lrevised 8/21/09</oddFooter>
  </headerFooter>
</worksheet>
</file>

<file path=xl/worksheets/sheet22.xml><?xml version="1.0" encoding="utf-8"?>
<worksheet xmlns="http://schemas.openxmlformats.org/spreadsheetml/2006/main" xmlns:r="http://schemas.openxmlformats.org/officeDocument/2006/relationships">
  <dimension ref="A1:A22"/>
  <sheetViews>
    <sheetView workbookViewId="0"/>
  </sheetViews>
  <sheetFormatPr defaultRowHeight="15.75"/>
  <cols>
    <col min="1" max="1" width="62.3984375" style="114" customWidth="1"/>
    <col min="2" max="16384" width="8.796875" style="114"/>
  </cols>
  <sheetData>
    <row r="1" spans="1:1" ht="20.25">
      <c r="A1" s="405" t="s">
        <v>213</v>
      </c>
    </row>
    <row r="2" spans="1:1" ht="53.25" customHeight="1">
      <c r="A2" s="228" t="s">
        <v>214</v>
      </c>
    </row>
    <row r="3" spans="1:1">
      <c r="A3" s="406"/>
    </row>
    <row r="4" spans="1:1" ht="58.5" customHeight="1">
      <c r="A4" s="228" t="s">
        <v>215</v>
      </c>
    </row>
    <row r="5" spans="1:1">
      <c r="A5" s="119"/>
    </row>
    <row r="6" spans="1:1" ht="55.5" customHeight="1">
      <c r="A6" s="228" t="s">
        <v>216</v>
      </c>
    </row>
    <row r="7" spans="1:1">
      <c r="A7" s="406"/>
    </row>
    <row r="8" spans="1:1" ht="42.75" customHeight="1">
      <c r="A8" s="228" t="s">
        <v>217</v>
      </c>
    </row>
    <row r="9" spans="1:1">
      <c r="A9" s="119"/>
    </row>
    <row r="10" spans="1:1" ht="31.5">
      <c r="A10" s="228" t="s">
        <v>218</v>
      </c>
    </row>
    <row r="11" spans="1:1">
      <c r="A11" s="406"/>
    </row>
    <row r="12" spans="1:1" ht="69.75" customHeight="1">
      <c r="A12" s="228" t="s">
        <v>219</v>
      </c>
    </row>
    <row r="13" spans="1:1">
      <c r="A13" s="406"/>
    </row>
    <row r="14" spans="1:1" ht="40.5" customHeight="1">
      <c r="A14" s="228" t="s">
        <v>220</v>
      </c>
    </row>
    <row r="15" spans="1:1">
      <c r="A15" s="119"/>
    </row>
    <row r="16" spans="1:1" ht="56.25" customHeight="1">
      <c r="A16" s="228" t="s">
        <v>221</v>
      </c>
    </row>
    <row r="17" spans="1:1">
      <c r="A17" s="406"/>
    </row>
    <row r="18" spans="1:1" ht="54.75" customHeight="1">
      <c r="A18" s="228" t="s">
        <v>222</v>
      </c>
    </row>
    <row r="19" spans="1:1">
      <c r="A19" s="406"/>
    </row>
    <row r="20" spans="1:1" ht="55.5" customHeight="1">
      <c r="A20" s="228" t="s">
        <v>223</v>
      </c>
    </row>
    <row r="21" spans="1:1">
      <c r="A21" s="406"/>
    </row>
    <row r="22" spans="1:1" ht="76.5" customHeight="1">
      <c r="A22" s="228" t="s">
        <v>224</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3.xml><?xml version="1.0" encoding="utf-8"?>
<worksheet xmlns="http://schemas.openxmlformats.org/spreadsheetml/2006/main" xmlns:r="http://schemas.openxmlformats.org/officeDocument/2006/relationships">
  <sheetPr>
    <pageSetUpPr fitToPage="1"/>
  </sheetPr>
  <dimension ref="A1:F40"/>
  <sheetViews>
    <sheetView workbookViewId="0">
      <selection activeCell="A20" sqref="A20:C20"/>
    </sheetView>
  </sheetViews>
  <sheetFormatPr defaultRowHeight="15.75"/>
  <cols>
    <col min="1" max="1" width="10.59765625" style="114" customWidth="1"/>
    <col min="2" max="2" width="13.69921875" style="114" customWidth="1"/>
    <col min="3" max="5" width="12.69921875" style="114" customWidth="1"/>
    <col min="6" max="16384" width="8.796875" style="114"/>
  </cols>
  <sheetData>
    <row r="1" spans="1:6">
      <c r="A1" s="235" t="str">
        <f ca="1">inputPrYr!D3</f>
        <v>Paradise Township</v>
      </c>
      <c r="B1" s="67"/>
      <c r="C1" s="67"/>
      <c r="D1" s="67"/>
      <c r="E1" s="67"/>
      <c r="F1" s="67">
        <f ca="1">inputPrYr!D9</f>
        <v>2013</v>
      </c>
    </row>
    <row r="2" spans="1:6">
      <c r="A2" s="67"/>
      <c r="B2" s="67"/>
      <c r="C2" s="67"/>
      <c r="D2" s="67"/>
      <c r="E2" s="67"/>
      <c r="F2" s="67"/>
    </row>
    <row r="3" spans="1:6">
      <c r="A3" s="67"/>
      <c r="B3" s="468" t="str">
        <f>CONCATENATE("",F1," Neighborhood Revitalization Rebate")</f>
        <v>2013 Neighborhood Revitalization Rebate</v>
      </c>
      <c r="C3" s="471"/>
      <c r="D3" s="471"/>
      <c r="E3" s="471"/>
      <c r="F3" s="67"/>
    </row>
    <row r="4" spans="1:6">
      <c r="A4" s="67"/>
      <c r="B4" s="67"/>
      <c r="C4" s="67"/>
      <c r="D4" s="67"/>
      <c r="E4" s="67"/>
      <c r="F4" s="67"/>
    </row>
    <row r="5" spans="1:6" ht="51" customHeight="1">
      <c r="A5" s="67"/>
      <c r="B5" s="385" t="str">
        <f>CONCATENATE("Budgeted Funds                            for ",F1,"")</f>
        <v>Budgeted Funds                            for 2013</v>
      </c>
      <c r="C5" s="385" t="str">
        <f>CONCATENATE("",F1-1," Ad Valorem before Rebate**")</f>
        <v>2012 Ad Valorem before Rebate**</v>
      </c>
      <c r="D5" s="386" t="str">
        <f>CONCATENATE("",F1-1," Mil Rate before Rebate")</f>
        <v>2012 Mil Rate before Rebate</v>
      </c>
      <c r="E5" s="387" t="str">
        <f>CONCATENATE("Estimate ",F1," NR Rebate")</f>
        <v>Estimate 2013 NR Rebate</v>
      </c>
      <c r="F5" s="199"/>
    </row>
    <row r="6" spans="1:6">
      <c r="A6" s="67"/>
      <c r="B6" s="110" t="str">
        <f ca="1">IF(inputPrYr!B20&gt;0,inputPrYr!B20,"")</f>
        <v>General</v>
      </c>
      <c r="C6" s="388"/>
      <c r="D6" s="389" t="str">
        <f t="shared" ref="D6:D16" si="0">IF(C6&gt;0,C6/$D$22,"")</f>
        <v/>
      </c>
      <c r="E6" s="384" t="str">
        <f>IF(C6&gt;0,ROUND(D6*$D$26,0),"")</f>
        <v/>
      </c>
      <c r="F6" s="199"/>
    </row>
    <row r="7" spans="1:6">
      <c r="A7" s="67"/>
      <c r="B7" s="110" t="str">
        <f ca="1">IF(inputPrYr!B21&gt;0,inputPrYr!B21,"")</f>
        <v>Debt Service</v>
      </c>
      <c r="C7" s="388"/>
      <c r="D7" s="389" t="str">
        <f t="shared" si="0"/>
        <v/>
      </c>
      <c r="E7" s="384" t="str">
        <f t="shared" ref="E7:E16" si="1">IF(C7&gt;0,ROUND(D7*$D$26,0),"")</f>
        <v/>
      </c>
      <c r="F7" s="199"/>
    </row>
    <row r="8" spans="1:6">
      <c r="A8" s="67"/>
      <c r="B8" s="110" t="str">
        <f ca="1">IF(inputPrYr!B22&gt;0,inputPrYr!B22,"")</f>
        <v>Road</v>
      </c>
      <c r="C8" s="388"/>
      <c r="D8" s="389" t="str">
        <f t="shared" si="0"/>
        <v/>
      </c>
      <c r="E8" s="384" t="str">
        <f t="shared" si="1"/>
        <v/>
      </c>
      <c r="F8" s="199"/>
    </row>
    <row r="9" spans="1:6">
      <c r="A9" s="67"/>
      <c r="B9" s="110" t="str">
        <f ca="1">IF(inputPrYr!B23&gt;0,inputPrYr!B23,"")</f>
        <v>Special Road</v>
      </c>
      <c r="C9" s="388"/>
      <c r="D9" s="389" t="str">
        <f t="shared" si="0"/>
        <v/>
      </c>
      <c r="E9" s="384" t="str">
        <f t="shared" si="1"/>
        <v/>
      </c>
      <c r="F9" s="199"/>
    </row>
    <row r="10" spans="1:6">
      <c r="A10" s="67"/>
      <c r="B10" s="110" t="str">
        <f ca="1">IF(inputPrYr!B24&gt;0,inputPrYr!B24,"")</f>
        <v>Noxious Weed</v>
      </c>
      <c r="C10" s="388"/>
      <c r="D10" s="389" t="str">
        <f t="shared" si="0"/>
        <v/>
      </c>
      <c r="E10" s="384" t="str">
        <f t="shared" si="1"/>
        <v/>
      </c>
      <c r="F10" s="199"/>
    </row>
    <row r="11" spans="1:6">
      <c r="A11" s="67"/>
      <c r="B11" s="110" t="str">
        <f ca="1">IF(inputPrYr!B25&gt;0,inputPrYr!B25,"")</f>
        <v>Fire Protection</v>
      </c>
      <c r="C11" s="388"/>
      <c r="D11" s="389" t="str">
        <f t="shared" si="0"/>
        <v/>
      </c>
      <c r="E11" s="384" t="str">
        <f t="shared" si="1"/>
        <v/>
      </c>
      <c r="F11" s="199"/>
    </row>
    <row r="12" spans="1:6">
      <c r="A12" s="67"/>
      <c r="B12" s="110" t="str">
        <f ca="1">IF(inputPrYr!B26&gt;0,inputPrYr!B26,"")</f>
        <v/>
      </c>
      <c r="C12" s="390"/>
      <c r="D12" s="389" t="str">
        <f t="shared" si="0"/>
        <v/>
      </c>
      <c r="E12" s="384" t="str">
        <f t="shared" si="1"/>
        <v/>
      </c>
      <c r="F12" s="199"/>
    </row>
    <row r="13" spans="1:6">
      <c r="A13" s="67"/>
      <c r="B13" s="110" t="str">
        <f ca="1">IF(inputPrYr!B27&gt;0,inputPrYr!B27,"")</f>
        <v/>
      </c>
      <c r="C13" s="390"/>
      <c r="D13" s="389" t="str">
        <f t="shared" si="0"/>
        <v/>
      </c>
      <c r="E13" s="384" t="str">
        <f t="shared" si="1"/>
        <v/>
      </c>
      <c r="F13" s="199"/>
    </row>
    <row r="14" spans="1:6">
      <c r="A14" s="67"/>
      <c r="B14" s="110" t="str">
        <f ca="1">IF(inputPrYr!B28&gt;0,inputPrYr!B28,"")</f>
        <v/>
      </c>
      <c r="C14" s="390"/>
      <c r="D14" s="389" t="str">
        <f t="shared" si="0"/>
        <v/>
      </c>
      <c r="E14" s="384" t="str">
        <f t="shared" si="1"/>
        <v/>
      </c>
      <c r="F14" s="199"/>
    </row>
    <row r="15" spans="1:6">
      <c r="A15" s="67"/>
      <c r="B15" s="110" t="str">
        <f ca="1">IF(inputPrYr!B29&gt;0,inputPrYr!B29,"")</f>
        <v/>
      </c>
      <c r="C15" s="390"/>
      <c r="D15" s="389" t="str">
        <f t="shared" si="0"/>
        <v/>
      </c>
      <c r="E15" s="384" t="str">
        <f t="shared" si="1"/>
        <v/>
      </c>
      <c r="F15" s="199"/>
    </row>
    <row r="16" spans="1:6">
      <c r="A16" s="67"/>
      <c r="B16" s="110" t="str">
        <f ca="1">IF(inputPrYr!B31&gt;0,inputPrYr!B31,"")</f>
        <v/>
      </c>
      <c r="C16" s="390"/>
      <c r="D16" s="389" t="str">
        <f t="shared" si="0"/>
        <v/>
      </c>
      <c r="E16" s="384" t="str">
        <f t="shared" si="1"/>
        <v/>
      </c>
      <c r="F16" s="199"/>
    </row>
    <row r="17" spans="1:6" ht="16.5" thickBot="1">
      <c r="A17" s="67"/>
      <c r="B17" s="215" t="s">
        <v>83</v>
      </c>
      <c r="C17" s="391">
        <f>SUM(C6:C16)</f>
        <v>0</v>
      </c>
      <c r="D17" s="392">
        <f>SUM(D6:D16)</f>
        <v>0</v>
      </c>
      <c r="E17" s="391">
        <f>SUM(E6:E16)</f>
        <v>0</v>
      </c>
      <c r="F17" s="199"/>
    </row>
    <row r="18" spans="1:6" ht="16.5" thickTop="1">
      <c r="A18" s="67"/>
      <c r="B18" s="67"/>
      <c r="C18" s="67"/>
      <c r="D18" s="67"/>
      <c r="E18" s="67"/>
      <c r="F18" s="199"/>
    </row>
    <row r="19" spans="1:6">
      <c r="A19" s="67"/>
      <c r="B19" s="67"/>
      <c r="C19" s="67"/>
      <c r="D19" s="67"/>
      <c r="E19" s="67"/>
      <c r="F19" s="199"/>
    </row>
    <row r="20" spans="1:6">
      <c r="A20" s="538" t="str">
        <f>CONCATENATE("",F1-1," July 1 Valuation:")</f>
        <v>2012 July 1 Valuation:</v>
      </c>
      <c r="B20" s="537"/>
      <c r="C20" s="538"/>
      <c r="D20" s="393">
        <f ca="1">inputOth!E11</f>
        <v>17585258</v>
      </c>
      <c r="E20" s="67"/>
      <c r="F20" s="199"/>
    </row>
    <row r="21" spans="1:6">
      <c r="A21" s="67"/>
      <c r="B21" s="67"/>
      <c r="C21" s="67"/>
      <c r="D21" s="67"/>
      <c r="E21" s="67"/>
      <c r="F21" s="199"/>
    </row>
    <row r="22" spans="1:6">
      <c r="A22" s="67"/>
      <c r="B22" s="538" t="s">
        <v>235</v>
      </c>
      <c r="C22" s="538"/>
      <c r="D22" s="394">
        <f>IF(D20&gt;0,(D20*0.001),"")</f>
        <v>17585.258000000002</v>
      </c>
      <c r="E22" s="67"/>
      <c r="F22" s="199"/>
    </row>
    <row r="23" spans="1:6">
      <c r="A23" s="67"/>
      <c r="B23" s="123"/>
      <c r="C23" s="123"/>
      <c r="D23" s="395"/>
      <c r="E23" s="67"/>
      <c r="F23" s="199"/>
    </row>
    <row r="24" spans="1:6">
      <c r="A24" s="536" t="s">
        <v>236</v>
      </c>
      <c r="B24" s="467"/>
      <c r="C24" s="467"/>
      <c r="D24" s="396">
        <f ca="1">inputOth!E33</f>
        <v>0</v>
      </c>
      <c r="E24" s="186"/>
      <c r="F24" s="186"/>
    </row>
    <row r="25" spans="1:6">
      <c r="A25" s="186"/>
      <c r="B25" s="186"/>
      <c r="C25" s="186"/>
      <c r="D25" s="397"/>
      <c r="E25" s="186"/>
      <c r="F25" s="186"/>
    </row>
    <row r="26" spans="1:6">
      <c r="A26" s="186"/>
      <c r="B26" s="536" t="s">
        <v>237</v>
      </c>
      <c r="C26" s="537"/>
      <c r="D26" s="398" t="str">
        <f>IF(D24&gt;0,(D24*0.001),"")</f>
        <v/>
      </c>
      <c r="E26" s="186"/>
      <c r="F26" s="186"/>
    </row>
    <row r="27" spans="1:6">
      <c r="A27" s="186"/>
      <c r="B27" s="186"/>
      <c r="C27" s="186"/>
      <c r="D27" s="186"/>
      <c r="E27" s="186"/>
      <c r="F27" s="186"/>
    </row>
    <row r="28" spans="1:6">
      <c r="A28" s="186"/>
      <c r="B28" s="186"/>
      <c r="C28" s="186"/>
      <c r="D28" s="186"/>
      <c r="E28" s="186"/>
      <c r="F28" s="186"/>
    </row>
    <row r="29" spans="1:6">
      <c r="A29" s="186"/>
      <c r="B29" s="186"/>
      <c r="C29" s="186"/>
      <c r="D29" s="186"/>
      <c r="E29" s="186"/>
      <c r="F29" s="186"/>
    </row>
    <row r="30" spans="1:6">
      <c r="A30" s="30" t="str">
        <f>CONCATENATE("**This information comes from the ",F1," Budget Summary page.  See instructions tab #11 for completing")</f>
        <v>**This information comes from the 2013 Budget Summary page.  See instructions tab #11 for completing</v>
      </c>
      <c r="B30" s="186"/>
      <c r="C30" s="186"/>
      <c r="D30" s="186"/>
      <c r="E30" s="186"/>
      <c r="F30" s="186"/>
    </row>
    <row r="31" spans="1:6">
      <c r="A31" s="30" t="s">
        <v>511</v>
      </c>
      <c r="B31" s="186"/>
      <c r="C31" s="186"/>
      <c r="D31" s="186"/>
      <c r="E31" s="186"/>
      <c r="F31" s="186"/>
    </row>
    <row r="32" spans="1:6">
      <c r="A32" s="30"/>
      <c r="B32" s="186"/>
      <c r="C32" s="186"/>
      <c r="D32" s="186"/>
      <c r="E32" s="186"/>
      <c r="F32" s="186"/>
    </row>
    <row r="33" spans="1:6">
      <c r="A33" s="30"/>
      <c r="B33" s="186"/>
      <c r="C33" s="186"/>
      <c r="D33" s="186"/>
      <c r="E33" s="186"/>
      <c r="F33" s="186"/>
    </row>
    <row r="34" spans="1:6">
      <c r="A34" s="30"/>
      <c r="B34" s="186"/>
      <c r="C34" s="186"/>
      <c r="D34" s="186"/>
      <c r="E34" s="186"/>
      <c r="F34" s="186"/>
    </row>
    <row r="35" spans="1:6">
      <c r="A35" s="30"/>
      <c r="B35" s="186"/>
      <c r="C35" s="186"/>
      <c r="D35" s="186"/>
      <c r="E35" s="186"/>
      <c r="F35" s="186"/>
    </row>
    <row r="36" spans="1:6">
      <c r="A36" s="30"/>
      <c r="B36" s="186"/>
      <c r="C36" s="186"/>
      <c r="D36" s="186"/>
      <c r="E36" s="186"/>
      <c r="F36" s="186"/>
    </row>
    <row r="37" spans="1:6">
      <c r="A37" s="30"/>
      <c r="B37" s="186"/>
      <c r="C37" s="186"/>
      <c r="D37" s="186"/>
      <c r="E37" s="186"/>
      <c r="F37" s="186"/>
    </row>
    <row r="38" spans="1:6">
      <c r="A38" s="186"/>
      <c r="B38" s="186"/>
      <c r="C38" s="186"/>
      <c r="D38" s="186"/>
      <c r="E38" s="186"/>
      <c r="F38" s="186"/>
    </row>
    <row r="39" spans="1:6">
      <c r="A39" s="186"/>
      <c r="B39" s="158" t="s">
        <v>127</v>
      </c>
      <c r="C39" s="159"/>
      <c r="D39" s="186"/>
      <c r="E39" s="186"/>
      <c r="F39" s="186"/>
    </row>
    <row r="40" spans="1:6">
      <c r="A40" s="199"/>
      <c r="B40" s="67"/>
      <c r="C40" s="67"/>
      <c r="D40" s="399"/>
      <c r="E40" s="199"/>
      <c r="F40" s="199"/>
    </row>
  </sheetData>
  <sheetProtection sheet="1" objects="1" scenarios="1"/>
  <mergeCells count="5">
    <mergeCell ref="B26:C26"/>
    <mergeCell ref="B3:E3"/>
    <mergeCell ref="A20:C20"/>
    <mergeCell ref="B22:C22"/>
    <mergeCell ref="A24:C24"/>
  </mergeCells>
  <phoneticPr fontId="12" type="noConversion"/>
  <pageMargins left="0.75" right="0.75" top="1" bottom="1" header="0.5" footer="0.5"/>
  <pageSetup scale="98" orientation="portrait" blackAndWhite="1" r:id="rId1"/>
  <headerFooter alignWithMargins="0">
    <oddHeader>&amp;RState of Kansas
Township</oddHeader>
    <oddFooter>&amp;Lrevised 12/28/09</oddFooter>
  </headerFooter>
</worksheet>
</file>

<file path=xl/worksheets/sheet24.xml><?xml version="1.0" encoding="utf-8"?>
<worksheet xmlns="http://schemas.openxmlformats.org/spreadsheetml/2006/main" xmlns:r="http://schemas.openxmlformats.org/officeDocument/2006/relationships">
  <sheetPr codeName="Sheet19">
    <pageSetUpPr fitToPage="1"/>
  </sheetPr>
  <dimension ref="A1:I50"/>
  <sheetViews>
    <sheetView workbookViewId="0">
      <selection sqref="A1:G1"/>
    </sheetView>
  </sheetViews>
  <sheetFormatPr defaultRowHeight="15.75"/>
  <sheetData>
    <row r="1" spans="1:9">
      <c r="A1" s="545" t="s">
        <v>625</v>
      </c>
      <c r="B1" s="545"/>
      <c r="C1" s="545"/>
      <c r="D1" s="545"/>
      <c r="E1" s="545"/>
      <c r="F1" s="545"/>
      <c r="G1" s="545"/>
    </row>
    <row r="2" spans="1:9">
      <c r="A2" s="21"/>
    </row>
    <row r="3" spans="1:9">
      <c r="A3" s="546" t="s">
        <v>626</v>
      </c>
      <c r="B3" s="546"/>
      <c r="C3" s="546"/>
      <c r="D3" s="546"/>
      <c r="E3" s="546"/>
      <c r="F3" s="546"/>
      <c r="G3" s="546"/>
    </row>
    <row r="4" spans="1:9">
      <c r="A4" s="22"/>
    </row>
    <row r="5" spans="1:9">
      <c r="A5" s="22"/>
    </row>
    <row r="6" spans="1:9">
      <c r="A6" s="28" t="str">
        <f ca="1">CONCATENATE("A resolution expressing the property taxation policy of the Board of ",(inputPrYr!D3)," ")</f>
        <v xml:space="preserve">A resolution expressing the property taxation policy of the Board of Paradise Township </v>
      </c>
      <c r="I6" t="str">
        <f>CONCATENATE(I7)</f>
        <v/>
      </c>
    </row>
    <row r="7" spans="1:9">
      <c r="A7" s="547" t="str">
        <f ca="1">CONCATENATE("   with respect to financing the ",inputPrYr!D9," annual budget for ",(inputPrYr!D3)," , ",(inputPrYr!D4)," , Kansas.")</f>
        <v xml:space="preserve">   with respect to financing the 2013 annual budget for Paradise Township , Russell County , Kansas.</v>
      </c>
      <c r="B7" s="448"/>
      <c r="C7" s="448"/>
      <c r="D7" s="448"/>
      <c r="E7" s="448"/>
      <c r="F7" s="448"/>
      <c r="G7" s="448"/>
    </row>
    <row r="8" spans="1:9">
      <c r="A8" s="448"/>
      <c r="B8" s="448"/>
      <c r="C8" s="448"/>
      <c r="D8" s="448"/>
      <c r="E8" s="448"/>
      <c r="F8" s="448"/>
      <c r="G8" s="448"/>
    </row>
    <row r="9" spans="1:9">
      <c r="A9" s="21"/>
    </row>
    <row r="10" spans="1:9">
      <c r="A10" s="29" t="s">
        <v>627</v>
      </c>
    </row>
    <row r="11" spans="1:9">
      <c r="A11" s="27" t="str">
        <f ca="1">CONCATENATE("to finance the ",inputPrYr!D9," ",(inputPrYr!D3)," budget exceed the amount levied to finance the ",inputPrYr!D9-1,"")</f>
        <v>to finance the 2013 Paradise Township budget exceed the amount levied to finance the 2012</v>
      </c>
    </row>
    <row r="12" spans="1:9">
      <c r="A12" s="543" t="str">
        <f ca="1">CONCATENATE((inputPrYr!D3)," Township budget, except with regard to revenue produced and attributable to the taxation of 1) new improvements to real property; 2) increased personal property valuation, other than increased")</f>
        <v>Paradise Township Township budget, except with regard to revenue produced and attributable to the taxation of 1) new improvements to real property; 2) increased personal property valuation, other than increased</v>
      </c>
      <c r="B12" s="448"/>
      <c r="C12" s="448"/>
      <c r="D12" s="448"/>
      <c r="E12" s="448"/>
      <c r="F12" s="448"/>
      <c r="G12" s="448"/>
    </row>
    <row r="13" spans="1:9">
      <c r="A13" s="448"/>
      <c r="B13" s="448"/>
      <c r="C13" s="448"/>
      <c r="D13" s="448"/>
      <c r="E13" s="448"/>
      <c r="F13" s="448"/>
      <c r="G13" s="448"/>
    </row>
    <row r="14" spans="1:9">
      <c r="A14" s="543" t="s">
        <v>632</v>
      </c>
      <c r="B14" s="448"/>
      <c r="C14" s="448"/>
      <c r="D14" s="448"/>
      <c r="E14" s="448"/>
      <c r="F14" s="448"/>
      <c r="G14" s="448"/>
    </row>
    <row r="15" spans="1:9">
      <c r="A15" s="448"/>
      <c r="B15" s="448"/>
      <c r="C15" s="448"/>
      <c r="D15" s="448"/>
      <c r="E15" s="448"/>
      <c r="F15" s="448"/>
      <c r="G15" s="448"/>
    </row>
    <row r="16" spans="1:9">
      <c r="A16" s="544"/>
      <c r="B16" s="544"/>
      <c r="C16" s="544"/>
      <c r="D16" s="544"/>
      <c r="E16" s="544"/>
      <c r="F16" s="544"/>
      <c r="G16" s="544"/>
    </row>
    <row r="17" spans="1:7">
      <c r="A17" s="22"/>
    </row>
    <row r="18" spans="1:7">
      <c r="A18" s="542" t="s">
        <v>628</v>
      </c>
      <c r="B18" s="448"/>
      <c r="C18" s="448"/>
      <c r="D18" s="448"/>
      <c r="E18" s="448"/>
      <c r="F18" s="448"/>
      <c r="G18" s="448"/>
    </row>
    <row r="19" spans="1:7">
      <c r="A19" s="448"/>
      <c r="B19" s="448"/>
      <c r="C19" s="448"/>
      <c r="D19" s="448"/>
      <c r="E19" s="448"/>
      <c r="F19" s="448"/>
      <c r="G19" s="448"/>
    </row>
    <row r="20" spans="1:7">
      <c r="A20" s="22"/>
    </row>
    <row r="21" spans="1:7">
      <c r="A21" s="542" t="str">
        <f ca="1">CONCATENATE("Whereas, ",(inputPrYr!D3)," provides essential services to protect the safety and well being of the citizens of the township; and")</f>
        <v>Whereas, Paradise Township provides essential services to protect the safety and well being of the citizens of the township; and</v>
      </c>
      <c r="B21" s="448"/>
      <c r="C21" s="448"/>
      <c r="D21" s="448"/>
      <c r="E21" s="448"/>
      <c r="F21" s="448"/>
      <c r="G21" s="448"/>
    </row>
    <row r="22" spans="1:7">
      <c r="A22" s="448"/>
      <c r="B22" s="448"/>
      <c r="C22" s="448"/>
      <c r="D22" s="448"/>
      <c r="E22" s="448"/>
      <c r="F22" s="448"/>
      <c r="G22" s="448"/>
    </row>
    <row r="23" spans="1:7">
      <c r="A23" s="24"/>
    </row>
    <row r="24" spans="1:7">
      <c r="A24" s="23" t="s">
        <v>629</v>
      </c>
    </row>
    <row r="25" spans="1:7">
      <c r="A25" s="24"/>
    </row>
    <row r="26" spans="1:7">
      <c r="A26" s="542" t="str">
        <f ca="1">CONCATENATE("NOW, THEREFORE, BE IT RESOLVED by the Board of ",(inputPrYr!D3)," of ",(inputPrYr!D4),", Kansas that is our desire to notify the public of increased property taxes to finance the ",inputPrYr!D9," ",(inputPrYr!D3),"  budget as defined above.")</f>
        <v>NOW, THEREFORE, BE IT RESOLVED by the Board of Paradise Township of Russell County, Kansas that is our desire to notify the public of increased property taxes to finance the 2013 Paradise Township  budget as defined above.</v>
      </c>
      <c r="B26" s="448"/>
      <c r="C26" s="448"/>
      <c r="D26" s="448"/>
      <c r="E26" s="448"/>
      <c r="F26" s="448"/>
      <c r="G26" s="448"/>
    </row>
    <row r="27" spans="1:7">
      <c r="A27" s="448"/>
      <c r="B27" s="448"/>
      <c r="C27" s="448"/>
      <c r="D27" s="448"/>
      <c r="E27" s="448"/>
      <c r="F27" s="448"/>
      <c r="G27" s="448"/>
    </row>
    <row r="28" spans="1:7">
      <c r="A28" s="448"/>
      <c r="B28" s="448"/>
      <c r="C28" s="448"/>
      <c r="D28" s="448"/>
      <c r="E28" s="448"/>
      <c r="F28" s="448"/>
      <c r="G28" s="448"/>
    </row>
    <row r="29" spans="1:7">
      <c r="A29" s="24"/>
    </row>
    <row r="30" spans="1:7">
      <c r="A30" s="540" t="str">
        <f ca="1">CONCATENATE("Adopted this _________ day of ___________, ",inputPrYr!D9-1," by the ",(inputPrYr!D3)," Board, ",(inputPrYr!D4),", Kansas.")</f>
        <v>Adopted this _________ day of ___________, 2012 by the Paradise Township Board, Russell County, Kansas.</v>
      </c>
      <c r="B30" s="448"/>
      <c r="C30" s="448"/>
      <c r="D30" s="448"/>
      <c r="E30" s="448"/>
      <c r="F30" s="448"/>
      <c r="G30" s="448"/>
    </row>
    <row r="31" spans="1:7">
      <c r="A31" s="448"/>
      <c r="B31" s="448"/>
      <c r="C31" s="448"/>
      <c r="D31" s="448"/>
      <c r="E31" s="448"/>
      <c r="F31" s="448"/>
      <c r="G31" s="448"/>
    </row>
    <row r="32" spans="1:7">
      <c r="A32" s="24"/>
    </row>
    <row r="33" spans="1:7">
      <c r="D33" s="541" t="str">
        <f ca="1">CONCATENATE((inputPrYr!D3)," Board")</f>
        <v>Paradise Township Board</v>
      </c>
      <c r="E33" s="541"/>
      <c r="F33" s="541"/>
      <c r="G33" s="541"/>
    </row>
    <row r="35" spans="1:7">
      <c r="D35" s="539" t="s">
        <v>630</v>
      </c>
      <c r="E35" s="539"/>
      <c r="F35" s="539"/>
      <c r="G35" s="539"/>
    </row>
    <row r="36" spans="1:7">
      <c r="A36" s="25"/>
      <c r="D36" s="539" t="s">
        <v>634</v>
      </c>
      <c r="E36" s="539"/>
      <c r="F36" s="539"/>
      <c r="G36" s="539"/>
    </row>
    <row r="37" spans="1:7">
      <c r="D37" s="539"/>
      <c r="E37" s="539"/>
      <c r="F37" s="539"/>
      <c r="G37" s="539"/>
    </row>
    <row r="38" spans="1:7">
      <c r="D38" s="539" t="s">
        <v>630</v>
      </c>
      <c r="E38" s="539"/>
      <c r="F38" s="539"/>
      <c r="G38" s="539"/>
    </row>
    <row r="39" spans="1:7">
      <c r="A39" s="24"/>
      <c r="D39" s="539" t="s">
        <v>635</v>
      </c>
      <c r="E39" s="539"/>
      <c r="F39" s="539"/>
      <c r="G39" s="539"/>
    </row>
    <row r="40" spans="1:7">
      <c r="D40" s="539"/>
      <c r="E40" s="539"/>
      <c r="F40" s="539"/>
      <c r="G40" s="539"/>
    </row>
    <row r="41" spans="1:7">
      <c r="D41" s="539" t="s">
        <v>633</v>
      </c>
      <c r="E41" s="539"/>
      <c r="F41" s="539"/>
      <c r="G41" s="539"/>
    </row>
    <row r="42" spans="1:7">
      <c r="A42" s="24"/>
      <c r="D42" s="539" t="s">
        <v>636</v>
      </c>
      <c r="E42" s="539"/>
      <c r="F42" s="539"/>
      <c r="G42" s="539"/>
    </row>
    <row r="43" spans="1:7">
      <c r="A43" s="26"/>
    </row>
    <row r="44" spans="1:7">
      <c r="A44" s="26"/>
    </row>
    <row r="45" spans="1:7">
      <c r="A45" s="26" t="s">
        <v>631</v>
      </c>
    </row>
    <row r="50" spans="3:4">
      <c r="C50" s="32" t="s">
        <v>127</v>
      </c>
      <c r="D50" s="65"/>
    </row>
  </sheetData>
  <sheetProtection sheet="1" objects="1" scenarios="1"/>
  <mergeCells count="18">
    <mergeCell ref="A26:G28"/>
    <mergeCell ref="A12:G13"/>
    <mergeCell ref="A14:G16"/>
    <mergeCell ref="A21:G22"/>
    <mergeCell ref="A1:G1"/>
    <mergeCell ref="A3:G3"/>
    <mergeCell ref="A7:G8"/>
    <mergeCell ref="A18:G19"/>
    <mergeCell ref="D39:G39"/>
    <mergeCell ref="A30:G31"/>
    <mergeCell ref="D42:G42"/>
    <mergeCell ref="D37:G37"/>
    <mergeCell ref="D38:G38"/>
    <mergeCell ref="D40:G40"/>
    <mergeCell ref="D41:G41"/>
    <mergeCell ref="D35:G35"/>
    <mergeCell ref="D36:G36"/>
    <mergeCell ref="D33:G33"/>
  </mergeCells>
  <phoneticPr fontId="12" type="noConversion"/>
  <pageMargins left="0.75" right="0.75" top="1" bottom="1" header="0.5" footer="0.5"/>
  <pageSetup scale="88" orientation="portrait" blackAndWhite="1" r:id="rId1"/>
  <headerFooter alignWithMargins="0">
    <oddFooter>&amp;Lrevised 8/06/07</oddFooter>
  </headerFooter>
</worksheet>
</file>

<file path=xl/worksheets/sheet25.xml><?xml version="1.0" encoding="utf-8"?>
<worksheet xmlns="http://schemas.openxmlformats.org/spreadsheetml/2006/main" xmlns:r="http://schemas.openxmlformats.org/officeDocument/2006/relationships">
  <sheetPr>
    <tabColor rgb="FFFF0000"/>
  </sheetPr>
  <dimension ref="A3:L85"/>
  <sheetViews>
    <sheetView workbookViewId="0">
      <selection activeCell="A78" sqref="A78"/>
    </sheetView>
  </sheetViews>
  <sheetFormatPr defaultRowHeight="15.75"/>
  <cols>
    <col min="1" max="1" width="64.19921875" customWidth="1"/>
  </cols>
  <sheetData>
    <row r="3" spans="1:12">
      <c r="A3" s="423" t="s">
        <v>297</v>
      </c>
      <c r="B3" s="423"/>
      <c r="C3" s="423"/>
      <c r="D3" s="423"/>
      <c r="E3" s="423"/>
      <c r="F3" s="423"/>
      <c r="G3" s="423"/>
      <c r="H3" s="423"/>
      <c r="I3" s="423"/>
      <c r="J3" s="423"/>
      <c r="K3" s="423"/>
      <c r="L3" s="423"/>
    </row>
    <row r="5" spans="1:12">
      <c r="A5" s="424" t="s">
        <v>298</v>
      </c>
    </row>
    <row r="6" spans="1:12">
      <c r="A6" s="424" t="str">
        <f ca="1">CONCATENATE(inputPrYr!D9-2," 'total expenditures' exceed your ",inputPrYr!D9-2," 'budget authority.'")</f>
        <v>2011 'total expenditures' exceed your 2011 'budget authority.'</v>
      </c>
    </row>
    <row r="7" spans="1:12">
      <c r="A7" s="424"/>
    </row>
    <row r="8" spans="1:12">
      <c r="A8" s="424" t="s">
        <v>299</v>
      </c>
    </row>
    <row r="9" spans="1:12">
      <c r="A9" s="424" t="s">
        <v>300</v>
      </c>
    </row>
    <row r="10" spans="1:12">
      <c r="A10" s="424" t="s">
        <v>301</v>
      </c>
    </row>
    <row r="11" spans="1:12">
      <c r="A11" s="424"/>
    </row>
    <row r="12" spans="1:12">
      <c r="A12" s="424"/>
    </row>
    <row r="13" spans="1:12">
      <c r="A13" s="425" t="s">
        <v>302</v>
      </c>
    </row>
    <row r="15" spans="1:12">
      <c r="A15" s="424" t="s">
        <v>303</v>
      </c>
    </row>
    <row r="16" spans="1:12">
      <c r="A16" s="424" t="str">
        <f ca="1">CONCATENATE("(i.e. an audit has not been completed, or the ",inputPrYr!D9," adopted")</f>
        <v>(i.e. an audit has not been completed, or the 2013 adopted</v>
      </c>
    </row>
    <row r="17" spans="1:1">
      <c r="A17" s="424" t="s">
        <v>304</v>
      </c>
    </row>
    <row r="18" spans="1:1">
      <c r="A18" s="424" t="s">
        <v>305</v>
      </c>
    </row>
    <row r="19" spans="1:1">
      <c r="A19" s="424" t="s">
        <v>306</v>
      </c>
    </row>
    <row r="21" spans="1:1">
      <c r="A21" s="425" t="s">
        <v>307</v>
      </c>
    </row>
    <row r="22" spans="1:1">
      <c r="A22" s="425"/>
    </row>
    <row r="23" spans="1:1">
      <c r="A23" s="424" t="s">
        <v>308</v>
      </c>
    </row>
    <row r="24" spans="1:1">
      <c r="A24" s="424" t="s">
        <v>309</v>
      </c>
    </row>
    <row r="25" spans="1:1">
      <c r="A25" s="424" t="str">
        <f ca="1">CONCATENATE("particular fund.  If your ",inputPrYr!D9-2," budget was amended, did you")</f>
        <v>particular fund.  If your 2011 budget was amended, did you</v>
      </c>
    </row>
    <row r="26" spans="1:1">
      <c r="A26" s="424" t="s">
        <v>310</v>
      </c>
    </row>
    <row r="27" spans="1:1">
      <c r="A27" s="424"/>
    </row>
    <row r="28" spans="1:1">
      <c r="A28" s="424" t="str">
        <f ca="1">CONCATENATE("Next, look to see if any of your ",inputPrYr!D9-2," expenditures can be")</f>
        <v>Next, look to see if any of your 2011 expenditures can be</v>
      </c>
    </row>
    <row r="29" spans="1:1">
      <c r="A29" s="424" t="s">
        <v>311</v>
      </c>
    </row>
    <row r="30" spans="1:1">
      <c r="A30" s="424" t="s">
        <v>312</v>
      </c>
    </row>
    <row r="31" spans="1:1">
      <c r="A31" s="424" t="s">
        <v>313</v>
      </c>
    </row>
    <row r="32" spans="1:1">
      <c r="A32" s="424"/>
    </row>
    <row r="33" spans="1:1">
      <c r="A33" s="424" t="str">
        <f ca="1">CONCATENATE("Additionally, do your ",inputPrYr!D9-2," receipts contain a reimbursement")</f>
        <v>Additionally, do your 2011 receipts contain a reimbursement</v>
      </c>
    </row>
    <row r="34" spans="1:1">
      <c r="A34" s="424" t="s">
        <v>314</v>
      </c>
    </row>
    <row r="35" spans="1:1">
      <c r="A35" s="424" t="s">
        <v>315</v>
      </c>
    </row>
    <row r="36" spans="1:1">
      <c r="A36" s="424"/>
    </row>
    <row r="37" spans="1:1">
      <c r="A37" s="424" t="s">
        <v>316</v>
      </c>
    </row>
    <row r="38" spans="1:1">
      <c r="A38" s="424" t="s">
        <v>317</v>
      </c>
    </row>
    <row r="39" spans="1:1">
      <c r="A39" s="424" t="s">
        <v>318</v>
      </c>
    </row>
    <row r="40" spans="1:1">
      <c r="A40" s="424" t="s">
        <v>319</v>
      </c>
    </row>
    <row r="41" spans="1:1">
      <c r="A41" s="424" t="s">
        <v>320</v>
      </c>
    </row>
    <row r="42" spans="1:1">
      <c r="A42" s="424" t="s">
        <v>321</v>
      </c>
    </row>
    <row r="43" spans="1:1">
      <c r="A43" s="424" t="s">
        <v>322</v>
      </c>
    </row>
    <row r="44" spans="1:1">
      <c r="A44" s="424" t="s">
        <v>323</v>
      </c>
    </row>
    <row r="45" spans="1:1">
      <c r="A45" s="424"/>
    </row>
    <row r="46" spans="1:1">
      <c r="A46" s="424" t="s">
        <v>324</v>
      </c>
    </row>
    <row r="47" spans="1:1">
      <c r="A47" s="424" t="s">
        <v>325</v>
      </c>
    </row>
    <row r="48" spans="1:1">
      <c r="A48" s="424" t="s">
        <v>326</v>
      </c>
    </row>
    <row r="49" spans="1:1">
      <c r="A49" s="424"/>
    </row>
    <row r="50" spans="1:1">
      <c r="A50" s="424" t="s">
        <v>327</v>
      </c>
    </row>
    <row r="51" spans="1:1">
      <c r="A51" s="424" t="s">
        <v>328</v>
      </c>
    </row>
    <row r="52" spans="1:1">
      <c r="A52" s="424" t="s">
        <v>329</v>
      </c>
    </row>
    <row r="53" spans="1:1">
      <c r="A53" s="424"/>
    </row>
    <row r="54" spans="1:1">
      <c r="A54" s="425" t="s">
        <v>330</v>
      </c>
    </row>
    <row r="55" spans="1:1">
      <c r="A55" s="424"/>
    </row>
    <row r="56" spans="1:1">
      <c r="A56" s="424" t="s">
        <v>331</v>
      </c>
    </row>
    <row r="57" spans="1:1">
      <c r="A57" s="424" t="s">
        <v>332</v>
      </c>
    </row>
    <row r="58" spans="1:1">
      <c r="A58" s="424" t="s">
        <v>333</v>
      </c>
    </row>
    <row r="59" spans="1:1">
      <c r="A59" s="424" t="s">
        <v>334</v>
      </c>
    </row>
    <row r="60" spans="1:1">
      <c r="A60" s="424" t="s">
        <v>335</v>
      </c>
    </row>
    <row r="61" spans="1:1">
      <c r="A61" s="424" t="s">
        <v>336</v>
      </c>
    </row>
    <row r="62" spans="1:1">
      <c r="A62" s="424" t="s">
        <v>337</v>
      </c>
    </row>
    <row r="63" spans="1:1">
      <c r="A63" s="424" t="s">
        <v>338</v>
      </c>
    </row>
    <row r="64" spans="1:1">
      <c r="A64" s="424" t="s">
        <v>339</v>
      </c>
    </row>
    <row r="65" spans="1:1">
      <c r="A65" s="424" t="s">
        <v>340</v>
      </c>
    </row>
    <row r="66" spans="1:1">
      <c r="A66" s="424" t="s">
        <v>341</v>
      </c>
    </row>
    <row r="67" spans="1:1">
      <c r="A67" s="424" t="s">
        <v>342</v>
      </c>
    </row>
    <row r="68" spans="1:1">
      <c r="A68" s="424" t="s">
        <v>343</v>
      </c>
    </row>
    <row r="69" spans="1:1">
      <c r="A69" s="424"/>
    </row>
    <row r="70" spans="1:1">
      <c r="A70" s="424" t="s">
        <v>344</v>
      </c>
    </row>
    <row r="71" spans="1:1">
      <c r="A71" s="424" t="s">
        <v>345</v>
      </c>
    </row>
    <row r="72" spans="1:1">
      <c r="A72" s="424" t="s">
        <v>346</v>
      </c>
    </row>
    <row r="73" spans="1:1">
      <c r="A73" s="424"/>
    </row>
    <row r="74" spans="1:1">
      <c r="A74" s="425" t="str">
        <f ca="1">CONCATENATE("What if the ",inputPrYr!D9-2," financial records have been closed?")</f>
        <v>What if the 2011 financial records have been closed?</v>
      </c>
    </row>
    <row r="76" spans="1:1">
      <c r="A76" s="424" t="s">
        <v>347</v>
      </c>
    </row>
    <row r="77" spans="1:1">
      <c r="A77" s="424" t="str">
        <f ca="1">CONCATENATE("(i.e. an audit for ",inputPrYr!D9-2," has been completed, or the ",inputPrYr!D9)</f>
        <v>(i.e. an audit for 2011 has been completed, or the 2013</v>
      </c>
    </row>
    <row r="78" spans="1:1">
      <c r="A78" s="424" t="s">
        <v>348</v>
      </c>
    </row>
    <row r="79" spans="1:1">
      <c r="A79" s="424" t="s">
        <v>349</v>
      </c>
    </row>
    <row r="80" spans="1:1">
      <c r="A80" s="424"/>
    </row>
    <row r="81" spans="1:1">
      <c r="A81" s="424" t="s">
        <v>350</v>
      </c>
    </row>
    <row r="82" spans="1:1">
      <c r="A82" s="424" t="s">
        <v>351</v>
      </c>
    </row>
    <row r="83" spans="1:1">
      <c r="A83" s="424" t="s">
        <v>352</v>
      </c>
    </row>
    <row r="84" spans="1:1">
      <c r="A84" s="424"/>
    </row>
    <row r="85" spans="1:1">
      <c r="A85" s="424" t="s">
        <v>353</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423" t="s">
        <v>354</v>
      </c>
      <c r="B3" s="423"/>
      <c r="C3" s="423"/>
      <c r="D3" s="423"/>
      <c r="E3" s="423"/>
      <c r="F3" s="423"/>
      <c r="G3" s="423"/>
      <c r="H3" s="426"/>
      <c r="I3" s="426"/>
      <c r="J3" s="426"/>
    </row>
    <row r="5" spans="1:10">
      <c r="A5" s="424" t="s">
        <v>355</v>
      </c>
    </row>
    <row r="6" spans="1:10">
      <c r="A6" t="str">
        <f ca="1">CONCATENATE(inputPrYr!D9-2," expenditures show that you finished the year with a ")</f>
        <v xml:space="preserve">2011 expenditures show that you finished the year with a </v>
      </c>
    </row>
    <row r="7" spans="1:10">
      <c r="A7" t="s">
        <v>356</v>
      </c>
    </row>
    <row r="9" spans="1:10">
      <c r="A9" t="s">
        <v>357</v>
      </c>
    </row>
    <row r="10" spans="1:10">
      <c r="A10" t="s">
        <v>358</v>
      </c>
    </row>
    <row r="11" spans="1:10">
      <c r="A11" t="s">
        <v>359</v>
      </c>
    </row>
    <row r="13" spans="1:10">
      <c r="A13" s="425" t="s">
        <v>360</v>
      </c>
    </row>
    <row r="14" spans="1:10">
      <c r="A14" s="425"/>
    </row>
    <row r="15" spans="1:10">
      <c r="A15" s="424" t="s">
        <v>361</v>
      </c>
    </row>
    <row r="16" spans="1:10">
      <c r="A16" s="424" t="s">
        <v>362</v>
      </c>
    </row>
    <row r="17" spans="1:1">
      <c r="A17" s="424" t="s">
        <v>363</v>
      </c>
    </row>
    <row r="18" spans="1:1">
      <c r="A18" s="424"/>
    </row>
    <row r="19" spans="1:1">
      <c r="A19" s="425" t="s">
        <v>364</v>
      </c>
    </row>
    <row r="20" spans="1:1">
      <c r="A20" s="425"/>
    </row>
    <row r="21" spans="1:1">
      <c r="A21" s="424" t="s">
        <v>365</v>
      </c>
    </row>
    <row r="22" spans="1:1">
      <c r="A22" s="424" t="s">
        <v>366</v>
      </c>
    </row>
    <row r="23" spans="1:1">
      <c r="A23" s="424" t="s">
        <v>367</v>
      </c>
    </row>
    <row r="24" spans="1:1">
      <c r="A24" s="424"/>
    </row>
    <row r="25" spans="1:1">
      <c r="A25" s="425" t="s">
        <v>368</v>
      </c>
    </row>
    <row r="26" spans="1:1">
      <c r="A26" s="425"/>
    </row>
    <row r="27" spans="1:1">
      <c r="A27" s="424" t="s">
        <v>369</v>
      </c>
    </row>
    <row r="28" spans="1:1">
      <c r="A28" s="424" t="s">
        <v>370</v>
      </c>
    </row>
    <row r="29" spans="1:1">
      <c r="A29" s="424" t="s">
        <v>371</v>
      </c>
    </row>
    <row r="30" spans="1:1">
      <c r="A30" s="424"/>
    </row>
    <row r="31" spans="1:1">
      <c r="A31" s="425" t="s">
        <v>372</v>
      </c>
    </row>
    <row r="32" spans="1:1">
      <c r="A32" s="425"/>
    </row>
    <row r="33" spans="1:8">
      <c r="A33" s="424" t="str">
        <f ca="1">CONCATENATE("If your financial records for ",inputPrYr!D9-2," are not closed")</f>
        <v>If your financial records for 2011 are not closed</v>
      </c>
      <c r="B33" s="424"/>
      <c r="C33" s="424"/>
      <c r="D33" s="424"/>
      <c r="E33" s="424"/>
      <c r="F33" s="424"/>
      <c r="G33" s="424"/>
      <c r="H33" s="424"/>
    </row>
    <row r="34" spans="1:8">
      <c r="A34" s="424" t="str">
        <f ca="1">CONCATENATE("(i.e. an audit has not been completed, or the ",inputPrYr!D9," adopted ")</f>
        <v xml:space="preserve">(i.e. an audit has not been completed, or the 2013 adopted </v>
      </c>
      <c r="B34" s="424"/>
      <c r="C34" s="424"/>
      <c r="D34" s="424"/>
      <c r="E34" s="424"/>
      <c r="F34" s="424"/>
      <c r="G34" s="424"/>
      <c r="H34" s="424"/>
    </row>
    <row r="35" spans="1:8">
      <c r="A35" s="424" t="s">
        <v>373</v>
      </c>
      <c r="B35" s="424"/>
      <c r="C35" s="424"/>
      <c r="D35" s="424"/>
      <c r="E35" s="424"/>
      <c r="F35" s="424"/>
      <c r="G35" s="424"/>
      <c r="H35" s="424"/>
    </row>
    <row r="36" spans="1:8">
      <c r="A36" s="424" t="s">
        <v>374</v>
      </c>
      <c r="B36" s="424"/>
      <c r="C36" s="424"/>
      <c r="D36" s="424"/>
      <c r="E36" s="424"/>
      <c r="F36" s="424"/>
      <c r="G36" s="424"/>
      <c r="H36" s="424"/>
    </row>
    <row r="37" spans="1:8">
      <c r="A37" s="424" t="s">
        <v>375</v>
      </c>
      <c r="B37" s="424"/>
      <c r="C37" s="424"/>
      <c r="D37" s="424"/>
      <c r="E37" s="424"/>
      <c r="F37" s="424"/>
      <c r="G37" s="424"/>
      <c r="H37" s="424"/>
    </row>
    <row r="38" spans="1:8">
      <c r="A38" s="424" t="s">
        <v>376</v>
      </c>
      <c r="B38" s="424"/>
      <c r="C38" s="424"/>
      <c r="D38" s="424"/>
      <c r="E38" s="424"/>
      <c r="F38" s="424"/>
      <c r="G38" s="424"/>
      <c r="H38" s="424"/>
    </row>
    <row r="39" spans="1:8">
      <c r="A39" s="424" t="s">
        <v>377</v>
      </c>
      <c r="B39" s="424"/>
      <c r="C39" s="424"/>
      <c r="D39" s="424"/>
      <c r="E39" s="424"/>
      <c r="F39" s="424"/>
      <c r="G39" s="424"/>
      <c r="H39" s="424"/>
    </row>
    <row r="40" spans="1:8">
      <c r="A40" s="424"/>
      <c r="B40" s="424"/>
      <c r="C40" s="424"/>
      <c r="D40" s="424"/>
      <c r="E40" s="424"/>
      <c r="F40" s="424"/>
      <c r="G40" s="424"/>
      <c r="H40" s="424"/>
    </row>
    <row r="41" spans="1:8">
      <c r="A41" s="424" t="s">
        <v>378</v>
      </c>
      <c r="B41" s="424"/>
      <c r="C41" s="424"/>
      <c r="D41" s="424"/>
      <c r="E41" s="424"/>
      <c r="F41" s="424"/>
      <c r="G41" s="424"/>
      <c r="H41" s="424"/>
    </row>
    <row r="42" spans="1:8">
      <c r="A42" s="424" t="s">
        <v>379</v>
      </c>
      <c r="B42" s="424"/>
      <c r="C42" s="424"/>
      <c r="D42" s="424"/>
      <c r="E42" s="424"/>
      <c r="F42" s="424"/>
      <c r="G42" s="424"/>
      <c r="H42" s="424"/>
    </row>
    <row r="43" spans="1:8">
      <c r="A43" s="424" t="s">
        <v>380</v>
      </c>
      <c r="B43" s="424"/>
      <c r="C43" s="424"/>
      <c r="D43" s="424"/>
      <c r="E43" s="424"/>
      <c r="F43" s="424"/>
      <c r="G43" s="424"/>
      <c r="H43" s="424"/>
    </row>
    <row r="44" spans="1:8">
      <c r="A44" s="424" t="s">
        <v>381</v>
      </c>
      <c r="B44" s="424"/>
      <c r="C44" s="424"/>
      <c r="D44" s="424"/>
      <c r="E44" s="424"/>
      <c r="F44" s="424"/>
      <c r="G44" s="424"/>
      <c r="H44" s="424"/>
    </row>
    <row r="45" spans="1:8">
      <c r="A45" s="424"/>
      <c r="B45" s="424"/>
      <c r="C45" s="424"/>
      <c r="D45" s="424"/>
      <c r="E45" s="424"/>
      <c r="F45" s="424"/>
      <c r="G45" s="424"/>
      <c r="H45" s="424"/>
    </row>
    <row r="46" spans="1:8">
      <c r="A46" s="424" t="s">
        <v>382</v>
      </c>
      <c r="B46" s="424"/>
      <c r="C46" s="424"/>
      <c r="D46" s="424"/>
      <c r="E46" s="424"/>
      <c r="F46" s="424"/>
      <c r="G46" s="424"/>
      <c r="H46" s="424"/>
    </row>
    <row r="47" spans="1:8">
      <c r="A47" s="424" t="s">
        <v>383</v>
      </c>
      <c r="B47" s="424"/>
      <c r="C47" s="424"/>
      <c r="D47" s="424"/>
      <c r="E47" s="424"/>
      <c r="F47" s="424"/>
      <c r="G47" s="424"/>
      <c r="H47" s="424"/>
    </row>
    <row r="48" spans="1:8">
      <c r="A48" s="424" t="s">
        <v>384</v>
      </c>
      <c r="B48" s="424"/>
      <c r="C48" s="424"/>
      <c r="D48" s="424"/>
      <c r="E48" s="424"/>
      <c r="F48" s="424"/>
      <c r="G48" s="424"/>
      <c r="H48" s="424"/>
    </row>
    <row r="49" spans="1:8">
      <c r="A49" s="424" t="s">
        <v>385</v>
      </c>
      <c r="B49" s="424"/>
      <c r="C49" s="424"/>
      <c r="D49" s="424"/>
      <c r="E49" s="424"/>
      <c r="F49" s="424"/>
      <c r="G49" s="424"/>
      <c r="H49" s="424"/>
    </row>
    <row r="50" spans="1:8">
      <c r="A50" s="424" t="s">
        <v>386</v>
      </c>
      <c r="B50" s="424"/>
      <c r="C50" s="424"/>
      <c r="D50" s="424"/>
      <c r="E50" s="424"/>
      <c r="F50" s="424"/>
      <c r="G50" s="424"/>
      <c r="H50" s="424"/>
    </row>
    <row r="51" spans="1:8">
      <c r="A51" s="424"/>
      <c r="B51" s="424"/>
      <c r="C51" s="424"/>
      <c r="D51" s="424"/>
      <c r="E51" s="424"/>
      <c r="F51" s="424"/>
      <c r="G51" s="424"/>
      <c r="H51" s="424"/>
    </row>
    <row r="52" spans="1:8">
      <c r="A52" s="425" t="s">
        <v>387</v>
      </c>
      <c r="B52" s="425"/>
      <c r="C52" s="425"/>
      <c r="D52" s="425"/>
      <c r="E52" s="425"/>
      <c r="F52" s="425"/>
      <c r="G52" s="425"/>
      <c r="H52" s="424"/>
    </row>
    <row r="53" spans="1:8">
      <c r="A53" s="425" t="s">
        <v>388</v>
      </c>
      <c r="B53" s="425"/>
      <c r="C53" s="425"/>
      <c r="D53" s="425"/>
      <c r="E53" s="425"/>
      <c r="F53" s="425"/>
      <c r="G53" s="425"/>
      <c r="H53" s="424"/>
    </row>
    <row r="54" spans="1:8">
      <c r="A54" s="424"/>
      <c r="B54" s="424"/>
      <c r="C54" s="424"/>
      <c r="D54" s="424"/>
      <c r="E54" s="424"/>
      <c r="F54" s="424"/>
      <c r="G54" s="424"/>
      <c r="H54" s="424"/>
    </row>
    <row r="55" spans="1:8">
      <c r="A55" s="424" t="s">
        <v>389</v>
      </c>
      <c r="B55" s="424"/>
      <c r="C55" s="424"/>
      <c r="D55" s="424"/>
      <c r="E55" s="424"/>
      <c r="F55" s="424"/>
      <c r="G55" s="424"/>
      <c r="H55" s="424"/>
    </row>
    <row r="56" spans="1:8">
      <c r="A56" s="424" t="s">
        <v>390</v>
      </c>
      <c r="B56" s="424"/>
      <c r="C56" s="424"/>
      <c r="D56" s="424"/>
      <c r="E56" s="424"/>
      <c r="F56" s="424"/>
      <c r="G56" s="424"/>
      <c r="H56" s="424"/>
    </row>
    <row r="57" spans="1:8">
      <c r="A57" s="424" t="s">
        <v>391</v>
      </c>
      <c r="B57" s="424"/>
      <c r="C57" s="424"/>
      <c r="D57" s="424"/>
      <c r="E57" s="424"/>
      <c r="F57" s="424"/>
      <c r="G57" s="424"/>
      <c r="H57" s="424"/>
    </row>
    <row r="58" spans="1:8">
      <c r="A58" s="424" t="s">
        <v>392</v>
      </c>
      <c r="B58" s="424"/>
      <c r="C58" s="424"/>
      <c r="D58" s="424"/>
      <c r="E58" s="424"/>
      <c r="F58" s="424"/>
      <c r="G58" s="424"/>
      <c r="H58" s="424"/>
    </row>
    <row r="59" spans="1:8">
      <c r="A59" s="424"/>
      <c r="B59" s="424"/>
      <c r="C59" s="424"/>
      <c r="D59" s="424"/>
      <c r="E59" s="424"/>
      <c r="F59" s="424"/>
      <c r="G59" s="424"/>
      <c r="H59" s="424"/>
    </row>
    <row r="60" spans="1:8">
      <c r="A60" s="424" t="s">
        <v>393</v>
      </c>
      <c r="B60" s="424"/>
      <c r="C60" s="424"/>
      <c r="D60" s="424"/>
      <c r="E60" s="424"/>
      <c r="F60" s="424"/>
      <c r="G60" s="424"/>
      <c r="H60" s="424"/>
    </row>
    <row r="61" spans="1:8">
      <c r="A61" s="424" t="s">
        <v>394</v>
      </c>
      <c r="B61" s="424"/>
      <c r="C61" s="424"/>
      <c r="D61" s="424"/>
      <c r="E61" s="424"/>
      <c r="F61" s="424"/>
      <c r="G61" s="424"/>
      <c r="H61" s="424"/>
    </row>
    <row r="62" spans="1:8">
      <c r="A62" s="424" t="s">
        <v>395</v>
      </c>
      <c r="B62" s="424"/>
      <c r="C62" s="424"/>
      <c r="D62" s="424"/>
      <c r="E62" s="424"/>
      <c r="F62" s="424"/>
      <c r="G62" s="424"/>
      <c r="H62" s="424"/>
    </row>
    <row r="63" spans="1:8">
      <c r="A63" s="424" t="s">
        <v>396</v>
      </c>
      <c r="B63" s="424"/>
      <c r="C63" s="424"/>
      <c r="D63" s="424"/>
      <c r="E63" s="424"/>
      <c r="F63" s="424"/>
      <c r="G63" s="424"/>
      <c r="H63" s="424"/>
    </row>
    <row r="64" spans="1:8">
      <c r="A64" s="424" t="s">
        <v>397</v>
      </c>
      <c r="B64" s="424"/>
      <c r="C64" s="424"/>
      <c r="D64" s="424"/>
      <c r="E64" s="424"/>
      <c r="F64" s="424"/>
      <c r="G64" s="424"/>
      <c r="H64" s="424"/>
    </row>
    <row r="65" spans="1:8">
      <c r="A65" s="424" t="s">
        <v>398</v>
      </c>
      <c r="B65" s="424"/>
      <c r="C65" s="424"/>
      <c r="D65" s="424"/>
      <c r="E65" s="424"/>
      <c r="F65" s="424"/>
      <c r="G65" s="424"/>
      <c r="H65" s="424"/>
    </row>
    <row r="66" spans="1:8">
      <c r="A66" s="424"/>
      <c r="B66" s="424"/>
      <c r="C66" s="424"/>
      <c r="D66" s="424"/>
      <c r="E66" s="424"/>
      <c r="F66" s="424"/>
      <c r="G66" s="424"/>
      <c r="H66" s="424"/>
    </row>
    <row r="67" spans="1:8">
      <c r="A67" s="424" t="s">
        <v>399</v>
      </c>
      <c r="B67" s="424"/>
      <c r="C67" s="424"/>
      <c r="D67" s="424"/>
      <c r="E67" s="424"/>
      <c r="F67" s="424"/>
      <c r="G67" s="424"/>
      <c r="H67" s="424"/>
    </row>
    <row r="68" spans="1:8">
      <c r="A68" s="424" t="s">
        <v>400</v>
      </c>
      <c r="B68" s="424"/>
      <c r="C68" s="424"/>
      <c r="D68" s="424"/>
      <c r="E68" s="424"/>
      <c r="F68" s="424"/>
      <c r="G68" s="424"/>
      <c r="H68" s="424"/>
    </row>
    <row r="69" spans="1:8">
      <c r="A69" s="424" t="s">
        <v>401</v>
      </c>
      <c r="B69" s="424"/>
      <c r="C69" s="424"/>
      <c r="D69" s="424"/>
      <c r="E69" s="424"/>
      <c r="F69" s="424"/>
      <c r="G69" s="424"/>
      <c r="H69" s="424"/>
    </row>
    <row r="70" spans="1:8">
      <c r="A70" s="424" t="s">
        <v>402</v>
      </c>
      <c r="B70" s="424"/>
      <c r="C70" s="424"/>
      <c r="D70" s="424"/>
      <c r="E70" s="424"/>
      <c r="F70" s="424"/>
      <c r="G70" s="424"/>
      <c r="H70" s="424"/>
    </row>
    <row r="71" spans="1:8">
      <c r="A71" s="424" t="s">
        <v>403</v>
      </c>
      <c r="B71" s="424"/>
      <c r="C71" s="424"/>
      <c r="D71" s="424"/>
      <c r="E71" s="424"/>
      <c r="F71" s="424"/>
      <c r="G71" s="424"/>
      <c r="H71" s="424"/>
    </row>
    <row r="72" spans="1:8">
      <c r="A72" s="424" t="s">
        <v>404</v>
      </c>
      <c r="B72" s="424"/>
      <c r="C72" s="424"/>
      <c r="D72" s="424"/>
      <c r="E72" s="424"/>
      <c r="F72" s="424"/>
      <c r="G72" s="424"/>
      <c r="H72" s="424"/>
    </row>
    <row r="73" spans="1:8">
      <c r="A73" s="424" t="s">
        <v>405</v>
      </c>
      <c r="B73" s="424"/>
      <c r="C73" s="424"/>
      <c r="D73" s="424"/>
      <c r="E73" s="424"/>
      <c r="F73" s="424"/>
      <c r="G73" s="424"/>
      <c r="H73" s="424"/>
    </row>
    <row r="74" spans="1:8">
      <c r="A74" s="424"/>
      <c r="B74" s="424"/>
      <c r="C74" s="424"/>
      <c r="D74" s="424"/>
      <c r="E74" s="424"/>
      <c r="F74" s="424"/>
      <c r="G74" s="424"/>
      <c r="H74" s="424"/>
    </row>
    <row r="75" spans="1:8">
      <c r="A75" s="424" t="s">
        <v>406</v>
      </c>
      <c r="B75" s="424"/>
      <c r="C75" s="424"/>
      <c r="D75" s="424"/>
      <c r="E75" s="424"/>
      <c r="F75" s="424"/>
      <c r="G75" s="424"/>
      <c r="H75" s="424"/>
    </row>
    <row r="76" spans="1:8">
      <c r="A76" s="424" t="s">
        <v>407</v>
      </c>
      <c r="B76" s="424"/>
      <c r="C76" s="424"/>
      <c r="D76" s="424"/>
      <c r="E76" s="424"/>
      <c r="F76" s="424"/>
      <c r="G76" s="424"/>
      <c r="H76" s="424"/>
    </row>
    <row r="77" spans="1:8">
      <c r="A77" s="424" t="s">
        <v>408</v>
      </c>
      <c r="B77" s="424"/>
      <c r="C77" s="424"/>
      <c r="D77" s="424"/>
      <c r="E77" s="424"/>
      <c r="F77" s="424"/>
      <c r="G77" s="424"/>
      <c r="H77" s="424"/>
    </row>
    <row r="78" spans="1:8">
      <c r="A78" s="424"/>
      <c r="B78" s="424"/>
      <c r="C78" s="424"/>
      <c r="D78" s="424"/>
      <c r="E78" s="424"/>
      <c r="F78" s="424"/>
      <c r="G78" s="424"/>
      <c r="H78" s="424"/>
    </row>
    <row r="79" spans="1:8">
      <c r="A79" s="424" t="s">
        <v>353</v>
      </c>
    </row>
    <row r="80" spans="1:8">
      <c r="A80" s="425"/>
    </row>
    <row r="81" spans="1:1">
      <c r="A81" s="424"/>
    </row>
    <row r="82" spans="1:1">
      <c r="A82" s="424"/>
    </row>
    <row r="83" spans="1:1">
      <c r="A83" s="424"/>
    </row>
    <row r="84" spans="1:1">
      <c r="A84" s="424"/>
    </row>
    <row r="85" spans="1:1">
      <c r="A85" s="424"/>
    </row>
    <row r="86" spans="1:1">
      <c r="A86" s="424"/>
    </row>
    <row r="87" spans="1:1">
      <c r="A87" s="424"/>
    </row>
    <row r="88" spans="1:1">
      <c r="A88" s="424"/>
    </row>
    <row r="89" spans="1:1">
      <c r="A89" s="424"/>
    </row>
    <row r="90" spans="1:1">
      <c r="A90" s="424"/>
    </row>
    <row r="91" spans="1:1">
      <c r="A91" s="424"/>
    </row>
    <row r="92" spans="1:1">
      <c r="A92" s="424"/>
    </row>
    <row r="93" spans="1:1">
      <c r="A93" s="424"/>
    </row>
    <row r="94" spans="1:1">
      <c r="A94" s="424"/>
    </row>
    <row r="95" spans="1:1">
      <c r="A95" s="424"/>
    </row>
    <row r="96" spans="1:1">
      <c r="A96" s="424"/>
    </row>
    <row r="97" spans="1:1">
      <c r="A97" s="424"/>
    </row>
    <row r="98" spans="1:1">
      <c r="A98" s="424"/>
    </row>
    <row r="99" spans="1:1">
      <c r="A99" s="424"/>
    </row>
    <row r="100" spans="1:1">
      <c r="A100" s="424"/>
    </row>
    <row r="101" spans="1:1">
      <c r="A101" s="424"/>
    </row>
    <row r="103" spans="1:1">
      <c r="A103" s="424"/>
    </row>
    <row r="104" spans="1:1">
      <c r="A104" s="424"/>
    </row>
    <row r="105" spans="1:1">
      <c r="A105" s="424"/>
    </row>
    <row r="107" spans="1:1">
      <c r="A107" s="425"/>
    </row>
    <row r="108" spans="1:1">
      <c r="A108" s="425"/>
    </row>
    <row r="109" spans="1:1">
      <c r="A109" s="425"/>
    </row>
  </sheetData>
  <sheetProtection sheet="1"/>
  <phoneticPr fontId="0" type="noConversion"/>
  <pageMargins left="0.7" right="0.7" top="0.75" bottom="0.75" header="0.3" footer="0.3"/>
  <pageSetup orientation="portrait" r:id="rId1"/>
  <headerFooter>
    <oddFooter>&amp;Lrevised 8/21/09</oddFooter>
  </headerFooter>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423" t="s">
        <v>409</v>
      </c>
      <c r="B3" s="423"/>
      <c r="C3" s="423"/>
      <c r="D3" s="423"/>
      <c r="E3" s="423"/>
      <c r="F3" s="423"/>
      <c r="G3" s="423"/>
      <c r="H3" s="423"/>
      <c r="I3" s="423"/>
      <c r="J3" s="423"/>
      <c r="K3" s="423"/>
      <c r="L3" s="423"/>
    </row>
    <row r="4" spans="1:12">
      <c r="A4" s="423"/>
      <c r="B4" s="423"/>
      <c r="C4" s="423"/>
      <c r="D4" s="423"/>
      <c r="E4" s="423"/>
      <c r="F4" s="423"/>
      <c r="G4" s="423"/>
      <c r="H4" s="423"/>
      <c r="I4" s="423"/>
      <c r="J4" s="423"/>
      <c r="K4" s="423"/>
      <c r="L4" s="423"/>
    </row>
    <row r="5" spans="1:12">
      <c r="A5" s="424" t="s">
        <v>298</v>
      </c>
      <c r="I5" s="423"/>
      <c r="J5" s="423"/>
      <c r="K5" s="423"/>
      <c r="L5" s="423"/>
    </row>
    <row r="6" spans="1:12">
      <c r="A6" s="424" t="str">
        <f ca="1">CONCATENATE("estimated ",inputPrYr!D9-1," 'total expenditures' exceed your ",inputPrYr!D9-1,"")</f>
        <v>estimated 2012 'total expenditures' exceed your 2012</v>
      </c>
      <c r="I6" s="423"/>
      <c r="J6" s="423"/>
      <c r="K6" s="423"/>
      <c r="L6" s="423"/>
    </row>
    <row r="7" spans="1:12">
      <c r="A7" s="427" t="s">
        <v>410</v>
      </c>
      <c r="I7" s="423"/>
      <c r="J7" s="423"/>
      <c r="K7" s="423"/>
      <c r="L7" s="423"/>
    </row>
    <row r="8" spans="1:12">
      <c r="A8" s="424"/>
      <c r="I8" s="423"/>
      <c r="J8" s="423"/>
      <c r="K8" s="423"/>
      <c r="L8" s="423"/>
    </row>
    <row r="9" spans="1:12">
      <c r="A9" s="424" t="s">
        <v>411</v>
      </c>
      <c r="I9" s="423"/>
      <c r="J9" s="423"/>
      <c r="K9" s="423"/>
      <c r="L9" s="423"/>
    </row>
    <row r="10" spans="1:12">
      <c r="A10" s="424" t="s">
        <v>412</v>
      </c>
      <c r="I10" s="423"/>
      <c r="J10" s="423"/>
      <c r="K10" s="423"/>
      <c r="L10" s="423"/>
    </row>
    <row r="11" spans="1:12">
      <c r="A11" s="424" t="s">
        <v>413</v>
      </c>
      <c r="I11" s="423"/>
      <c r="J11" s="423"/>
      <c r="K11" s="423"/>
      <c r="L11" s="423"/>
    </row>
    <row r="12" spans="1:12">
      <c r="A12" s="424" t="s">
        <v>414</v>
      </c>
      <c r="I12" s="423"/>
      <c r="J12" s="423"/>
      <c r="K12" s="423"/>
      <c r="L12" s="423"/>
    </row>
    <row r="13" spans="1:12">
      <c r="A13" s="424" t="s">
        <v>415</v>
      </c>
      <c r="I13" s="423"/>
      <c r="J13" s="423"/>
      <c r="K13" s="423"/>
      <c r="L13" s="423"/>
    </row>
    <row r="14" spans="1:12">
      <c r="A14" s="423"/>
      <c r="B14" s="423"/>
      <c r="C14" s="423"/>
      <c r="D14" s="423"/>
      <c r="E14" s="423"/>
      <c r="F14" s="423"/>
      <c r="G14" s="423"/>
      <c r="H14" s="423"/>
      <c r="I14" s="423"/>
      <c r="J14" s="423"/>
      <c r="K14" s="423"/>
      <c r="L14" s="423"/>
    </row>
    <row r="15" spans="1:12">
      <c r="A15" s="425" t="s">
        <v>416</v>
      </c>
    </row>
    <row r="16" spans="1:12">
      <c r="A16" s="425" t="s">
        <v>417</v>
      </c>
    </row>
    <row r="17" spans="1:7">
      <c r="A17" s="425"/>
    </row>
    <row r="18" spans="1:7">
      <c r="A18" s="424" t="s">
        <v>418</v>
      </c>
      <c r="B18" s="424"/>
      <c r="C18" s="424"/>
      <c r="D18" s="424"/>
      <c r="E18" s="424"/>
      <c r="F18" s="424"/>
      <c r="G18" s="424"/>
    </row>
    <row r="19" spans="1:7">
      <c r="A19" s="424" t="str">
        <f ca="1">CONCATENATE("your ",inputPrYr!D9-1," numbers to see what steps might be necessary to")</f>
        <v>your 2012 numbers to see what steps might be necessary to</v>
      </c>
      <c r="B19" s="424"/>
      <c r="C19" s="424"/>
      <c r="D19" s="424"/>
      <c r="E19" s="424"/>
      <c r="F19" s="424"/>
      <c r="G19" s="424"/>
    </row>
    <row r="20" spans="1:7">
      <c r="A20" s="424" t="s">
        <v>419</v>
      </c>
      <c r="B20" s="424"/>
      <c r="C20" s="424"/>
      <c r="D20" s="424"/>
      <c r="E20" s="424"/>
      <c r="F20" s="424"/>
      <c r="G20" s="424"/>
    </row>
    <row r="21" spans="1:7">
      <c r="A21" s="424" t="s">
        <v>420</v>
      </c>
      <c r="B21" s="424"/>
      <c r="C21" s="424"/>
      <c r="D21" s="424"/>
      <c r="E21" s="424"/>
      <c r="F21" s="424"/>
      <c r="G21" s="424"/>
    </row>
    <row r="22" spans="1:7">
      <c r="A22" s="424"/>
    </row>
    <row r="23" spans="1:7">
      <c r="A23" s="425" t="s">
        <v>421</v>
      </c>
    </row>
    <row r="24" spans="1:7">
      <c r="A24" s="425"/>
    </row>
    <row r="25" spans="1:7">
      <c r="A25" s="424" t="s">
        <v>422</v>
      </c>
    </row>
    <row r="26" spans="1:7">
      <c r="A26" s="424" t="s">
        <v>423</v>
      </c>
      <c r="B26" s="424"/>
      <c r="C26" s="424"/>
      <c r="D26" s="424"/>
      <c r="E26" s="424"/>
      <c r="F26" s="424"/>
    </row>
    <row r="27" spans="1:7">
      <c r="A27" s="424" t="s">
        <v>424</v>
      </c>
      <c r="B27" s="424"/>
      <c r="C27" s="424"/>
      <c r="D27" s="424"/>
      <c r="E27" s="424"/>
      <c r="F27" s="424"/>
    </row>
    <row r="28" spans="1:7">
      <c r="A28" s="424" t="s">
        <v>425</v>
      </c>
      <c r="B28" s="424"/>
      <c r="C28" s="424"/>
      <c r="D28" s="424"/>
      <c r="E28" s="424"/>
      <c r="F28" s="424"/>
    </row>
    <row r="29" spans="1:7">
      <c r="A29" s="424"/>
      <c r="B29" s="424"/>
      <c r="C29" s="424"/>
      <c r="D29" s="424"/>
      <c r="E29" s="424"/>
      <c r="F29" s="424"/>
    </row>
    <row r="30" spans="1:7">
      <c r="A30" s="425" t="s">
        <v>426</v>
      </c>
      <c r="B30" s="425"/>
      <c r="C30" s="425"/>
      <c r="D30" s="425"/>
      <c r="E30" s="425"/>
      <c r="F30" s="425"/>
      <c r="G30" s="425"/>
    </row>
    <row r="31" spans="1:7">
      <c r="A31" s="425" t="s">
        <v>427</v>
      </c>
      <c r="B31" s="425"/>
      <c r="C31" s="425"/>
      <c r="D31" s="425"/>
      <c r="E31" s="425"/>
      <c r="F31" s="425"/>
      <c r="G31" s="425"/>
    </row>
    <row r="32" spans="1:7">
      <c r="A32" s="424"/>
      <c r="B32" s="424"/>
      <c r="C32" s="424"/>
      <c r="D32" s="424"/>
      <c r="E32" s="424"/>
      <c r="F32" s="424"/>
    </row>
    <row r="33" spans="1:6">
      <c r="A33" s="428" t="str">
        <f ca="1">CONCATENATE("Well, let's look to see if any of your ",inputPrYr!D9-1," expenditures can")</f>
        <v>Well, let's look to see if any of your 2012 expenditures can</v>
      </c>
      <c r="B33" s="424"/>
      <c r="C33" s="424"/>
      <c r="D33" s="424"/>
      <c r="E33" s="424"/>
      <c r="F33" s="424"/>
    </row>
    <row r="34" spans="1:6">
      <c r="A34" s="428" t="s">
        <v>428</v>
      </c>
      <c r="B34" s="424"/>
      <c r="C34" s="424"/>
      <c r="D34" s="424"/>
      <c r="E34" s="424"/>
      <c r="F34" s="424"/>
    </row>
    <row r="35" spans="1:6">
      <c r="A35" s="428" t="s">
        <v>312</v>
      </c>
      <c r="B35" s="424"/>
      <c r="C35" s="424"/>
      <c r="D35" s="424"/>
      <c r="E35" s="424"/>
      <c r="F35" s="424"/>
    </row>
    <row r="36" spans="1:6">
      <c r="A36" s="428" t="s">
        <v>313</v>
      </c>
      <c r="B36" s="424"/>
      <c r="C36" s="424"/>
      <c r="D36" s="424"/>
      <c r="E36" s="424"/>
      <c r="F36" s="424"/>
    </row>
    <row r="37" spans="1:6">
      <c r="A37" s="428"/>
      <c r="B37" s="424"/>
      <c r="C37" s="424"/>
      <c r="D37" s="424"/>
      <c r="E37" s="424"/>
      <c r="F37" s="424"/>
    </row>
    <row r="38" spans="1:6">
      <c r="A38" s="428" t="str">
        <f ca="1">CONCATENATE("Additionally, do your ",inputPrYr!D9-1," receipts contain a reimbursement")</f>
        <v>Additionally, do your 2012 receipts contain a reimbursement</v>
      </c>
      <c r="B38" s="424"/>
      <c r="C38" s="424"/>
      <c r="D38" s="424"/>
      <c r="E38" s="424"/>
      <c r="F38" s="424"/>
    </row>
    <row r="39" spans="1:6">
      <c r="A39" s="428" t="s">
        <v>314</v>
      </c>
      <c r="B39" s="424"/>
      <c r="C39" s="424"/>
      <c r="D39" s="424"/>
      <c r="E39" s="424"/>
      <c r="F39" s="424"/>
    </row>
    <row r="40" spans="1:6">
      <c r="A40" s="428" t="s">
        <v>315</v>
      </c>
      <c r="B40" s="424"/>
      <c r="C40" s="424"/>
      <c r="D40" s="424"/>
      <c r="E40" s="424"/>
      <c r="F40" s="424"/>
    </row>
    <row r="41" spans="1:6">
      <c r="A41" s="428"/>
      <c r="B41" s="424"/>
      <c r="C41" s="424"/>
      <c r="D41" s="424"/>
      <c r="E41" s="424"/>
      <c r="F41" s="424"/>
    </row>
    <row r="42" spans="1:6">
      <c r="A42" s="428" t="s">
        <v>316</v>
      </c>
      <c r="B42" s="424"/>
      <c r="C42" s="424"/>
      <c r="D42" s="424"/>
      <c r="E42" s="424"/>
      <c r="F42" s="424"/>
    </row>
    <row r="43" spans="1:6">
      <c r="A43" s="428" t="s">
        <v>317</v>
      </c>
      <c r="B43" s="424"/>
      <c r="C43" s="424"/>
      <c r="D43" s="424"/>
      <c r="E43" s="424"/>
      <c r="F43" s="424"/>
    </row>
    <row r="44" spans="1:6">
      <c r="A44" s="428" t="s">
        <v>318</v>
      </c>
      <c r="B44" s="424"/>
      <c r="C44" s="424"/>
      <c r="D44" s="424"/>
      <c r="E44" s="424"/>
      <c r="F44" s="424"/>
    </row>
    <row r="45" spans="1:6">
      <c r="A45" s="428" t="s">
        <v>429</v>
      </c>
      <c r="B45" s="424"/>
      <c r="C45" s="424"/>
      <c r="D45" s="424"/>
      <c r="E45" s="424"/>
      <c r="F45" s="424"/>
    </row>
    <row r="46" spans="1:6">
      <c r="A46" s="428" t="s">
        <v>320</v>
      </c>
      <c r="B46" s="424"/>
      <c r="C46" s="424"/>
      <c r="D46" s="424"/>
      <c r="E46" s="424"/>
      <c r="F46" s="424"/>
    </row>
    <row r="47" spans="1:6">
      <c r="A47" s="428" t="s">
        <v>430</v>
      </c>
      <c r="B47" s="424"/>
      <c r="C47" s="424"/>
      <c r="D47" s="424"/>
      <c r="E47" s="424"/>
      <c r="F47" s="424"/>
    </row>
    <row r="48" spans="1:6">
      <c r="A48" s="428" t="s">
        <v>431</v>
      </c>
      <c r="B48" s="424"/>
      <c r="C48" s="424"/>
      <c r="D48" s="424"/>
      <c r="E48" s="424"/>
      <c r="F48" s="424"/>
    </row>
    <row r="49" spans="1:6">
      <c r="A49" s="428" t="s">
        <v>323</v>
      </c>
      <c r="B49" s="424"/>
      <c r="C49" s="424"/>
      <c r="D49" s="424"/>
      <c r="E49" s="424"/>
      <c r="F49" s="424"/>
    </row>
    <row r="50" spans="1:6">
      <c r="A50" s="428"/>
      <c r="B50" s="424"/>
      <c r="C50" s="424"/>
      <c r="D50" s="424"/>
      <c r="E50" s="424"/>
      <c r="F50" s="424"/>
    </row>
    <row r="51" spans="1:6">
      <c r="A51" s="428" t="s">
        <v>324</v>
      </c>
      <c r="B51" s="424"/>
      <c r="C51" s="424"/>
      <c r="D51" s="424"/>
      <c r="E51" s="424"/>
      <c r="F51" s="424"/>
    </row>
    <row r="52" spans="1:6">
      <c r="A52" s="428" t="s">
        <v>325</v>
      </c>
      <c r="B52" s="424"/>
      <c r="C52" s="424"/>
      <c r="D52" s="424"/>
      <c r="E52" s="424"/>
      <c r="F52" s="424"/>
    </row>
    <row r="53" spans="1:6">
      <c r="A53" s="428" t="s">
        <v>326</v>
      </c>
      <c r="B53" s="424"/>
      <c r="C53" s="424"/>
      <c r="D53" s="424"/>
      <c r="E53" s="424"/>
      <c r="F53" s="424"/>
    </row>
    <row r="54" spans="1:6">
      <c r="A54" s="428"/>
      <c r="B54" s="424"/>
      <c r="C54" s="424"/>
      <c r="D54" s="424"/>
      <c r="E54" s="424"/>
      <c r="F54" s="424"/>
    </row>
    <row r="55" spans="1:6">
      <c r="A55" s="428" t="s">
        <v>432</v>
      </c>
      <c r="B55" s="424"/>
      <c r="C55" s="424"/>
      <c r="D55" s="424"/>
      <c r="E55" s="424"/>
      <c r="F55" s="424"/>
    </row>
    <row r="56" spans="1:6">
      <c r="A56" s="428" t="s">
        <v>433</v>
      </c>
      <c r="B56" s="424"/>
      <c r="C56" s="424"/>
      <c r="D56" s="424"/>
      <c r="E56" s="424"/>
      <c r="F56" s="424"/>
    </row>
    <row r="57" spans="1:6">
      <c r="A57" s="428" t="s">
        <v>434</v>
      </c>
      <c r="B57" s="424"/>
      <c r="C57" s="424"/>
      <c r="D57" s="424"/>
      <c r="E57" s="424"/>
      <c r="F57" s="424"/>
    </row>
    <row r="58" spans="1:6">
      <c r="A58" s="428" t="s">
        <v>435</v>
      </c>
      <c r="B58" s="424"/>
      <c r="C58" s="424"/>
      <c r="D58" s="424"/>
      <c r="E58" s="424"/>
      <c r="F58" s="424"/>
    </row>
    <row r="59" spans="1:6">
      <c r="A59" s="428" t="s">
        <v>436</v>
      </c>
      <c r="B59" s="424"/>
      <c r="C59" s="424"/>
      <c r="D59" s="424"/>
      <c r="E59" s="424"/>
      <c r="F59" s="424"/>
    </row>
    <row r="60" spans="1:6">
      <c r="A60" s="428"/>
      <c r="B60" s="424"/>
      <c r="C60" s="424"/>
      <c r="D60" s="424"/>
      <c r="E60" s="424"/>
      <c r="F60" s="424"/>
    </row>
    <row r="61" spans="1:6">
      <c r="A61" s="429" t="s">
        <v>437</v>
      </c>
      <c r="B61" s="424"/>
      <c r="C61" s="424"/>
      <c r="D61" s="424"/>
      <c r="E61" s="424"/>
      <c r="F61" s="424"/>
    </row>
    <row r="62" spans="1:6">
      <c r="A62" s="429" t="s">
        <v>438</v>
      </c>
      <c r="B62" s="424"/>
      <c r="C62" s="424"/>
      <c r="D62" s="424"/>
      <c r="E62" s="424"/>
      <c r="F62" s="424"/>
    </row>
    <row r="63" spans="1:6">
      <c r="A63" s="429" t="s">
        <v>439</v>
      </c>
      <c r="B63" s="424"/>
      <c r="C63" s="424"/>
      <c r="D63" s="424"/>
      <c r="E63" s="424"/>
      <c r="F63" s="424"/>
    </row>
    <row r="64" spans="1:6">
      <c r="A64" s="429" t="s">
        <v>440</v>
      </c>
    </row>
    <row r="65" spans="1:1">
      <c r="A65" s="429" t="s">
        <v>441</v>
      </c>
    </row>
    <row r="66" spans="1:1">
      <c r="A66" s="429" t="s">
        <v>442</v>
      </c>
    </row>
    <row r="68" spans="1:1">
      <c r="A68" s="424" t="s">
        <v>443</v>
      </c>
    </row>
    <row r="69" spans="1:1">
      <c r="A69" s="424" t="s">
        <v>444</v>
      </c>
    </row>
    <row r="70" spans="1:1">
      <c r="A70" s="424" t="s">
        <v>445</v>
      </c>
    </row>
    <row r="71" spans="1:1">
      <c r="A71" s="424" t="s">
        <v>446</v>
      </c>
    </row>
    <row r="72" spans="1:1">
      <c r="A72" s="424" t="s">
        <v>447</v>
      </c>
    </row>
    <row r="73" spans="1:1">
      <c r="A73" s="424" t="s">
        <v>448</v>
      </c>
    </row>
    <row r="75" spans="1:1">
      <c r="A75" s="424" t="s">
        <v>353</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423" t="s">
        <v>449</v>
      </c>
      <c r="B3" s="423"/>
      <c r="C3" s="423"/>
      <c r="D3" s="423"/>
      <c r="E3" s="423"/>
      <c r="F3" s="423"/>
      <c r="G3" s="423"/>
    </row>
    <row r="4" spans="1:7">
      <c r="A4" s="423"/>
      <c r="B4" s="423"/>
      <c r="C4" s="423"/>
      <c r="D4" s="423"/>
      <c r="E4" s="423"/>
      <c r="F4" s="423"/>
      <c r="G4" s="423"/>
    </row>
    <row r="5" spans="1:7">
      <c r="A5" s="424" t="s">
        <v>355</v>
      </c>
    </row>
    <row r="6" spans="1:7">
      <c r="A6" s="424" t="str">
        <f ca="1">CONCATENATE(inputPrYr!D9," estimated expenditures show that at the end of this year")</f>
        <v>2013 estimated expenditures show that at the end of this year</v>
      </c>
    </row>
    <row r="7" spans="1:7">
      <c r="A7" s="424" t="s">
        <v>450</v>
      </c>
    </row>
    <row r="8" spans="1:7">
      <c r="A8" s="424" t="s">
        <v>451</v>
      </c>
    </row>
    <row r="10" spans="1:7">
      <c r="A10" t="s">
        <v>357</v>
      </c>
    </row>
    <row r="11" spans="1:7">
      <c r="A11" t="s">
        <v>358</v>
      </c>
    </row>
    <row r="12" spans="1:7">
      <c r="A12" t="s">
        <v>359</v>
      </c>
    </row>
    <row r="13" spans="1:7">
      <c r="A13" s="423"/>
      <c r="B13" s="423"/>
      <c r="C13" s="423"/>
      <c r="D13" s="423"/>
      <c r="E13" s="423"/>
      <c r="F13" s="423"/>
      <c r="G13" s="423"/>
    </row>
    <row r="14" spans="1:7">
      <c r="A14" s="425" t="s">
        <v>452</v>
      </c>
    </row>
    <row r="15" spans="1:7">
      <c r="A15" s="424"/>
    </row>
    <row r="16" spans="1:7">
      <c r="A16" s="424" t="s">
        <v>453</v>
      </c>
    </row>
    <row r="17" spans="1:7">
      <c r="A17" s="424" t="s">
        <v>454</v>
      </c>
    </row>
    <row r="18" spans="1:7">
      <c r="A18" s="424" t="s">
        <v>455</v>
      </c>
    </row>
    <row r="19" spans="1:7">
      <c r="A19" s="424"/>
    </row>
    <row r="20" spans="1:7">
      <c r="A20" s="424" t="s">
        <v>456</v>
      </c>
    </row>
    <row r="21" spans="1:7">
      <c r="A21" s="424" t="s">
        <v>457</v>
      </c>
    </row>
    <row r="22" spans="1:7">
      <c r="A22" s="424" t="s">
        <v>458</v>
      </c>
    </row>
    <row r="23" spans="1:7">
      <c r="A23" s="424" t="s">
        <v>459</v>
      </c>
    </row>
    <row r="24" spans="1:7">
      <c r="A24" s="424"/>
    </row>
    <row r="25" spans="1:7">
      <c r="A25" s="425" t="s">
        <v>421</v>
      </c>
    </row>
    <row r="26" spans="1:7">
      <c r="A26" s="425"/>
    </row>
    <row r="27" spans="1:7">
      <c r="A27" s="424" t="s">
        <v>422</v>
      </c>
    </row>
    <row r="28" spans="1:7">
      <c r="A28" s="424" t="s">
        <v>423</v>
      </c>
      <c r="B28" s="424"/>
      <c r="C28" s="424"/>
      <c r="D28" s="424"/>
      <c r="E28" s="424"/>
      <c r="F28" s="424"/>
    </row>
    <row r="29" spans="1:7">
      <c r="A29" s="424" t="s">
        <v>424</v>
      </c>
      <c r="B29" s="424"/>
      <c r="C29" s="424"/>
      <c r="D29" s="424"/>
      <c r="E29" s="424"/>
      <c r="F29" s="424"/>
    </row>
    <row r="30" spans="1:7">
      <c r="A30" s="424" t="s">
        <v>425</v>
      </c>
      <c r="B30" s="424"/>
      <c r="C30" s="424"/>
      <c r="D30" s="424"/>
      <c r="E30" s="424"/>
      <c r="F30" s="424"/>
    </row>
    <row r="31" spans="1:7">
      <c r="A31" s="424"/>
    </row>
    <row r="32" spans="1:7">
      <c r="A32" s="425" t="s">
        <v>426</v>
      </c>
      <c r="B32" s="425"/>
      <c r="C32" s="425"/>
      <c r="D32" s="425"/>
      <c r="E32" s="425"/>
      <c r="F32" s="425"/>
      <c r="G32" s="425"/>
    </row>
    <row r="33" spans="1:7">
      <c r="A33" s="425" t="s">
        <v>427</v>
      </c>
      <c r="B33" s="425"/>
      <c r="C33" s="425"/>
      <c r="D33" s="425"/>
      <c r="E33" s="425"/>
      <c r="F33" s="425"/>
      <c r="G33" s="425"/>
    </row>
    <row r="34" spans="1:7">
      <c r="A34" s="425"/>
      <c r="B34" s="425"/>
      <c r="C34" s="425"/>
      <c r="D34" s="425"/>
      <c r="E34" s="425"/>
      <c r="F34" s="425"/>
      <c r="G34" s="425"/>
    </row>
    <row r="35" spans="1:7">
      <c r="A35" s="424" t="s">
        <v>460</v>
      </c>
      <c r="B35" s="424"/>
      <c r="C35" s="424"/>
      <c r="D35" s="424"/>
      <c r="E35" s="424"/>
      <c r="F35" s="424"/>
      <c r="G35" s="424"/>
    </row>
    <row r="36" spans="1:7">
      <c r="A36" s="424" t="s">
        <v>461</v>
      </c>
      <c r="B36" s="424"/>
      <c r="C36" s="424"/>
      <c r="D36" s="424"/>
      <c r="E36" s="424"/>
      <c r="F36" s="424"/>
      <c r="G36" s="424"/>
    </row>
    <row r="37" spans="1:7">
      <c r="A37" s="424" t="s">
        <v>462</v>
      </c>
      <c r="B37" s="424"/>
      <c r="C37" s="424"/>
      <c r="D37" s="424"/>
      <c r="E37" s="424"/>
      <c r="F37" s="424"/>
      <c r="G37" s="424"/>
    </row>
    <row r="38" spans="1:7">
      <c r="A38" s="424" t="s">
        <v>463</v>
      </c>
      <c r="B38" s="424"/>
      <c r="C38" s="424"/>
      <c r="D38" s="424"/>
      <c r="E38" s="424"/>
      <c r="F38" s="424"/>
      <c r="G38" s="424"/>
    </row>
    <row r="39" spans="1:7">
      <c r="A39" s="424" t="s">
        <v>464</v>
      </c>
      <c r="B39" s="424"/>
      <c r="C39" s="424"/>
      <c r="D39" s="424"/>
      <c r="E39" s="424"/>
      <c r="F39" s="424"/>
      <c r="G39" s="424"/>
    </row>
    <row r="40" spans="1:7">
      <c r="A40" s="425"/>
      <c r="B40" s="425"/>
      <c r="C40" s="425"/>
      <c r="D40" s="425"/>
      <c r="E40" s="425"/>
      <c r="F40" s="425"/>
      <c r="G40" s="425"/>
    </row>
    <row r="41" spans="1:7">
      <c r="A41" s="428" t="str">
        <f ca="1">CONCATENATE("So, let's look to see if any of your ",inputPrYr!D9-1," expenditures can")</f>
        <v>So, let's look to see if any of your 2012 expenditures can</v>
      </c>
      <c r="B41" s="424"/>
      <c r="C41" s="424"/>
      <c r="D41" s="424"/>
      <c r="E41" s="424"/>
      <c r="F41" s="424"/>
    </row>
    <row r="42" spans="1:7">
      <c r="A42" s="428" t="s">
        <v>428</v>
      </c>
      <c r="B42" s="424"/>
      <c r="C42" s="424"/>
      <c r="D42" s="424"/>
      <c r="E42" s="424"/>
      <c r="F42" s="424"/>
    </row>
    <row r="43" spans="1:7">
      <c r="A43" s="428" t="s">
        <v>312</v>
      </c>
      <c r="B43" s="424"/>
      <c r="C43" s="424"/>
      <c r="D43" s="424"/>
      <c r="E43" s="424"/>
      <c r="F43" s="424"/>
    </row>
    <row r="44" spans="1:7">
      <c r="A44" s="428" t="s">
        <v>313</v>
      </c>
      <c r="B44" s="424"/>
      <c r="C44" s="424"/>
      <c r="D44" s="424"/>
      <c r="E44" s="424"/>
      <c r="F44" s="424"/>
    </row>
    <row r="45" spans="1:7">
      <c r="A45" s="424"/>
    </row>
    <row r="46" spans="1:7">
      <c r="A46" s="428" t="str">
        <f ca="1">CONCATENATE("Additionally, do your ",inputPrYr!D9-1," receipts contain a reimbursement")</f>
        <v>Additionally, do your 2012 receipts contain a reimbursement</v>
      </c>
      <c r="B46" s="424"/>
      <c r="C46" s="424"/>
      <c r="D46" s="424"/>
      <c r="E46" s="424"/>
      <c r="F46" s="424"/>
    </row>
    <row r="47" spans="1:7">
      <c r="A47" s="428" t="s">
        <v>314</v>
      </c>
      <c r="B47" s="424"/>
      <c r="C47" s="424"/>
      <c r="D47" s="424"/>
      <c r="E47" s="424"/>
      <c r="F47" s="424"/>
    </row>
    <row r="48" spans="1:7">
      <c r="A48" s="428" t="s">
        <v>315</v>
      </c>
      <c r="B48" s="424"/>
      <c r="C48" s="424"/>
      <c r="D48" s="424"/>
      <c r="E48" s="424"/>
      <c r="F48" s="424"/>
    </row>
    <row r="49" spans="1:7">
      <c r="A49" s="424"/>
      <c r="B49" s="424"/>
      <c r="C49" s="424"/>
      <c r="D49" s="424"/>
      <c r="E49" s="424"/>
      <c r="F49" s="424"/>
      <c r="G49" s="424"/>
    </row>
    <row r="50" spans="1:7">
      <c r="A50" s="424" t="s">
        <v>382</v>
      </c>
      <c r="B50" s="424"/>
      <c r="C50" s="424"/>
      <c r="D50" s="424"/>
      <c r="E50" s="424"/>
      <c r="F50" s="424"/>
      <c r="G50" s="424"/>
    </row>
    <row r="51" spans="1:7">
      <c r="A51" s="424" t="s">
        <v>383</v>
      </c>
      <c r="B51" s="424"/>
      <c r="C51" s="424"/>
      <c r="D51" s="424"/>
      <c r="E51" s="424"/>
      <c r="F51" s="424"/>
      <c r="G51" s="424"/>
    </row>
    <row r="52" spans="1:7">
      <c r="A52" s="424" t="s">
        <v>384</v>
      </c>
      <c r="B52" s="424"/>
      <c r="C52" s="424"/>
      <c r="D52" s="424"/>
      <c r="E52" s="424"/>
      <c r="F52" s="424"/>
      <c r="G52" s="424"/>
    </row>
    <row r="53" spans="1:7">
      <c r="A53" s="424" t="s">
        <v>385</v>
      </c>
      <c r="B53" s="424"/>
      <c r="C53" s="424"/>
      <c r="D53" s="424"/>
      <c r="E53" s="424"/>
      <c r="F53" s="424"/>
      <c r="G53" s="424"/>
    </row>
    <row r="54" spans="1:7">
      <c r="A54" s="424" t="s">
        <v>386</v>
      </c>
      <c r="B54" s="424"/>
      <c r="C54" s="424"/>
      <c r="D54" s="424"/>
      <c r="E54" s="424"/>
      <c r="F54" s="424"/>
      <c r="G54" s="424"/>
    </row>
    <row r="55" spans="1:7">
      <c r="A55" s="424"/>
      <c r="B55" s="424"/>
      <c r="C55" s="424"/>
      <c r="D55" s="424"/>
      <c r="E55" s="424"/>
      <c r="F55" s="424"/>
      <c r="G55" s="424"/>
    </row>
    <row r="56" spans="1:7">
      <c r="A56" s="428" t="s">
        <v>324</v>
      </c>
      <c r="B56" s="424"/>
      <c r="C56" s="424"/>
      <c r="D56" s="424"/>
      <c r="E56" s="424"/>
      <c r="F56" s="424"/>
    </row>
    <row r="57" spans="1:7">
      <c r="A57" s="428" t="s">
        <v>325</v>
      </c>
      <c r="B57" s="424"/>
      <c r="C57" s="424"/>
      <c r="D57" s="424"/>
      <c r="E57" s="424"/>
      <c r="F57" s="424"/>
    </row>
    <row r="58" spans="1:7">
      <c r="A58" s="428" t="s">
        <v>326</v>
      </c>
      <c r="B58" s="424"/>
      <c r="C58" s="424"/>
      <c r="D58" s="424"/>
      <c r="E58" s="424"/>
      <c r="F58" s="424"/>
    </row>
    <row r="59" spans="1:7">
      <c r="A59" s="428"/>
      <c r="B59" s="424"/>
      <c r="C59" s="424"/>
      <c r="D59" s="424"/>
      <c r="E59" s="424"/>
      <c r="F59" s="424"/>
    </row>
    <row r="60" spans="1:7">
      <c r="A60" s="424" t="s">
        <v>465</v>
      </c>
      <c r="B60" s="424"/>
      <c r="C60" s="424"/>
      <c r="D60" s="424"/>
      <c r="E60" s="424"/>
      <c r="F60" s="424"/>
      <c r="G60" s="424"/>
    </row>
    <row r="61" spans="1:7">
      <c r="A61" s="424" t="s">
        <v>466</v>
      </c>
      <c r="B61" s="424"/>
      <c r="C61" s="424"/>
      <c r="D61" s="424"/>
      <c r="E61" s="424"/>
      <c r="F61" s="424"/>
      <c r="G61" s="424"/>
    </row>
    <row r="62" spans="1:7">
      <c r="A62" s="424" t="s">
        <v>467</v>
      </c>
      <c r="B62" s="424"/>
      <c r="C62" s="424"/>
      <c r="D62" s="424"/>
      <c r="E62" s="424"/>
      <c r="F62" s="424"/>
      <c r="G62" s="424"/>
    </row>
    <row r="63" spans="1:7">
      <c r="A63" s="424" t="s">
        <v>468</v>
      </c>
      <c r="B63" s="424"/>
      <c r="C63" s="424"/>
      <c r="D63" s="424"/>
      <c r="E63" s="424"/>
      <c r="F63" s="424"/>
      <c r="G63" s="424"/>
    </row>
    <row r="64" spans="1:7">
      <c r="A64" s="424" t="s">
        <v>469</v>
      </c>
      <c r="B64" s="424"/>
      <c r="C64" s="424"/>
      <c r="D64" s="424"/>
      <c r="E64" s="424"/>
      <c r="F64" s="424"/>
      <c r="G64" s="424"/>
    </row>
    <row r="66" spans="1:6">
      <c r="A66" s="428" t="s">
        <v>432</v>
      </c>
      <c r="B66" s="424"/>
      <c r="C66" s="424"/>
      <c r="D66" s="424"/>
      <c r="E66" s="424"/>
      <c r="F66" s="424"/>
    </row>
    <row r="67" spans="1:6">
      <c r="A67" s="428" t="s">
        <v>433</v>
      </c>
      <c r="B67" s="424"/>
      <c r="C67" s="424"/>
      <c r="D67" s="424"/>
      <c r="E67" s="424"/>
      <c r="F67" s="424"/>
    </row>
    <row r="68" spans="1:6">
      <c r="A68" s="428" t="s">
        <v>434</v>
      </c>
      <c r="B68" s="424"/>
      <c r="C68" s="424"/>
      <c r="D68" s="424"/>
      <c r="E68" s="424"/>
      <c r="F68" s="424"/>
    </row>
    <row r="69" spans="1:6">
      <c r="A69" s="428" t="s">
        <v>435</v>
      </c>
      <c r="B69" s="424"/>
      <c r="C69" s="424"/>
      <c r="D69" s="424"/>
      <c r="E69" s="424"/>
      <c r="F69" s="424"/>
    </row>
    <row r="70" spans="1:6">
      <c r="A70" s="428" t="s">
        <v>436</v>
      </c>
      <c r="B70" s="424"/>
      <c r="C70" s="424"/>
      <c r="D70" s="424"/>
      <c r="E70" s="424"/>
      <c r="F70" s="424"/>
    </row>
    <row r="71" spans="1:6">
      <c r="A71" s="424"/>
    </row>
    <row r="72" spans="1:6">
      <c r="A72" s="424" t="s">
        <v>353</v>
      </c>
    </row>
    <row r="73" spans="1:6">
      <c r="A73" s="424"/>
    </row>
    <row r="74" spans="1:6">
      <c r="A74" s="424"/>
    </row>
    <row r="75" spans="1:6">
      <c r="A75" s="424"/>
    </row>
    <row r="78" spans="1:6">
      <c r="A78" s="425"/>
    </row>
    <row r="80" spans="1:6">
      <c r="A80" s="424"/>
    </row>
    <row r="81" spans="1:1">
      <c r="A81" s="424"/>
    </row>
    <row r="82" spans="1:1">
      <c r="A82" s="424"/>
    </row>
    <row r="83" spans="1:1">
      <c r="A83" s="424"/>
    </row>
    <row r="84" spans="1:1">
      <c r="A84" s="424"/>
    </row>
    <row r="85" spans="1:1">
      <c r="A85" s="424"/>
    </row>
    <row r="86" spans="1:1">
      <c r="A86" s="424"/>
    </row>
    <row r="87" spans="1:1">
      <c r="A87" s="424"/>
    </row>
    <row r="88" spans="1:1">
      <c r="A88" s="424"/>
    </row>
    <row r="89" spans="1:1">
      <c r="A89" s="424"/>
    </row>
    <row r="90" spans="1:1">
      <c r="A90" s="424"/>
    </row>
    <row r="92" spans="1:1">
      <c r="A92" s="424"/>
    </row>
    <row r="93" spans="1:1">
      <c r="A93" s="424"/>
    </row>
    <row r="94" spans="1:1">
      <c r="A94" s="424"/>
    </row>
    <row r="95" spans="1:1">
      <c r="A95" s="424"/>
    </row>
    <row r="96" spans="1:1">
      <c r="A96" s="424"/>
    </row>
    <row r="97" spans="1:1">
      <c r="A97" s="424"/>
    </row>
    <row r="98" spans="1:1">
      <c r="A98" s="424"/>
    </row>
    <row r="99" spans="1:1">
      <c r="A99" s="424"/>
    </row>
    <row r="100" spans="1:1">
      <c r="A100" s="424"/>
    </row>
    <row r="101" spans="1:1">
      <c r="A101" s="424"/>
    </row>
    <row r="102" spans="1:1">
      <c r="A102" s="424"/>
    </row>
    <row r="103" spans="1:1">
      <c r="A103" s="424"/>
    </row>
    <row r="104" spans="1:1">
      <c r="A104" s="424"/>
    </row>
    <row r="105" spans="1:1">
      <c r="A105" s="424"/>
    </row>
    <row r="106" spans="1:1">
      <c r="A106" s="424"/>
    </row>
  </sheetData>
  <sheetProtection sheet="1"/>
  <phoneticPr fontId="0" type="noConversion"/>
  <pageMargins left="0.7" right="0.7" top="0.75" bottom="0.75" header="0.3" footer="0.3"/>
  <pageSetup orientation="portrait" r:id="rId1"/>
  <headerFooter>
    <oddFooter>&amp;Lrevised 8/21/09</oddFooter>
  </headerFooter>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423" t="s">
        <v>470</v>
      </c>
      <c r="B3" s="423"/>
      <c r="C3" s="423"/>
      <c r="D3" s="423"/>
      <c r="E3" s="423"/>
      <c r="F3" s="423"/>
      <c r="G3" s="423"/>
    </row>
    <row r="4" spans="1:7">
      <c r="A4" s="423" t="s">
        <v>471</v>
      </c>
      <c r="B4" s="423"/>
      <c r="C4" s="423"/>
      <c r="D4" s="423"/>
      <c r="E4" s="423"/>
      <c r="F4" s="423"/>
      <c r="G4" s="423"/>
    </row>
    <row r="5" spans="1:7">
      <c r="A5" s="423"/>
      <c r="B5" s="423"/>
      <c r="C5" s="423"/>
      <c r="D5" s="423"/>
      <c r="E5" s="423"/>
      <c r="F5" s="423"/>
      <c r="G5" s="423"/>
    </row>
    <row r="6" spans="1:7">
      <c r="A6" s="423"/>
      <c r="B6" s="423"/>
      <c r="C6" s="423"/>
      <c r="D6" s="423"/>
      <c r="E6" s="423"/>
      <c r="F6" s="423"/>
      <c r="G6" s="423"/>
    </row>
    <row r="7" spans="1:7">
      <c r="A7" s="424" t="s">
        <v>298</v>
      </c>
    </row>
    <row r="8" spans="1:7">
      <c r="A8" s="424" t="str">
        <f ca="1">CONCATENATE("estimated ",inputPrYr!D9," 'total expenditures' exceed your ",inputPrYr!D9,"")</f>
        <v>estimated 2013 'total expenditures' exceed your 2013</v>
      </c>
    </row>
    <row r="9" spans="1:7">
      <c r="A9" s="427" t="s">
        <v>472</v>
      </c>
    </row>
    <row r="10" spans="1:7">
      <c r="A10" s="424"/>
    </row>
    <row r="11" spans="1:7">
      <c r="A11" s="424" t="s">
        <v>473</v>
      </c>
    </row>
    <row r="12" spans="1:7">
      <c r="A12" s="424" t="s">
        <v>474</v>
      </c>
    </row>
    <row r="13" spans="1:7">
      <c r="A13" s="424" t="s">
        <v>475</v>
      </c>
    </row>
    <row r="14" spans="1:7">
      <c r="A14" s="424"/>
    </row>
    <row r="15" spans="1:7">
      <c r="A15" s="425" t="s">
        <v>476</v>
      </c>
    </row>
    <row r="16" spans="1:7">
      <c r="A16" s="423"/>
      <c r="B16" s="423"/>
      <c r="C16" s="423"/>
      <c r="D16" s="423"/>
      <c r="E16" s="423"/>
      <c r="F16" s="423"/>
      <c r="G16" s="423"/>
    </row>
    <row r="17" spans="1:8">
      <c r="A17" s="430" t="s">
        <v>477</v>
      </c>
      <c r="B17" s="422"/>
      <c r="C17" s="422"/>
      <c r="D17" s="422"/>
      <c r="E17" s="422"/>
      <c r="F17" s="422"/>
      <c r="G17" s="422"/>
      <c r="H17" s="422"/>
    </row>
    <row r="18" spans="1:8">
      <c r="A18" s="424" t="s">
        <v>478</v>
      </c>
      <c r="B18" s="431"/>
      <c r="C18" s="431"/>
      <c r="D18" s="431"/>
      <c r="E18" s="431"/>
      <c r="F18" s="431"/>
      <c r="G18" s="431"/>
    </row>
    <row r="19" spans="1:8">
      <c r="A19" s="424" t="s">
        <v>479</v>
      </c>
    </row>
    <row r="20" spans="1:8">
      <c r="A20" s="424" t="s">
        <v>480</v>
      </c>
    </row>
    <row r="22" spans="1:8">
      <c r="A22" s="425" t="s">
        <v>481</v>
      </c>
    </row>
    <row r="24" spans="1:8">
      <c r="A24" s="424" t="s">
        <v>482</v>
      </c>
    </row>
    <row r="25" spans="1:8">
      <c r="A25" s="424" t="s">
        <v>483</v>
      </c>
    </row>
    <row r="26" spans="1:8">
      <c r="A26" s="424" t="s">
        <v>484</v>
      </c>
    </row>
    <row r="28" spans="1:8">
      <c r="A28" s="425" t="s">
        <v>485</v>
      </c>
    </row>
    <row r="30" spans="1:8">
      <c r="A30" t="s">
        <v>486</v>
      </c>
    </row>
    <row r="31" spans="1:8">
      <c r="A31" t="s">
        <v>487</v>
      </c>
    </row>
    <row r="32" spans="1:8">
      <c r="A32" t="s">
        <v>488</v>
      </c>
    </row>
    <row r="33" spans="1:1">
      <c r="A33" s="424" t="s">
        <v>489</v>
      </c>
    </row>
    <row r="35" spans="1:1">
      <c r="A35" t="s">
        <v>490</v>
      </c>
    </row>
    <row r="36" spans="1:1">
      <c r="A36" t="s">
        <v>491</v>
      </c>
    </row>
    <row r="37" spans="1:1">
      <c r="A37" t="s">
        <v>492</v>
      </c>
    </row>
    <row r="38" spans="1:1">
      <c r="A38" t="s">
        <v>493</v>
      </c>
    </row>
    <row r="40" spans="1:1">
      <c r="A40" t="s">
        <v>494</v>
      </c>
    </row>
    <row r="41" spans="1:1">
      <c r="A41" t="s">
        <v>495</v>
      </c>
    </row>
    <row r="42" spans="1:1">
      <c r="A42" t="s">
        <v>496</v>
      </c>
    </row>
    <row r="43" spans="1:1">
      <c r="A43" t="s">
        <v>497</v>
      </c>
    </row>
    <row r="44" spans="1:1">
      <c r="A44" t="s">
        <v>498</v>
      </c>
    </row>
    <row r="45" spans="1:1">
      <c r="A45" t="s">
        <v>499</v>
      </c>
    </row>
    <row r="47" spans="1:1">
      <c r="A47" t="s">
        <v>500</v>
      </c>
    </row>
    <row r="48" spans="1:1">
      <c r="A48" t="s">
        <v>501</v>
      </c>
    </row>
    <row r="49" spans="1:1">
      <c r="A49" s="424" t="s">
        <v>502</v>
      </c>
    </row>
    <row r="50" spans="1:1">
      <c r="A50" s="424" t="s">
        <v>503</v>
      </c>
    </row>
    <row r="52" spans="1:1">
      <c r="A52" t="s">
        <v>353</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E97"/>
  <sheetViews>
    <sheetView topLeftCell="A55" workbookViewId="0">
      <selection activeCell="A73" sqref="A73:E73"/>
    </sheetView>
  </sheetViews>
  <sheetFormatPr defaultRowHeight="15.75"/>
  <cols>
    <col min="1" max="1" width="16.19921875" style="1" customWidth="1"/>
    <col min="2" max="2" width="16.8984375" style="1" customWidth="1"/>
    <col min="3" max="7" width="10.69921875" style="1" customWidth="1"/>
    <col min="8" max="16384" width="8.796875" style="1"/>
  </cols>
  <sheetData>
    <row r="1" spans="1:5">
      <c r="A1" s="43" t="str">
        <f ca="1">inputPrYr!D3</f>
        <v>Paradise Township</v>
      </c>
      <c r="B1" s="30"/>
      <c r="C1" s="30"/>
      <c r="D1" s="30"/>
      <c r="E1" s="30">
        <f ca="1">inputPrYr!D9</f>
        <v>2013</v>
      </c>
    </row>
    <row r="2" spans="1:5">
      <c r="A2" s="43" t="str">
        <f ca="1">inputPrYr!D4</f>
        <v>Russell County</v>
      </c>
      <c r="B2" s="30"/>
      <c r="C2" s="30"/>
      <c r="D2" s="30"/>
      <c r="E2" s="30"/>
    </row>
    <row r="3" spans="1:5">
      <c r="A3" s="30"/>
      <c r="B3" s="30"/>
      <c r="C3" s="30"/>
      <c r="D3" s="30"/>
      <c r="E3" s="30"/>
    </row>
    <row r="4" spans="1:5">
      <c r="A4" s="449" t="s">
        <v>655</v>
      </c>
      <c r="B4" s="450"/>
      <c r="C4" s="450"/>
      <c r="D4" s="450"/>
      <c r="E4" s="450"/>
    </row>
    <row r="5" spans="1:5">
      <c r="A5" s="30"/>
      <c r="B5" s="30"/>
      <c r="C5" s="30"/>
      <c r="D5" s="30"/>
      <c r="E5" s="30"/>
    </row>
    <row r="6" spans="1:5">
      <c r="A6" s="453" t="str">
        <f>CONCATENATE("From the County Clerks Budget Information for ",E1,":")</f>
        <v>From the County Clerks Budget Information for 2013:</v>
      </c>
      <c r="B6" s="454"/>
      <c r="C6" s="454"/>
      <c r="D6" s="454"/>
      <c r="E6" s="454"/>
    </row>
    <row r="7" spans="1:5">
      <c r="A7" s="57" t="str">
        <f>CONCATENATE("Assessed Valuation for ",E1-1,":")</f>
        <v>Assessed Valuation for 2012:</v>
      </c>
      <c r="B7" s="10"/>
      <c r="C7" s="10"/>
      <c r="D7" s="10"/>
      <c r="E7" s="36"/>
    </row>
    <row r="8" spans="1:5">
      <c r="A8" s="13" t="s">
        <v>707</v>
      </c>
      <c r="B8" s="14"/>
      <c r="C8" s="14"/>
      <c r="D8" s="14"/>
      <c r="E8" s="35">
        <v>17391098</v>
      </c>
    </row>
    <row r="9" spans="1:5">
      <c r="A9" s="15" t="str">
        <f ca="1">inputPrYr!$D$6</f>
        <v>Paradise City</v>
      </c>
      <c r="B9" s="16"/>
      <c r="C9" s="16"/>
      <c r="D9" s="16"/>
      <c r="E9" s="35">
        <v>194160</v>
      </c>
    </row>
    <row r="10" spans="1:5">
      <c r="A10" s="15">
        <f ca="1">inputPrYr!$D$7</f>
        <v>0</v>
      </c>
      <c r="B10" s="16"/>
      <c r="C10" s="16"/>
      <c r="D10" s="16"/>
      <c r="E10" s="35"/>
    </row>
    <row r="11" spans="1:5">
      <c r="A11" s="15" t="str">
        <f>CONCATENATE("Total Assessed Valuation for ",$E$1-1,"")</f>
        <v>Total Assessed Valuation for 2012</v>
      </c>
      <c r="B11" s="16"/>
      <c r="C11" s="16"/>
      <c r="D11" s="16"/>
      <c r="E11" s="55">
        <f>SUM(E8:E10)</f>
        <v>17585258</v>
      </c>
    </row>
    <row r="12" spans="1:5">
      <c r="A12" s="56" t="str">
        <f>CONCATENATE("New Improvements for ",E1-1,":")</f>
        <v>New Improvements for 2012:</v>
      </c>
      <c r="B12" s="10"/>
      <c r="C12" s="10"/>
      <c r="D12" s="10"/>
      <c r="E12" s="34"/>
    </row>
    <row r="13" spans="1:5">
      <c r="A13" s="13" t="s">
        <v>707</v>
      </c>
      <c r="B13" s="14"/>
      <c r="C13" s="14"/>
      <c r="D13" s="14"/>
      <c r="E13" s="54">
        <v>4953</v>
      </c>
    </row>
    <row r="14" spans="1:5">
      <c r="A14" s="15" t="str">
        <f ca="1">inputPrYr!$D$6</f>
        <v>Paradise City</v>
      </c>
      <c r="B14" s="14"/>
      <c r="C14" s="14"/>
      <c r="D14" s="14"/>
      <c r="E14" s="3"/>
    </row>
    <row r="15" spans="1:5">
      <c r="A15" s="15">
        <f ca="1">inputPrYr!$D$7</f>
        <v>0</v>
      </c>
      <c r="B15" s="14"/>
      <c r="C15" s="14"/>
      <c r="D15" s="14"/>
      <c r="E15" s="3"/>
    </row>
    <row r="16" spans="1:5">
      <c r="A16" s="15" t="str">
        <f>CONCATENATE("Total New Improvements for ",$E$1-1,"")</f>
        <v>Total New Improvements for 2012</v>
      </c>
      <c r="B16" s="16"/>
      <c r="C16" s="16"/>
      <c r="D16" s="16"/>
      <c r="E16" s="53">
        <f>SUM(E13:E15)</f>
        <v>4953</v>
      </c>
    </row>
    <row r="17" spans="1:5">
      <c r="A17" s="56" t="str">
        <f>CONCATENATE("Personal Property excluding oil, gas, and mobile homes- ",E1-1,":")</f>
        <v>Personal Property excluding oil, gas, and mobile homes- 2012:</v>
      </c>
      <c r="B17" s="10"/>
      <c r="C17" s="10"/>
      <c r="D17" s="10"/>
      <c r="E17" s="34"/>
    </row>
    <row r="18" spans="1:5">
      <c r="A18" s="13" t="s">
        <v>707</v>
      </c>
      <c r="B18" s="14"/>
      <c r="C18" s="14"/>
      <c r="D18" s="14"/>
      <c r="E18" s="54">
        <v>54447</v>
      </c>
    </row>
    <row r="19" spans="1:5">
      <c r="A19" s="15" t="str">
        <f ca="1">inputPrYr!$D$6</f>
        <v>Paradise City</v>
      </c>
      <c r="B19" s="16"/>
      <c r="C19" s="16"/>
      <c r="D19" s="16"/>
      <c r="E19" s="3">
        <v>9305</v>
      </c>
    </row>
    <row r="20" spans="1:5">
      <c r="A20" s="15">
        <f ca="1">inputPrYr!$D$7</f>
        <v>0</v>
      </c>
      <c r="B20" s="16"/>
      <c r="C20" s="16"/>
      <c r="D20" s="16"/>
      <c r="E20" s="3"/>
    </row>
    <row r="21" spans="1:5">
      <c r="A21" s="15" t="str">
        <f>CONCATENATE("Total Personal Property excluding oil, gas, and mobile homes for ",$E$1-1,"")</f>
        <v>Total Personal Property excluding oil, gas, and mobile homes for 2012</v>
      </c>
      <c r="B21" s="16"/>
      <c r="C21" s="16"/>
      <c r="D21" s="16"/>
      <c r="E21" s="53">
        <f>SUM(E18:E20)</f>
        <v>63752</v>
      </c>
    </row>
    <row r="22" spans="1:5">
      <c r="A22" s="56" t="str">
        <f>CONCATENATE("Property that has changed in use for ",E1-1,":")</f>
        <v>Property that has changed in use for 2012:</v>
      </c>
      <c r="B22" s="10"/>
      <c r="C22" s="10"/>
      <c r="D22" s="10"/>
      <c r="E22" s="34"/>
    </row>
    <row r="23" spans="1:5">
      <c r="A23" s="13" t="s">
        <v>707</v>
      </c>
      <c r="B23" s="14"/>
      <c r="C23" s="14"/>
      <c r="D23" s="14"/>
      <c r="E23" s="54">
        <v>3376</v>
      </c>
    </row>
    <row r="24" spans="1:5">
      <c r="A24" s="15" t="str">
        <f ca="1">inputPrYr!$D$6</f>
        <v>Paradise City</v>
      </c>
      <c r="B24" s="16"/>
      <c r="C24" s="16"/>
      <c r="D24" s="16"/>
      <c r="E24" s="3">
        <v>1</v>
      </c>
    </row>
    <row r="25" spans="1:5">
      <c r="A25" s="15">
        <f ca="1">inputPrYr!$D$7</f>
        <v>0</v>
      </c>
      <c r="B25" s="16"/>
      <c r="C25" s="16"/>
      <c r="D25" s="16"/>
      <c r="E25" s="3"/>
    </row>
    <row r="26" spans="1:5">
      <c r="A26" s="15" t="str">
        <f>CONCATENATE("Total Property that has changed in use for ",$E$1-1,"")</f>
        <v>Total Property that has changed in use for 2012</v>
      </c>
      <c r="B26" s="16"/>
      <c r="C26" s="16"/>
      <c r="D26" s="16"/>
      <c r="E26" s="53">
        <f>SUM(E23:E25)</f>
        <v>3377</v>
      </c>
    </row>
    <row r="27" spans="1:5">
      <c r="A27" s="56" t="str">
        <f>CONCATENATE("Personal Property excluding oil, gas, and mobile homes- ",E1-2,":")</f>
        <v>Personal Property excluding oil, gas, and mobile homes- 2011:</v>
      </c>
      <c r="B27" s="10"/>
      <c r="C27" s="10"/>
      <c r="D27" s="10"/>
      <c r="E27" s="34"/>
    </row>
    <row r="28" spans="1:5">
      <c r="A28" s="13" t="s">
        <v>707</v>
      </c>
      <c r="B28" s="14"/>
      <c r="C28" s="14"/>
      <c r="D28" s="14"/>
      <c r="E28" s="54">
        <v>50078</v>
      </c>
    </row>
    <row r="29" spans="1:5">
      <c r="A29" s="15" t="str">
        <f ca="1">inputPrYr!$D$6</f>
        <v>Paradise City</v>
      </c>
      <c r="B29" s="16"/>
      <c r="C29" s="16"/>
      <c r="D29" s="16"/>
      <c r="E29" s="3">
        <v>9405</v>
      </c>
    </row>
    <row r="30" spans="1:5">
      <c r="A30" s="15">
        <f ca="1">inputPrYr!$D$7</f>
        <v>0</v>
      </c>
      <c r="B30" s="16"/>
      <c r="C30" s="16"/>
      <c r="D30" s="16"/>
      <c r="E30" s="3"/>
    </row>
    <row r="31" spans="1:5">
      <c r="A31" s="15" t="str">
        <f>CONCATENATE("Total Personal Property excluding oil, gas, and mobile homes for ",$E$1-2,"")</f>
        <v>Total Personal Property excluding oil, gas, and mobile homes for 2011</v>
      </c>
      <c r="B31" s="16"/>
      <c r="C31" s="16"/>
      <c r="D31" s="16"/>
      <c r="E31" s="53">
        <f>SUM(E28:E30)</f>
        <v>59483</v>
      </c>
    </row>
    <row r="32" spans="1:5">
      <c r="A32" s="15" t="str">
        <f>CONCATENATE("Gross earnings (intangible) tax estimate for ",E1,"")</f>
        <v>Gross earnings (intangible) tax estimate for 2013</v>
      </c>
      <c r="B32" s="16"/>
      <c r="C32" s="16"/>
      <c r="D32" s="16"/>
      <c r="E32" s="3"/>
    </row>
    <row r="33" spans="1:5">
      <c r="A33" s="15" t="str">
        <f>CONCATENATE("Neighborhood Revitalization for ",E1,"")</f>
        <v>Neighborhood Revitalization for 2013</v>
      </c>
      <c r="B33" s="16"/>
      <c r="C33" s="16"/>
      <c r="D33" s="16"/>
      <c r="E33" s="3"/>
    </row>
    <row r="34" spans="1:5">
      <c r="A34" s="6"/>
      <c r="B34" s="10"/>
      <c r="C34" s="10"/>
      <c r="D34" s="10"/>
      <c r="E34" s="34"/>
    </row>
    <row r="35" spans="1:5">
      <c r="A35" s="56" t="str">
        <f>CONCATENATE("Actual Tax Rates for the ",E1-1," Budget:")</f>
        <v>Actual Tax Rates for the 2012 Budget:</v>
      </c>
      <c r="B35" s="10"/>
      <c r="C35" s="10"/>
      <c r="D35" s="10"/>
      <c r="E35" s="36"/>
    </row>
    <row r="36" spans="1:5">
      <c r="A36" s="451" t="s">
        <v>108</v>
      </c>
      <c r="B36" s="452"/>
      <c r="C36" s="30"/>
      <c r="D36" s="37" t="s">
        <v>121</v>
      </c>
      <c r="E36" s="36"/>
    </row>
    <row r="37" spans="1:5">
      <c r="A37" s="13" t="str">
        <f ca="1">inputPrYr!B20</f>
        <v>General</v>
      </c>
      <c r="B37" s="14"/>
      <c r="C37" s="10"/>
      <c r="D37" s="50">
        <v>0.45400000000000001</v>
      </c>
      <c r="E37" s="36"/>
    </row>
    <row r="38" spans="1:5">
      <c r="A38" s="13" t="str">
        <f ca="1">inputPrYr!B21</f>
        <v>Debt Service</v>
      </c>
      <c r="B38" s="16"/>
      <c r="C38" s="10"/>
      <c r="D38" s="51"/>
      <c r="E38" s="36"/>
    </row>
    <row r="39" spans="1:5">
      <c r="A39" s="13" t="str">
        <f ca="1">inputPrYr!B22</f>
        <v>Road</v>
      </c>
      <c r="B39" s="16"/>
      <c r="C39" s="10"/>
      <c r="D39" s="51">
        <v>8.0120000000000005</v>
      </c>
      <c r="E39" s="36"/>
    </row>
    <row r="40" spans="1:5">
      <c r="A40" s="13" t="str">
        <f ca="1">inputPrYr!B23</f>
        <v>Special Road</v>
      </c>
      <c r="B40" s="16"/>
      <c r="C40" s="10"/>
      <c r="D40" s="51"/>
      <c r="E40" s="36"/>
    </row>
    <row r="41" spans="1:5">
      <c r="A41" s="13" t="str">
        <f ca="1">inputPrYr!B24</f>
        <v>Noxious Weed</v>
      </c>
      <c r="B41" s="16"/>
      <c r="C41" s="10"/>
      <c r="D41" s="51"/>
      <c r="E41" s="36"/>
    </row>
    <row r="42" spans="1:5">
      <c r="A42" s="13" t="str">
        <f ca="1">inputPrYr!B25</f>
        <v>Fire Protection</v>
      </c>
      <c r="B42" s="16"/>
      <c r="C42" s="10"/>
      <c r="D42" s="52"/>
      <c r="E42" s="36"/>
    </row>
    <row r="43" spans="1:5">
      <c r="A43" s="13">
        <f ca="1">inputPrYr!B26</f>
        <v>0</v>
      </c>
      <c r="B43" s="16"/>
      <c r="C43" s="10"/>
      <c r="D43" s="52"/>
      <c r="E43" s="36"/>
    </row>
    <row r="44" spans="1:5">
      <c r="A44" s="13">
        <f ca="1">inputPrYr!B27</f>
        <v>0</v>
      </c>
      <c r="B44" s="16"/>
      <c r="C44" s="10"/>
      <c r="D44" s="52"/>
      <c r="E44" s="36"/>
    </row>
    <row r="45" spans="1:5">
      <c r="A45" s="13">
        <f ca="1">inputPrYr!B28</f>
        <v>0</v>
      </c>
      <c r="B45" s="16"/>
      <c r="C45" s="10"/>
      <c r="D45" s="52"/>
      <c r="E45" s="36"/>
    </row>
    <row r="46" spans="1:5">
      <c r="A46" s="13">
        <f ca="1">inputPrYr!B29</f>
        <v>0</v>
      </c>
      <c r="B46" s="16"/>
      <c r="C46" s="10"/>
      <c r="D46" s="52"/>
      <c r="E46" s="36"/>
    </row>
    <row r="47" spans="1:5">
      <c r="A47" s="13">
        <f ca="1">inputPrYr!B31</f>
        <v>0</v>
      </c>
      <c r="B47" s="16"/>
      <c r="C47" s="10"/>
      <c r="D47" s="52"/>
      <c r="E47" s="36"/>
    </row>
    <row r="48" spans="1:5">
      <c r="A48" s="5"/>
      <c r="B48" s="10" t="s">
        <v>98</v>
      </c>
      <c r="C48" s="10"/>
      <c r="D48" s="44">
        <f>SUM(D37:D47)</f>
        <v>8.4660000000000011</v>
      </c>
      <c r="E48" s="5"/>
    </row>
    <row r="49" spans="1:5">
      <c r="A49" s="5"/>
      <c r="B49" s="5"/>
      <c r="C49" s="5"/>
      <c r="D49" s="5"/>
      <c r="E49" s="5"/>
    </row>
    <row r="50" spans="1:5">
      <c r="A50" s="49" t="str">
        <f>CONCATENATE("Final Assessed Valuation from the November 1, ",E1-2," Abstract:")</f>
        <v>Final Assessed Valuation from the November 1, 2011 Abstract:</v>
      </c>
      <c r="B50" s="10"/>
      <c r="C50" s="10"/>
      <c r="D50" s="10"/>
      <c r="E50" s="9"/>
    </row>
    <row r="51" spans="1:5">
      <c r="A51" s="14" t="s">
        <v>707</v>
      </c>
      <c r="B51" s="14"/>
      <c r="C51" s="14"/>
      <c r="D51" s="14"/>
      <c r="E51" s="4">
        <v>14861441</v>
      </c>
    </row>
    <row r="52" spans="1:5">
      <c r="A52" s="16" t="str">
        <f ca="1">inputPrYr!D6</f>
        <v>Paradise City</v>
      </c>
      <c r="B52" s="16"/>
      <c r="C52" s="16"/>
      <c r="D52" s="20"/>
      <c r="E52" s="4">
        <v>199700</v>
      </c>
    </row>
    <row r="53" spans="1:5">
      <c r="A53" s="16">
        <f ca="1">inputPrYr!D7</f>
        <v>0</v>
      </c>
      <c r="B53" s="16"/>
      <c r="C53" s="16"/>
      <c r="D53" s="20"/>
      <c r="E53" s="4"/>
    </row>
    <row r="54" spans="1:5">
      <c r="A54" s="16" t="str">
        <f>CONCATENATE("Total  Final Assessed Valuation from the November 1, ",E1-2," Abstract:")</f>
        <v>Total  Final Assessed Valuation from the November 1, 2011 Abstract:</v>
      </c>
      <c r="B54" s="16"/>
      <c r="C54" s="16"/>
      <c r="D54" s="20"/>
      <c r="E54" s="48">
        <f>SUM(E51:E53)</f>
        <v>15061141</v>
      </c>
    </row>
    <row r="55" spans="1:5">
      <c r="A55" s="5"/>
      <c r="B55" s="5"/>
      <c r="C55" s="5"/>
      <c r="D55" s="5"/>
      <c r="E55" s="5"/>
    </row>
    <row r="56" spans="1:5">
      <c r="A56" s="18" t="str">
        <f>CONCATENATE("From the County Treasurer's Budget Information - ",E1," Budget Year Estimates:")</f>
        <v>From the County Treasurer's Budget Information - 2013 Budget Year Estimates:</v>
      </c>
      <c r="B56" s="19"/>
      <c r="C56" s="19"/>
      <c r="D56" s="38"/>
      <c r="E56" s="58"/>
    </row>
    <row r="57" spans="1:5">
      <c r="A57" s="45" t="s">
        <v>699</v>
      </c>
      <c r="B57" s="14"/>
      <c r="C57" s="14"/>
      <c r="D57" s="8"/>
      <c r="E57" s="7"/>
    </row>
    <row r="58" spans="1:5">
      <c r="A58" s="13" t="s">
        <v>656</v>
      </c>
      <c r="B58" s="14"/>
      <c r="C58" s="14"/>
      <c r="D58" s="39"/>
      <c r="E58" s="2">
        <v>1571</v>
      </c>
    </row>
    <row r="59" spans="1:5">
      <c r="A59" s="15" t="s">
        <v>99</v>
      </c>
      <c r="B59" s="16"/>
      <c r="C59" s="16"/>
      <c r="D59" s="40"/>
      <c r="E59" s="2">
        <v>43</v>
      </c>
    </row>
    <row r="60" spans="1:5">
      <c r="A60" s="15" t="s">
        <v>657</v>
      </c>
      <c r="B60" s="16"/>
      <c r="C60" s="16"/>
      <c r="D60" s="40"/>
      <c r="E60" s="2">
        <v>871</v>
      </c>
    </row>
    <row r="61" spans="1:5">
      <c r="A61" s="46" t="s">
        <v>703</v>
      </c>
      <c r="B61" s="47"/>
      <c r="C61" s="16"/>
      <c r="D61" s="40"/>
      <c r="E61" s="31"/>
    </row>
    <row r="62" spans="1:5">
      <c r="A62" s="13" t="s">
        <v>700</v>
      </c>
      <c r="B62" s="16"/>
      <c r="C62" s="16"/>
      <c r="D62" s="40"/>
      <c r="E62" s="2"/>
    </row>
    <row r="63" spans="1:5">
      <c r="A63" s="15" t="s">
        <v>701</v>
      </c>
      <c r="B63" s="16"/>
      <c r="C63" s="16"/>
      <c r="D63" s="40"/>
      <c r="E63" s="2"/>
    </row>
    <row r="64" spans="1:5">
      <c r="A64" s="15" t="s">
        <v>702</v>
      </c>
      <c r="B64" s="16"/>
      <c r="C64" s="16"/>
      <c r="D64" s="40"/>
      <c r="E64" s="2"/>
    </row>
    <row r="65" spans="1:5">
      <c r="A65" s="46" t="s">
        <v>704</v>
      </c>
      <c r="B65" s="47"/>
      <c r="C65" s="16"/>
      <c r="D65" s="40"/>
      <c r="E65" s="31"/>
    </row>
    <row r="66" spans="1:5">
      <c r="A66" s="13" t="s">
        <v>700</v>
      </c>
      <c r="B66" s="16"/>
      <c r="C66" s="16"/>
      <c r="D66" s="40"/>
      <c r="E66" s="2"/>
    </row>
    <row r="67" spans="1:5">
      <c r="A67" s="15" t="s">
        <v>701</v>
      </c>
      <c r="B67" s="16"/>
      <c r="C67" s="16"/>
      <c r="D67" s="40"/>
      <c r="E67" s="2"/>
    </row>
    <row r="68" spans="1:5">
      <c r="A68" s="15" t="s">
        <v>702</v>
      </c>
      <c r="B68" s="16"/>
      <c r="C68" s="16"/>
      <c r="D68" s="40"/>
      <c r="E68" s="2"/>
    </row>
    <row r="69" spans="1:5">
      <c r="A69" s="15"/>
      <c r="B69" s="16"/>
      <c r="C69" s="16"/>
      <c r="D69" s="40"/>
      <c r="E69" s="31"/>
    </row>
    <row r="70" spans="1:5">
      <c r="A70" s="15" t="s">
        <v>658</v>
      </c>
      <c r="B70" s="16"/>
      <c r="C70" s="16"/>
      <c r="D70" s="40"/>
      <c r="E70" s="2"/>
    </row>
    <row r="71" spans="1:5">
      <c r="A71" s="15" t="s">
        <v>659</v>
      </c>
      <c r="B71" s="16"/>
      <c r="C71" s="16"/>
      <c r="D71" s="40"/>
      <c r="E71" s="2"/>
    </row>
    <row r="72" spans="1:5">
      <c r="A72" s="15" t="s">
        <v>595</v>
      </c>
      <c r="B72" s="14"/>
      <c r="C72" s="14"/>
      <c r="D72" s="39"/>
      <c r="E72" s="2">
        <v>5492</v>
      </c>
    </row>
    <row r="73" spans="1:5" ht="33" customHeight="1">
      <c r="A73" s="455" t="s">
        <v>705</v>
      </c>
      <c r="B73" s="456"/>
      <c r="C73" s="456"/>
      <c r="D73" s="456"/>
      <c r="E73" s="456"/>
    </row>
    <row r="74" spans="1:5">
      <c r="A74" s="5"/>
      <c r="B74" s="5"/>
      <c r="C74" s="5"/>
      <c r="D74" s="5"/>
      <c r="E74" s="5"/>
    </row>
    <row r="75" spans="1:5">
      <c r="A75" s="12" t="s">
        <v>660</v>
      </c>
      <c r="B75" s="11"/>
      <c r="C75" s="11"/>
      <c r="D75" s="5"/>
      <c r="E75" s="5"/>
    </row>
    <row r="76" spans="1:5">
      <c r="A76" s="17" t="str">
        <f>CONCATENATE("Actual Delinquency for ",E1-2," Tax (round to three decimal places)")</f>
        <v>Actual Delinquency for 2011 Tax (round to three decimal places)</v>
      </c>
      <c r="B76" s="10"/>
      <c r="C76" s="5"/>
      <c r="D76" s="5"/>
      <c r="E76" s="41"/>
    </row>
    <row r="77" spans="1:5">
      <c r="A77" s="17" t="s">
        <v>706</v>
      </c>
      <c r="B77" s="17"/>
      <c r="C77" s="10"/>
      <c r="D77" s="10"/>
      <c r="E77" s="42"/>
    </row>
    <row r="78" spans="1:5" ht="34.5" customHeight="1">
      <c r="A78" s="447" t="s">
        <v>661</v>
      </c>
      <c r="B78" s="448"/>
      <c r="C78" s="448"/>
      <c r="D78" s="448"/>
      <c r="E78" s="448"/>
    </row>
    <row r="79" spans="1:5">
      <c r="A79" s="33"/>
      <c r="B79" s="33"/>
      <c r="C79" s="33"/>
      <c r="D79" s="33"/>
      <c r="E79" s="33"/>
    </row>
    <row r="80" spans="1:5">
      <c r="A80" s="443" t="str">
        <f>CONCATENATE("From the ",E1-2," Budget Certificate Page")</f>
        <v>From the 2011 Budget Certificate Page</v>
      </c>
      <c r="B80" s="444"/>
      <c r="C80" s="33"/>
      <c r="D80" s="33"/>
      <c r="E80" s="33"/>
    </row>
    <row r="81" spans="1:5">
      <c r="A81" s="59"/>
      <c r="B81" s="59" t="str">
        <f>CONCATENATE("",E1-2," Expenditure Amounts")</f>
        <v>2011 Expenditure Amounts</v>
      </c>
      <c r="C81" s="445" t="str">
        <f>CONCATENATE("Note: If the ",E1-2," budget was amended, then the")</f>
        <v>Note: If the 2011 budget was amended, then the</v>
      </c>
      <c r="D81" s="446"/>
      <c r="E81" s="446"/>
    </row>
    <row r="82" spans="1:5">
      <c r="A82" s="60" t="s">
        <v>19</v>
      </c>
      <c r="B82" s="60" t="s">
        <v>20</v>
      </c>
      <c r="C82" s="61" t="s">
        <v>21</v>
      </c>
      <c r="D82" s="62"/>
      <c r="E82" s="62"/>
    </row>
    <row r="83" spans="1:5">
      <c r="A83" s="63" t="str">
        <f ca="1">inputPrYr!B20</f>
        <v>General</v>
      </c>
      <c r="B83" s="4">
        <v>7000</v>
      </c>
      <c r="C83" s="61" t="s">
        <v>22</v>
      </c>
      <c r="D83" s="64"/>
      <c r="E83" s="64"/>
    </row>
    <row r="84" spans="1:5">
      <c r="A84" s="63" t="str">
        <f ca="1">inputPrYr!B21</f>
        <v>Debt Service</v>
      </c>
      <c r="B84" s="4"/>
      <c r="C84" s="61"/>
      <c r="D84" s="64"/>
      <c r="E84" s="64"/>
    </row>
    <row r="85" spans="1:5">
      <c r="A85" s="63" t="str">
        <f ca="1">inputPrYr!B22</f>
        <v>Road</v>
      </c>
      <c r="B85" s="4">
        <v>120000</v>
      </c>
      <c r="C85" s="33"/>
      <c r="D85" s="33"/>
      <c r="E85" s="33"/>
    </row>
    <row r="86" spans="1:5">
      <c r="A86" s="63" t="str">
        <f ca="1">inputPrYr!B23</f>
        <v>Special Road</v>
      </c>
      <c r="B86" s="4"/>
      <c r="C86" s="33"/>
      <c r="D86" s="33"/>
      <c r="E86" s="33"/>
    </row>
    <row r="87" spans="1:5">
      <c r="A87" s="63" t="str">
        <f ca="1">inputPrYr!B24</f>
        <v>Noxious Weed</v>
      </c>
      <c r="B87" s="4"/>
      <c r="C87" s="33"/>
      <c r="D87" s="33"/>
      <c r="E87" s="33"/>
    </row>
    <row r="88" spans="1:5">
      <c r="A88" s="63" t="str">
        <f ca="1">inputPrYr!B25</f>
        <v>Fire Protection</v>
      </c>
      <c r="B88" s="4"/>
      <c r="C88" s="33"/>
      <c r="D88" s="33"/>
      <c r="E88" s="33"/>
    </row>
    <row r="89" spans="1:5">
      <c r="A89" s="63">
        <f ca="1">inputPrYr!B26</f>
        <v>0</v>
      </c>
      <c r="B89" s="4"/>
      <c r="C89" s="33"/>
      <c r="D89" s="33"/>
      <c r="E89" s="33"/>
    </row>
    <row r="90" spans="1:5">
      <c r="A90" s="63">
        <f ca="1">inputPrYr!B27</f>
        <v>0</v>
      </c>
      <c r="B90" s="4"/>
      <c r="C90" s="33"/>
      <c r="D90" s="33"/>
      <c r="E90" s="33"/>
    </row>
    <row r="91" spans="1:5">
      <c r="A91" s="63">
        <f ca="1">inputPrYr!B28</f>
        <v>0</v>
      </c>
      <c r="B91" s="4"/>
      <c r="C91" s="33"/>
      <c r="D91" s="33"/>
      <c r="E91" s="33"/>
    </row>
    <row r="92" spans="1:5">
      <c r="A92" s="63">
        <f ca="1">inputPrYr!B29</f>
        <v>0</v>
      </c>
      <c r="B92" s="4"/>
      <c r="C92" s="33"/>
      <c r="D92" s="33"/>
      <c r="E92" s="33"/>
    </row>
    <row r="93" spans="1:5">
      <c r="A93" s="63">
        <f ca="1">inputPrYr!B31</f>
        <v>0</v>
      </c>
      <c r="B93" s="4"/>
      <c r="C93" s="33"/>
      <c r="D93" s="33"/>
      <c r="E93" s="33"/>
    </row>
    <row r="94" spans="1:5">
      <c r="A94" s="63">
        <f ca="1">inputPrYr!B35</f>
        <v>0</v>
      </c>
      <c r="B94" s="4"/>
      <c r="C94" s="33"/>
      <c r="D94" s="33"/>
      <c r="E94" s="33"/>
    </row>
    <row r="95" spans="1:5">
      <c r="A95" s="63">
        <f ca="1">inputPrYr!B36</f>
        <v>0</v>
      </c>
      <c r="B95" s="4"/>
      <c r="C95" s="33"/>
      <c r="D95" s="33"/>
      <c r="E95" s="33"/>
    </row>
    <row r="96" spans="1:5">
      <c r="A96" s="63">
        <f ca="1">inputPrYr!B37</f>
        <v>0</v>
      </c>
      <c r="B96" s="4"/>
      <c r="C96" s="33"/>
      <c r="D96" s="33"/>
      <c r="E96" s="33"/>
    </row>
    <row r="97" spans="1:5">
      <c r="A97" s="63">
        <f ca="1">inputPrYr!B38</f>
        <v>0</v>
      </c>
      <c r="B97" s="4"/>
      <c r="C97" s="33"/>
      <c r="D97" s="33"/>
      <c r="E97" s="33"/>
    </row>
  </sheetData>
  <sheetProtection sheet="1" objects="1" scenarios="1"/>
  <mergeCells count="7">
    <mergeCell ref="A80:B80"/>
    <mergeCell ref="C81:E81"/>
    <mergeCell ref="A78:E78"/>
    <mergeCell ref="A4:E4"/>
    <mergeCell ref="A36:B36"/>
    <mergeCell ref="A6:E6"/>
    <mergeCell ref="A73:E73"/>
  </mergeCells>
  <phoneticPr fontId="12" type="noConversion"/>
  <pageMargins left="0.75" right="0.75" top="1" bottom="1" header="0.5" footer="0.5"/>
  <pageSetup scale="47" orientation="portrait" blackAndWhite="1" r:id="rId1"/>
  <headerFooter alignWithMargins="0">
    <oddFooter>&amp;Lrevised 2/23/09</oddFooter>
  </headerFooter>
</worksheet>
</file>

<file path=xl/worksheets/sheet30.xml><?xml version="1.0" encoding="utf-8"?>
<worksheet xmlns="http://schemas.openxmlformats.org/spreadsheetml/2006/main" xmlns:r="http://schemas.openxmlformats.org/officeDocument/2006/relationships">
  <sheetPr codeName="Sheet20"/>
  <dimension ref="A1:A111"/>
  <sheetViews>
    <sheetView workbookViewId="0">
      <selection activeCell="A2" sqref="A2"/>
    </sheetView>
  </sheetViews>
  <sheetFormatPr defaultRowHeight="15.75"/>
  <cols>
    <col min="1" max="1" width="72.09765625" style="119" customWidth="1"/>
    <col min="2" max="16384" width="8.796875" style="119"/>
  </cols>
  <sheetData>
    <row r="1" spans="1:1">
      <c r="A1" s="433" t="s">
        <v>527</v>
      </c>
    </row>
    <row r="2" spans="1:1" ht="36" customHeight="1">
      <c r="A2" s="226" t="s">
        <v>528</v>
      </c>
    </row>
    <row r="4" spans="1:1">
      <c r="A4" s="433" t="s">
        <v>523</v>
      </c>
    </row>
    <row r="5" spans="1:1">
      <c r="A5" s="119" t="s">
        <v>524</v>
      </c>
    </row>
    <row r="6" spans="1:1">
      <c r="A6" s="119" t="s">
        <v>525</v>
      </c>
    </row>
    <row r="7" spans="1:1">
      <c r="A7" s="119" t="s">
        <v>526</v>
      </c>
    </row>
    <row r="9" spans="1:1">
      <c r="A9" s="433" t="s">
        <v>512</v>
      </c>
    </row>
    <row r="10" spans="1:1">
      <c r="A10" s="119" t="s">
        <v>522</v>
      </c>
    </row>
    <row r="12" spans="1:1">
      <c r="A12" s="432" t="s">
        <v>242</v>
      </c>
    </row>
    <row r="13" spans="1:1">
      <c r="A13" s="119" t="s">
        <v>243</v>
      </c>
    </row>
    <row r="14" spans="1:1">
      <c r="A14" s="119" t="s">
        <v>244</v>
      </c>
    </row>
    <row r="15" spans="1:1">
      <c r="A15" s="119" t="s">
        <v>292</v>
      </c>
    </row>
    <row r="16" spans="1:1">
      <c r="A16" s="119" t="s">
        <v>293</v>
      </c>
    </row>
    <row r="17" spans="1:1">
      <c r="A17" s="119" t="s">
        <v>295</v>
      </c>
    </row>
    <row r="18" spans="1:1">
      <c r="A18" s="119" t="s">
        <v>510</v>
      </c>
    </row>
    <row r="20" spans="1:1">
      <c r="A20" s="432" t="s">
        <v>181</v>
      </c>
    </row>
    <row r="21" spans="1:1">
      <c r="A21" s="119" t="s">
        <v>182</v>
      </c>
    </row>
    <row r="22" spans="1:1">
      <c r="A22" s="119" t="s">
        <v>183</v>
      </c>
    </row>
    <row r="23" spans="1:1">
      <c r="A23" s="119" t="s">
        <v>184</v>
      </c>
    </row>
    <row r="24" spans="1:1">
      <c r="A24" s="119" t="s">
        <v>185</v>
      </c>
    </row>
    <row r="25" spans="1:1">
      <c r="A25" s="119" t="s">
        <v>186</v>
      </c>
    </row>
    <row r="26" spans="1:1">
      <c r="A26" s="119" t="s">
        <v>187</v>
      </c>
    </row>
    <row r="27" spans="1:1">
      <c r="A27" s="119" t="s">
        <v>188</v>
      </c>
    </row>
    <row r="28" spans="1:1">
      <c r="A28" s="119" t="s">
        <v>190</v>
      </c>
    </row>
    <row r="29" spans="1:1">
      <c r="A29" s="119" t="s">
        <v>191</v>
      </c>
    </row>
    <row r="30" spans="1:1">
      <c r="A30" s="119" t="s">
        <v>207</v>
      </c>
    </row>
    <row r="31" spans="1:1">
      <c r="A31" s="119" t="s">
        <v>208</v>
      </c>
    </row>
    <row r="32" spans="1:1">
      <c r="A32" s="119" t="s">
        <v>209</v>
      </c>
    </row>
    <row r="33" spans="1:1">
      <c r="A33" s="119" t="s">
        <v>210</v>
      </c>
    </row>
    <row r="34" spans="1:1">
      <c r="A34" s="119" t="s">
        <v>225</v>
      </c>
    </row>
    <row r="35" spans="1:1">
      <c r="A35" s="119" t="s">
        <v>226</v>
      </c>
    </row>
    <row r="36" spans="1:1">
      <c r="A36" s="119" t="s">
        <v>238</v>
      </c>
    </row>
    <row r="37" spans="1:1">
      <c r="A37" s="412" t="s">
        <v>239</v>
      </c>
    </row>
    <row r="39" spans="1:1">
      <c r="A39" s="432" t="s">
        <v>176</v>
      </c>
    </row>
    <row r="40" spans="1:1">
      <c r="A40" s="119" t="s">
        <v>177</v>
      </c>
    </row>
    <row r="42" spans="1:1">
      <c r="A42" s="432" t="s">
        <v>174</v>
      </c>
    </row>
    <row r="43" spans="1:1">
      <c r="A43" s="119" t="s">
        <v>175</v>
      </c>
    </row>
    <row r="45" spans="1:1">
      <c r="A45" s="432" t="s">
        <v>170</v>
      </c>
    </row>
    <row r="46" spans="1:1">
      <c r="A46" s="119" t="s">
        <v>171</v>
      </c>
    </row>
    <row r="47" spans="1:1">
      <c r="A47" s="119" t="s">
        <v>172</v>
      </c>
    </row>
    <row r="48" spans="1:1">
      <c r="A48" s="119" t="s">
        <v>173</v>
      </c>
    </row>
    <row r="50" spans="1:1">
      <c r="A50" s="432" t="s">
        <v>166</v>
      </c>
    </row>
    <row r="51" spans="1:1">
      <c r="A51" s="119" t="s">
        <v>167</v>
      </c>
    </row>
    <row r="52" spans="1:1">
      <c r="A52" s="119" t="s">
        <v>168</v>
      </c>
    </row>
    <row r="54" spans="1:1">
      <c r="A54" s="432" t="s">
        <v>77</v>
      </c>
    </row>
    <row r="55" spans="1:1">
      <c r="A55" s="119" t="s">
        <v>49</v>
      </c>
    </row>
    <row r="56" spans="1:1" ht="31.5">
      <c r="A56" s="226" t="s">
        <v>50</v>
      </c>
    </row>
    <row r="57" spans="1:1">
      <c r="A57" s="119" t="s">
        <v>63</v>
      </c>
    </row>
    <row r="58" spans="1:1">
      <c r="A58" s="119" t="s">
        <v>64</v>
      </c>
    </row>
    <row r="59" spans="1:1">
      <c r="A59" s="119" t="s">
        <v>65</v>
      </c>
    </row>
    <row r="60" spans="1:1">
      <c r="A60" s="119" t="s">
        <v>66</v>
      </c>
    </row>
    <row r="61" spans="1:1" ht="31.5">
      <c r="A61" s="226" t="s">
        <v>58</v>
      </c>
    </row>
    <row r="62" spans="1:1" ht="31.5">
      <c r="A62" s="226" t="s">
        <v>67</v>
      </c>
    </row>
    <row r="63" spans="1:1" ht="31.5">
      <c r="A63" s="226" t="s">
        <v>68</v>
      </c>
    </row>
    <row r="64" spans="1:1">
      <c r="A64" s="226" t="s">
        <v>69</v>
      </c>
    </row>
    <row r="65" spans="1:1" ht="31.5">
      <c r="A65" s="226" t="s">
        <v>70</v>
      </c>
    </row>
    <row r="66" spans="1:1">
      <c r="A66" s="119" t="s">
        <v>71</v>
      </c>
    </row>
    <row r="67" spans="1:1">
      <c r="A67" s="119" t="s">
        <v>72</v>
      </c>
    </row>
    <row r="68" spans="1:1">
      <c r="A68" s="119" t="s">
        <v>73</v>
      </c>
    </row>
    <row r="69" spans="1:1">
      <c r="A69" s="119" t="s">
        <v>74</v>
      </c>
    </row>
    <row r="70" spans="1:1" ht="31.5">
      <c r="A70" s="226" t="s">
        <v>75</v>
      </c>
    </row>
    <row r="71" spans="1:1">
      <c r="A71" s="226" t="s">
        <v>51</v>
      </c>
    </row>
    <row r="72" spans="1:1" ht="31.5">
      <c r="A72" s="226" t="s">
        <v>59</v>
      </c>
    </row>
    <row r="73" spans="1:1">
      <c r="A73" s="226" t="s">
        <v>52</v>
      </c>
    </row>
    <row r="74" spans="1:1">
      <c r="A74" s="226" t="s">
        <v>53</v>
      </c>
    </row>
    <row r="75" spans="1:1">
      <c r="A75" s="226" t="s">
        <v>54</v>
      </c>
    </row>
    <row r="76" spans="1:1" ht="31.5">
      <c r="A76" s="226" t="s">
        <v>55</v>
      </c>
    </row>
    <row r="77" spans="1:1" ht="31.5">
      <c r="A77" s="226" t="s">
        <v>60</v>
      </c>
    </row>
    <row r="78" spans="1:1" ht="31.5">
      <c r="A78" s="226" t="s">
        <v>56</v>
      </c>
    </row>
    <row r="79" spans="1:1" ht="31.5">
      <c r="A79" s="226" t="s">
        <v>61</v>
      </c>
    </row>
    <row r="80" spans="1:1">
      <c r="A80" s="226" t="s">
        <v>62</v>
      </c>
    </row>
    <row r="81" spans="1:1">
      <c r="A81" s="226"/>
    </row>
    <row r="82" spans="1:1">
      <c r="A82" s="432" t="s">
        <v>684</v>
      </c>
    </row>
    <row r="83" spans="1:1" ht="47.25">
      <c r="A83" s="226" t="s">
        <v>9</v>
      </c>
    </row>
    <row r="84" spans="1:1">
      <c r="A84" s="119" t="s">
        <v>685</v>
      </c>
    </row>
    <row r="85" spans="1:1">
      <c r="A85" s="119" t="s">
        <v>689</v>
      </c>
    </row>
    <row r="86" spans="1:1">
      <c r="A86" s="119" t="s">
        <v>690</v>
      </c>
    </row>
    <row r="87" spans="1:1">
      <c r="A87" s="119" t="s">
        <v>686</v>
      </c>
    </row>
    <row r="88" spans="1:1">
      <c r="A88" s="119" t="s">
        <v>687</v>
      </c>
    </row>
    <row r="89" spans="1:1">
      <c r="A89" s="119" t="s">
        <v>688</v>
      </c>
    </row>
    <row r="90" spans="1:1">
      <c r="A90" s="226" t="s">
        <v>90</v>
      </c>
    </row>
    <row r="91" spans="1:1">
      <c r="A91" s="119" t="s">
        <v>691</v>
      </c>
    </row>
    <row r="92" spans="1:1">
      <c r="A92" s="119" t="s">
        <v>692</v>
      </c>
    </row>
    <row r="93" spans="1:1">
      <c r="A93" s="119" t="s">
        <v>10</v>
      </c>
    </row>
    <row r="94" spans="1:1">
      <c r="A94" s="119" t="s">
        <v>0</v>
      </c>
    </row>
    <row r="95" spans="1:1">
      <c r="A95" s="119" t="s">
        <v>11</v>
      </c>
    </row>
    <row r="96" spans="1:1">
      <c r="A96" s="119" t="s">
        <v>693</v>
      </c>
    </row>
    <row r="97" spans="1:1">
      <c r="A97" s="119" t="s">
        <v>91</v>
      </c>
    </row>
    <row r="98" spans="1:1">
      <c r="A98" s="119" t="s">
        <v>694</v>
      </c>
    </row>
    <row r="99" spans="1:1">
      <c r="A99" s="119" t="s">
        <v>1</v>
      </c>
    </row>
    <row r="100" spans="1:1" ht="31.5">
      <c r="A100" s="226" t="s">
        <v>2</v>
      </c>
    </row>
    <row r="101" spans="1:1">
      <c r="A101" s="119" t="s">
        <v>3</v>
      </c>
    </row>
    <row r="102" spans="1:1">
      <c r="A102" s="119" t="s">
        <v>12</v>
      </c>
    </row>
    <row r="103" spans="1:1">
      <c r="A103" s="119" t="s">
        <v>57</v>
      </c>
    </row>
    <row r="104" spans="1:1">
      <c r="A104" s="119" t="s">
        <v>89</v>
      </c>
    </row>
    <row r="105" spans="1:1">
      <c r="A105" s="119" t="s">
        <v>14</v>
      </c>
    </row>
    <row r="106" spans="1:1">
      <c r="A106" s="119" t="s">
        <v>88</v>
      </c>
    </row>
    <row r="107" spans="1:1">
      <c r="A107" s="119" t="s">
        <v>18</v>
      </c>
    </row>
    <row r="108" spans="1:1">
      <c r="A108" s="119" t="s">
        <v>23</v>
      </c>
    </row>
    <row r="109" spans="1:1">
      <c r="A109" s="119" t="s">
        <v>24</v>
      </c>
    </row>
    <row r="110" spans="1:1">
      <c r="A110" s="119" t="s">
        <v>35</v>
      </c>
    </row>
    <row r="111" spans="1:1">
      <c r="A111" s="119" t="s">
        <v>36</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5" sqref="B5"/>
    </sheetView>
  </sheetViews>
  <sheetFormatPr defaultRowHeight="15.75"/>
  <cols>
    <col min="1" max="1" width="13.69921875" style="413" customWidth="1"/>
    <col min="2" max="2" width="16" style="413" bestFit="1" customWidth="1"/>
    <col min="3" max="16384" width="8.796875" style="413"/>
  </cols>
  <sheetData>
    <row r="2" spans="1:6" ht="31.5" customHeight="1">
      <c r="A2" s="457" t="s">
        <v>250</v>
      </c>
      <c r="B2" s="458"/>
      <c r="C2" s="458"/>
      <c r="D2" s="458"/>
      <c r="E2" s="458"/>
      <c r="F2" s="458"/>
    </row>
    <row r="4" spans="1:6">
      <c r="D4" s="414"/>
    </row>
    <row r="5" spans="1:6">
      <c r="A5" s="225" t="s">
        <v>245</v>
      </c>
      <c r="B5" s="415" t="s">
        <v>273</v>
      </c>
      <c r="C5" s="416"/>
      <c r="D5" s="225" t="s">
        <v>294</v>
      </c>
    </row>
    <row r="6" spans="1:6">
      <c r="A6" s="225"/>
      <c r="B6" s="417"/>
      <c r="C6" s="418"/>
      <c r="D6" s="225"/>
    </row>
    <row r="7" spans="1:6">
      <c r="A7" s="225" t="s">
        <v>246</v>
      </c>
      <c r="B7" s="415" t="s">
        <v>533</v>
      </c>
      <c r="C7" s="419"/>
      <c r="D7" s="225"/>
    </row>
    <row r="8" spans="1:6">
      <c r="A8" s="225"/>
      <c r="B8" s="225"/>
      <c r="C8" s="225"/>
      <c r="D8" s="225"/>
    </row>
    <row r="9" spans="1:6">
      <c r="A9" s="225" t="s">
        <v>247</v>
      </c>
      <c r="B9" s="159" t="s">
        <v>532</v>
      </c>
      <c r="C9" s="159"/>
      <c r="D9" s="159"/>
      <c r="E9" s="420"/>
    </row>
    <row r="10" spans="1:6">
      <c r="A10" s="225"/>
      <c r="B10" s="225"/>
      <c r="C10" s="225"/>
      <c r="D10" s="225"/>
    </row>
    <row r="11" spans="1:6">
      <c r="A11" s="225"/>
      <c r="B11" s="225"/>
      <c r="C11" s="225"/>
      <c r="D11" s="225"/>
    </row>
    <row r="12" spans="1:6">
      <c r="A12" s="225" t="s">
        <v>248</v>
      </c>
      <c r="B12" s="159" t="s">
        <v>532</v>
      </c>
      <c r="C12" s="159"/>
      <c r="D12" s="159"/>
      <c r="E12" s="420"/>
    </row>
    <row r="15" spans="1:6">
      <c r="A15" s="459" t="s">
        <v>251</v>
      </c>
      <c r="B15" s="459"/>
      <c r="C15" s="225"/>
      <c r="D15" s="225"/>
      <c r="E15" s="225"/>
    </row>
    <row r="16" spans="1:6">
      <c r="A16" s="225"/>
      <c r="B16" s="225"/>
      <c r="C16" s="225"/>
      <c r="D16" s="225"/>
      <c r="E16" s="225"/>
    </row>
    <row r="17" spans="1:5">
      <c r="A17" s="225" t="s">
        <v>245</v>
      </c>
      <c r="B17" s="417" t="s">
        <v>249</v>
      </c>
      <c r="C17" s="225"/>
      <c r="D17" s="225"/>
      <c r="E17" s="225"/>
    </row>
    <row r="18" spans="1:5">
      <c r="A18" s="225"/>
      <c r="B18" s="225"/>
      <c r="C18" s="225"/>
      <c r="D18" s="225"/>
      <c r="E18" s="225"/>
    </row>
    <row r="19" spans="1:5">
      <c r="A19" s="225" t="s">
        <v>246</v>
      </c>
      <c r="B19" s="225" t="s">
        <v>252</v>
      </c>
      <c r="C19" s="225"/>
      <c r="D19" s="225"/>
      <c r="E19" s="225"/>
    </row>
    <row r="20" spans="1:5">
      <c r="A20" s="225"/>
      <c r="B20" s="225"/>
      <c r="C20" s="225"/>
      <c r="D20" s="225"/>
      <c r="E20" s="225"/>
    </row>
    <row r="21" spans="1:5">
      <c r="A21" s="225" t="s">
        <v>247</v>
      </c>
      <c r="B21" s="225" t="s">
        <v>253</v>
      </c>
      <c r="C21" s="225"/>
      <c r="D21" s="225"/>
      <c r="E21" s="225"/>
    </row>
    <row r="22" spans="1:5">
      <c r="A22" s="225"/>
      <c r="B22" s="225"/>
      <c r="C22" s="225"/>
      <c r="D22" s="225"/>
      <c r="E22" s="225"/>
    </row>
    <row r="23" spans="1:5">
      <c r="A23" s="225" t="s">
        <v>248</v>
      </c>
      <c r="B23" s="225" t="s">
        <v>254</v>
      </c>
      <c r="C23" s="225"/>
      <c r="D23" s="225"/>
      <c r="E23" s="225"/>
    </row>
  </sheetData>
  <sheetProtection sheet="1" objects="1" scenarios="1"/>
  <mergeCells count="2">
    <mergeCell ref="A2:F2"/>
    <mergeCell ref="A15:B15"/>
  </mergeCells>
  <phoneticPr fontId="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18">
    <pageSetUpPr fitToPage="1"/>
  </sheetPr>
  <dimension ref="A1:I111"/>
  <sheetViews>
    <sheetView tabSelected="1" topLeftCell="A2" workbookViewId="0">
      <selection activeCell="A20" sqref="A20:H22"/>
    </sheetView>
  </sheetViews>
  <sheetFormatPr defaultRowHeight="15.75"/>
  <cols>
    <col min="1" max="1" width="20.69921875" style="162" customWidth="1"/>
    <col min="2" max="2" width="12.69921875" style="162" customWidth="1"/>
    <col min="3" max="3" width="9.69921875" style="162" customWidth="1"/>
    <col min="4" max="4" width="12.69921875" style="162" customWidth="1"/>
    <col min="5" max="5" width="9.69921875" style="162" customWidth="1"/>
    <col min="6" max="6" width="12.69921875" style="162" customWidth="1"/>
    <col min="7" max="7" width="10.69921875" style="162" customWidth="1"/>
    <col min="8" max="8" width="9.69921875" style="162" customWidth="1"/>
    <col min="9" max="16384" width="8.796875" style="162"/>
  </cols>
  <sheetData>
    <row r="1" spans="1:9" hidden="1">
      <c r="A1" s="167" t="s">
        <v>566</v>
      </c>
      <c r="B1" s="68"/>
      <c r="C1" s="68"/>
      <c r="D1" s="68"/>
      <c r="E1" s="68"/>
      <c r="F1" s="68"/>
      <c r="G1" s="68"/>
      <c r="H1" s="68">
        <f ca="1">inputPrYr!D9</f>
        <v>2013</v>
      </c>
    </row>
    <row r="2" spans="1:9">
      <c r="A2" s="67"/>
      <c r="B2" s="67"/>
      <c r="C2" s="67"/>
      <c r="D2" s="67"/>
      <c r="E2" s="67"/>
      <c r="F2" s="76" t="s">
        <v>156</v>
      </c>
      <c r="G2" s="76" t="s">
        <v>157</v>
      </c>
      <c r="H2" s="67"/>
    </row>
    <row r="3" spans="1:9">
      <c r="A3" s="460" t="s">
        <v>158</v>
      </c>
      <c r="B3" s="460"/>
      <c r="C3" s="460"/>
      <c r="D3" s="460"/>
      <c r="E3" s="460"/>
      <c r="F3" s="460"/>
      <c r="G3" s="460"/>
      <c r="H3" s="460"/>
    </row>
    <row r="4" spans="1:9">
      <c r="A4" s="465" t="str">
        <f ca="1">inputPrYr!D3</f>
        <v>Paradise Township</v>
      </c>
      <c r="B4" s="465"/>
      <c r="C4" s="465"/>
      <c r="D4" s="465"/>
      <c r="E4" s="465"/>
      <c r="F4" s="465"/>
      <c r="G4" s="465"/>
      <c r="H4" s="465"/>
    </row>
    <row r="5" spans="1:9">
      <c r="A5" s="465" t="str">
        <f ca="1">inputPrYr!D4</f>
        <v>Russell County</v>
      </c>
      <c r="B5" s="465"/>
      <c r="C5" s="465"/>
      <c r="D5" s="465"/>
      <c r="E5" s="465"/>
      <c r="F5" s="465"/>
      <c r="G5" s="465"/>
      <c r="H5" s="465"/>
    </row>
    <row r="6" spans="1:9">
      <c r="A6" s="464" t="str">
        <f ca="1">CONCATENATE("will meet on ",inputBudSum!B5," at ",inputBudSum!B7," at ",inputBudSum!B9," for the purpose of hearing and")</f>
        <v>will meet on July 30, 2012 at 8 pm. at the Paradise Township Building for the purpose of hearing and</v>
      </c>
      <c r="B6" s="464"/>
      <c r="C6" s="464"/>
      <c r="D6" s="464"/>
      <c r="E6" s="464"/>
      <c r="F6" s="464"/>
      <c r="G6" s="464"/>
      <c r="H6" s="464"/>
    </row>
    <row r="7" spans="1:9">
      <c r="A7" s="71" t="s">
        <v>296</v>
      </c>
      <c r="B7" s="68"/>
      <c r="C7" s="68"/>
      <c r="D7" s="68"/>
      <c r="E7" s="68"/>
      <c r="F7" s="68"/>
      <c r="G7" s="68"/>
      <c r="H7" s="68"/>
    </row>
    <row r="8" spans="1:9">
      <c r="A8" s="466" t="str">
        <f ca="1">CONCATENATE("Detailed budget information is available at ",inputBudSum!B12," and will be available at this hearing.")</f>
        <v>Detailed budget information is available at the Paradise Township Building and will be available at this hearing.</v>
      </c>
      <c r="B8" s="467"/>
      <c r="C8" s="467"/>
      <c r="D8" s="467"/>
      <c r="E8" s="467"/>
      <c r="F8" s="467"/>
      <c r="G8" s="467"/>
      <c r="H8" s="467"/>
    </row>
    <row r="9" spans="1:9">
      <c r="A9" s="167" t="s">
        <v>567</v>
      </c>
      <c r="B9" s="168"/>
      <c r="C9" s="168"/>
      <c r="D9" s="168"/>
      <c r="E9" s="168"/>
      <c r="F9" s="168"/>
      <c r="G9" s="168"/>
      <c r="H9" s="168"/>
    </row>
    <row r="10" spans="1:9">
      <c r="A10" s="71" t="str">
        <f>CONCATENATE("Proposed Budget ",H1," Expenditures and Amount of ",H1-1," Ad Valorem Tax establish the maximum limits")</f>
        <v>Proposed Budget 2013 Expenditures and Amount of 2012 Ad Valorem Tax establish the maximum limits</v>
      </c>
      <c r="B10" s="68"/>
      <c r="C10" s="68"/>
      <c r="D10" s="68"/>
      <c r="E10" s="68"/>
      <c r="F10" s="68"/>
      <c r="G10" s="68"/>
      <c r="H10" s="68"/>
    </row>
    <row r="11" spans="1:9">
      <c r="A11" s="71" t="str">
        <f>CONCATENATE("of the ",H1," budget.  Estimated Tax Rate is subject to change depending on the final assessed valuation.")</f>
        <v>of the 2013 budget.  Estimated Tax Rate is subject to change depending on the final assessed valuation.</v>
      </c>
      <c r="B11" s="68"/>
      <c r="C11" s="68"/>
      <c r="D11" s="68"/>
      <c r="E11" s="68"/>
      <c r="F11" s="68"/>
      <c r="G11" s="68"/>
      <c r="H11" s="68"/>
    </row>
    <row r="12" spans="1:9">
      <c r="A12" s="76"/>
      <c r="B12" s="75"/>
      <c r="C12" s="75"/>
      <c r="D12" s="75"/>
      <c r="E12" s="75"/>
      <c r="F12" s="75"/>
      <c r="G12" s="75"/>
      <c r="H12" s="75"/>
      <c r="I12" s="206"/>
    </row>
    <row r="13" spans="1:9">
      <c r="A13" s="67"/>
      <c r="B13" s="207" t="str">
        <f>CONCATENATE("Prior Year Actual ",H1-2,"")</f>
        <v>Prior Year Actual 2011</v>
      </c>
      <c r="C13" s="208"/>
      <c r="D13" s="207" t="str">
        <f>CONCATENATE("Current Year Estimate ",H1-1,"")</f>
        <v>Current Year Estimate 2012</v>
      </c>
      <c r="E13" s="209"/>
      <c r="F13" s="210" t="str">
        <f>CONCATENATE("Proposed Budget ",H1,"")</f>
        <v>Proposed Budget 2013</v>
      </c>
      <c r="G13" s="211"/>
      <c r="H13" s="209"/>
      <c r="I13" s="206"/>
    </row>
    <row r="14" spans="1:9" ht="22.5" customHeight="1">
      <c r="A14" s="67"/>
      <c r="B14" s="212"/>
      <c r="C14" s="78" t="s">
        <v>150</v>
      </c>
      <c r="D14" s="78"/>
      <c r="E14" s="78" t="s">
        <v>150</v>
      </c>
      <c r="F14" s="213"/>
      <c r="G14" s="461" t="str">
        <f>CONCATENATE("Amount of ",H1-1," Ad Valorem Tax")</f>
        <v>Amount of 2012 Ad Valorem Tax</v>
      </c>
      <c r="H14" s="78" t="s">
        <v>159</v>
      </c>
      <c r="I14" s="206"/>
    </row>
    <row r="15" spans="1:9">
      <c r="A15" s="67"/>
      <c r="B15" s="80"/>
      <c r="C15" s="80" t="s">
        <v>160</v>
      </c>
      <c r="D15" s="80"/>
      <c r="E15" s="80" t="s">
        <v>160</v>
      </c>
      <c r="F15" s="80"/>
      <c r="G15" s="462"/>
      <c r="H15" s="80" t="s">
        <v>160</v>
      </c>
      <c r="I15" s="206"/>
    </row>
    <row r="16" spans="1:9">
      <c r="A16" s="214" t="s">
        <v>108</v>
      </c>
      <c r="B16" s="83" t="s">
        <v>161</v>
      </c>
      <c r="C16" s="83" t="s">
        <v>162</v>
      </c>
      <c r="D16" s="83" t="s">
        <v>161</v>
      </c>
      <c r="E16" s="83" t="s">
        <v>162</v>
      </c>
      <c r="F16" s="83" t="s">
        <v>161</v>
      </c>
      <c r="G16" s="463"/>
      <c r="H16" s="83" t="s">
        <v>162</v>
      </c>
      <c r="I16" s="206"/>
    </row>
    <row r="17" spans="1:9">
      <c r="A17" s="94" t="str">
        <f ca="1">inputPrYr!B20</f>
        <v>General</v>
      </c>
      <c r="B17" s="94">
        <f ca="1">IF(gen!$C$46&lt;&gt;0,gen!$C$46,"  ")</f>
        <v>6843</v>
      </c>
      <c r="C17" s="97">
        <f ca="1">IF(inputPrYr!D49&gt;0,inputPrYr!D49,"  ")</f>
        <v>0.46200000000000002</v>
      </c>
      <c r="D17" s="94">
        <f ca="1">IF(gen!$E$46&lt;&gt;0,gen!$E$46,"  ")</f>
        <v>7000</v>
      </c>
      <c r="E17" s="97">
        <f ca="1">IF(inputOth!D37&gt;0,inputOth!D37,"  ")</f>
        <v>0.45400000000000001</v>
      </c>
      <c r="F17" s="94">
        <f ca="1">IF(gen!$G$46&lt;&gt;0,gen!$G$46,"  ")</f>
        <v>8450</v>
      </c>
      <c r="G17" s="94">
        <f ca="1">IF(gen!$G$52&lt;&gt;0,gen!$G$52,"")</f>
        <v>8222</v>
      </c>
      <c r="H17" s="97">
        <f ca="1">IF(gen!G52&gt;0,ROUND(G17/F38*1000,3)," ")</f>
        <v>0.46800000000000003</v>
      </c>
      <c r="I17" s="206"/>
    </row>
    <row r="18" spans="1:9" hidden="1">
      <c r="A18" s="94" t="s">
        <v>169</v>
      </c>
      <c r="B18" s="94" t="str">
        <f ca="1">IF(DebtService!$C$51&lt;&gt;0,DebtService!$C$51,"  ")</f>
        <v xml:space="preserve">  </v>
      </c>
      <c r="C18" s="97" t="str">
        <f ca="1">IF(inputPrYr!D50&gt;0,inputPrYr!D50,"  ")</f>
        <v xml:space="preserve">  </v>
      </c>
      <c r="D18" s="94" t="str">
        <f ca="1">IF(DebtService!$E$51&lt;&gt;0,DebtService!$E$51,"  ")</f>
        <v xml:space="preserve">  </v>
      </c>
      <c r="E18" s="97" t="str">
        <f ca="1">IF(inputOth!D38&gt;0,inputOth!D38,"  ")</f>
        <v xml:space="preserve">  </v>
      </c>
      <c r="F18" s="94" t="str">
        <f ca="1">IF(DebtService!$G$51&lt;&gt;0,DebtService!$G$51,"  ")</f>
        <v xml:space="preserve">  </v>
      </c>
      <c r="G18" s="94" t="str">
        <f ca="1">IF(DebtService!$G$57&lt;&gt;0,DebtService!$G$57," ")</f>
        <v xml:space="preserve"> </v>
      </c>
      <c r="H18" s="97" t="str">
        <f ca="1">IF(DebtService!G57&gt;0,ROUND(G18/F38*1000,3)," ")</f>
        <v xml:space="preserve"> </v>
      </c>
      <c r="I18" s="206"/>
    </row>
    <row r="19" spans="1:9">
      <c r="A19" s="94" t="str">
        <f ca="1">IF(inputPrYr!$B22&gt;"  ",inputPrYr!$B22,"  ")</f>
        <v>Road</v>
      </c>
      <c r="B19" s="94">
        <f ca="1">IF(road!$C$41&lt;&gt;0,road!$C$41,"  ")</f>
        <v>101580</v>
      </c>
      <c r="C19" s="97">
        <f ca="1">IF(inputPrYr!D51&gt;0,inputPrYr!D51,"  ")</f>
        <v>7.9279999999999999</v>
      </c>
      <c r="D19" s="94">
        <f ca="1">IF(road!$E$41&lt;&gt;0,road!$E$41,"  ")</f>
        <v>130000</v>
      </c>
      <c r="E19" s="97">
        <f ca="1">IF(inputOth!D39&gt;0,inputOth!D39,"  ")</f>
        <v>8.0120000000000005</v>
      </c>
      <c r="F19" s="94">
        <f ca="1">IF(road!$G$41&lt;&gt;0,road!$G$41,"  ")</f>
        <v>157000</v>
      </c>
      <c r="G19" s="94">
        <f ca="1">IF(road!$G$47&lt;&gt;0,road!$G$47,"  ")</f>
        <v>130771</v>
      </c>
      <c r="H19" s="97">
        <f ca="1">IF(road!G47&gt;0,ROUND(G19/F39*1000,3)," ")</f>
        <v>7.5190000000000001</v>
      </c>
    </row>
    <row r="20" spans="1:9" hidden="1">
      <c r="A20" s="94" t="str">
        <f ca="1">IF(inputPrYr!$B23&gt;"  ",inputPrYr!$B23,"  ")</f>
        <v>Special Road</v>
      </c>
      <c r="B20" s="94" t="str">
        <f ca="1">IF('SpecRoad&amp;Noxious'!$C$31&lt;&gt;0,'SpecRoad&amp;Noxious'!$C$31,"  ")</f>
        <v xml:space="preserve">  </v>
      </c>
      <c r="C20" s="97" t="str">
        <f ca="1">IF(inputPrYr!D52&gt;0,inputPrYr!D52,"  ")</f>
        <v xml:space="preserve">  </v>
      </c>
      <c r="D20" s="94" t="str">
        <f ca="1">IF('SpecRoad&amp;Noxious'!$E$31&lt;&gt;0,'SpecRoad&amp;Noxious'!$E$31,"  ")</f>
        <v xml:space="preserve">  </v>
      </c>
      <c r="E20" s="97" t="str">
        <f ca="1">IF(inputOth!D40&gt;0,inputOth!D40,"  ")</f>
        <v xml:space="preserve">  </v>
      </c>
      <c r="F20" s="94" t="str">
        <f ca="1">IF('SpecRoad&amp;Noxious'!$G$31&lt;&gt;0,'SpecRoad&amp;Noxious'!$G$31,"  ")</f>
        <v xml:space="preserve">  </v>
      </c>
      <c r="G20" s="94" t="str">
        <f ca="1">IF('SpecRoad&amp;Noxious'!$G$37&lt;&gt;0,'SpecRoad&amp;Noxious'!$G$37,"  ")</f>
        <v xml:space="preserve">  </v>
      </c>
      <c r="H20" s="97" t="str">
        <f ca="1">IF('SpecRoad&amp;Noxious'!G37&gt;0,ROUND(G20/F39*1000,3)," ")</f>
        <v xml:space="preserve"> </v>
      </c>
    </row>
    <row r="21" spans="1:9" hidden="1">
      <c r="A21" s="94" t="str">
        <f ca="1">IF(inputPrYr!$B24&gt;"  ",inputPrYr!$B24,"  ")</f>
        <v>Noxious Weed</v>
      </c>
      <c r="B21" s="94" t="str">
        <f ca="1">IF('SpecRoad&amp;Noxious'!$C$66&lt;&gt;0,'SpecRoad&amp;Noxious'!$C$66,"  ")</f>
        <v xml:space="preserve">  </v>
      </c>
      <c r="C21" s="97" t="str">
        <f ca="1">IF(inputPrYr!D53&gt;0,inputPrYr!D53,"  ")</f>
        <v xml:space="preserve">  </v>
      </c>
      <c r="D21" s="94" t="str">
        <f ca="1">IF('SpecRoad&amp;Noxious'!$E$66&lt;&gt;0,'SpecRoad&amp;Noxious'!$E$66,"  ")</f>
        <v xml:space="preserve">  </v>
      </c>
      <c r="E21" s="97" t="str">
        <f ca="1">IF(inputOth!D41&gt;0,inputOth!D41,"  ")</f>
        <v xml:space="preserve">  </v>
      </c>
      <c r="F21" s="94" t="str">
        <f ca="1">IF('SpecRoad&amp;Noxious'!$G$66&lt;&gt;0,'SpecRoad&amp;Noxious'!$G$66,"  ")</f>
        <v xml:space="preserve">  </v>
      </c>
      <c r="G21" s="94" t="str">
        <f ca="1">IF('SpecRoad&amp;Noxious'!$G$72&lt;&gt;0,'SpecRoad&amp;Noxious'!$G$72,"  ")</f>
        <v xml:space="preserve">  </v>
      </c>
      <c r="H21" s="97" t="str">
        <f ca="1">IF('SpecRoad&amp;Noxious'!G72&gt;0,ROUND(G21/F39*1000,3)," ")</f>
        <v xml:space="preserve"> </v>
      </c>
    </row>
    <row r="22" spans="1:9" hidden="1">
      <c r="A22" s="94" t="str">
        <f ca="1">IF(inputPrYr!$B25&gt;"  ",inputPrYr!$B25,"  ")</f>
        <v>Fire Protection</v>
      </c>
      <c r="B22" s="94" t="str">
        <f ca="1">IF(levypage10!$C$31&lt;&gt;0,levypage10!$C$31,"  ")</f>
        <v xml:space="preserve">  </v>
      </c>
      <c r="C22" s="97" t="str">
        <f ca="1">IF(inputPrYr!D54&gt;0,inputPrYr!D54,"  ")</f>
        <v xml:space="preserve">  </v>
      </c>
      <c r="D22" s="94" t="str">
        <f ca="1">IF(levypage10!$E$31&lt;&gt;0,levypage10!$E$31,"  ")</f>
        <v xml:space="preserve">  </v>
      </c>
      <c r="E22" s="97" t="str">
        <f ca="1">IF(inputOth!D42&gt;0,inputOth!D42,"  ")</f>
        <v xml:space="preserve">  </v>
      </c>
      <c r="F22" s="94" t="str">
        <f ca="1">IF(levypage10!$G$31&lt;&gt;0,levypage10!$G$31,"  ")</f>
        <v xml:space="preserve">  </v>
      </c>
      <c r="G22" s="94" t="str">
        <f ca="1">IF(levypage10!$G$37&lt;&gt;0,levypage10!$G$37,"  ")</f>
        <v xml:space="preserve">  </v>
      </c>
      <c r="H22" s="97" t="str">
        <f ca="1">IF(levypage10!G37&gt;0,ROUND(G22/F39*1000,3)," ")</f>
        <v xml:space="preserve"> </v>
      </c>
    </row>
    <row r="23" spans="1:9" hidden="1">
      <c r="A23" s="94" t="str">
        <f ca="1">IF(inputPrYr!$B26&gt;"  ",inputPrYr!$B26,"  ")</f>
        <v xml:space="preserve">  </v>
      </c>
      <c r="B23" s="94" t="str">
        <f ca="1">IF(levypage10!$C$66&lt;&gt;0,levypage10!$C$66,"  ")</f>
        <v xml:space="preserve">  </v>
      </c>
      <c r="C23" s="97" t="str">
        <f ca="1">IF(inputPrYr!D55&gt;0,inputPrYr!D55,"  ")</f>
        <v xml:space="preserve">  </v>
      </c>
      <c r="D23" s="94" t="str">
        <f ca="1">IF(levypage10!$E$66&lt;&gt;0,levypage10!$E$66,"  ")</f>
        <v xml:space="preserve">  </v>
      </c>
      <c r="E23" s="97" t="str">
        <f ca="1">IF(inputOth!D43&gt;0,inputOth!D43,"  ")</f>
        <v xml:space="preserve">  </v>
      </c>
      <c r="F23" s="94" t="str">
        <f ca="1">IF(levypage10!$G$66&lt;&gt;0,levypage10!$G$66,"  ")</f>
        <v xml:space="preserve">  </v>
      </c>
      <c r="G23" s="94" t="str">
        <f ca="1">IF(levypage10!$G$72&lt;&gt;0,levypage10!$G$72,"  ")</f>
        <v xml:space="preserve">  </v>
      </c>
      <c r="H23" s="97" t="str">
        <f ca="1">IF(levypage10!G72&gt;0,ROUND(G23/F38*1000,3)," ")</f>
        <v xml:space="preserve"> </v>
      </c>
    </row>
    <row r="24" spans="1:9" hidden="1">
      <c r="A24" s="94" t="str">
        <f ca="1">IF(inputPrYr!$B27&gt;"  ",inputPrYr!$B27,"  ")</f>
        <v xml:space="preserve">  </v>
      </c>
      <c r="B24" s="94" t="str">
        <f ca="1">IF(levypage11!$C$31&lt;&gt;0,levypage11!$C$31,"  ")</f>
        <v xml:space="preserve">  </v>
      </c>
      <c r="C24" s="97" t="str">
        <f ca="1">IF(inputPrYr!D56&gt;0,inputPrYr!D56,"  ")</f>
        <v xml:space="preserve">  </v>
      </c>
      <c r="D24" s="94" t="str">
        <f ca="1">IF(levypage11!$E$31&lt;&gt;0,levypage11!$E$31,"  ")</f>
        <v xml:space="preserve">  </v>
      </c>
      <c r="E24" s="97" t="str">
        <f ca="1">IF(inputOth!D44&gt;0,inputOth!D44,"  ")</f>
        <v xml:space="preserve">  </v>
      </c>
      <c r="F24" s="94" t="str">
        <f ca="1">IF(levypage11!$G$31&lt;&gt;0,levypage11!$G$31,"  ")</f>
        <v xml:space="preserve">  </v>
      </c>
      <c r="G24" s="94" t="str">
        <f ca="1">IF(levypage11!$G$37&lt;&gt;0,levypage11!$G$37,"  ")</f>
        <v xml:space="preserve">  </v>
      </c>
      <c r="H24" s="97" t="str">
        <f ca="1">IF(levypage11!G37&gt;0,ROUND(G24/F38*1000,3)," ")</f>
        <v xml:space="preserve"> </v>
      </c>
    </row>
    <row r="25" spans="1:9" hidden="1">
      <c r="A25" s="94" t="str">
        <f ca="1">IF(inputPrYr!$B28&gt;"  ",inputPrYr!$B28,"  ")</f>
        <v xml:space="preserve">  </v>
      </c>
      <c r="B25" s="94" t="str">
        <f ca="1">IF(levypage11!$C$66&lt;&gt;0,levypage11!$C$66,"  ")</f>
        <v xml:space="preserve">  </v>
      </c>
      <c r="C25" s="97" t="str">
        <f ca="1">IF(inputPrYr!D57&gt;0,inputPrYr!D57,"  ")</f>
        <v xml:space="preserve">  </v>
      </c>
      <c r="D25" s="94" t="str">
        <f ca="1">IF(levypage11!$E$66&lt;&gt;0,levypage11!$E$66,"  ")</f>
        <v xml:space="preserve">  </v>
      </c>
      <c r="E25" s="97" t="str">
        <f ca="1">IF(inputOth!D45&gt;0,inputOth!D45,"  ")</f>
        <v xml:space="preserve">  </v>
      </c>
      <c r="F25" s="94" t="str">
        <f ca="1">IF(levypage11!$G$66&lt;&gt;0,levypage11!$G$66,"  ")</f>
        <v xml:space="preserve">  </v>
      </c>
      <c r="G25" s="94" t="str">
        <f ca="1">IF(levypage11!$G$72&lt;&gt;0,levypage11!$G$72,"  ")</f>
        <v xml:space="preserve">  </v>
      </c>
      <c r="H25" s="97" t="str">
        <f ca="1">IF(levypage11!G72&gt;0,ROUND(G25/F38*1000,3)," ")</f>
        <v xml:space="preserve"> </v>
      </c>
    </row>
    <row r="26" spans="1:9" hidden="1">
      <c r="A26" s="94" t="str">
        <f ca="1">IF(inputPrYr!$B29&gt;"  ",inputPrYr!$B29,"  ")</f>
        <v xml:space="preserve">  </v>
      </c>
      <c r="B26" s="94" t="str">
        <f ca="1">IF(levypage12!$C$31&lt;&gt;0,levypage12!$C$31,"  ")</f>
        <v xml:space="preserve">  </v>
      </c>
      <c r="C26" s="97" t="str">
        <f ca="1">IF(inputPrYr!D58&gt;0,inputPrYr!D58,"  ")</f>
        <v xml:space="preserve">  </v>
      </c>
      <c r="D26" s="94" t="str">
        <f ca="1">IF(levypage12!$E$31&lt;&gt;0,levypage12!$E$31,"  ")</f>
        <v xml:space="preserve">  </v>
      </c>
      <c r="E26" s="97" t="str">
        <f ca="1">IF(inputOth!D46&gt;0,inputOth!D46,"  ")</f>
        <v xml:space="preserve">  </v>
      </c>
      <c r="F26" s="94" t="str">
        <f ca="1">IF(levypage12!$G$31&lt;&gt;0,levypage12!$G$31,"  ")</f>
        <v xml:space="preserve">  </v>
      </c>
      <c r="G26" s="94" t="str">
        <f ca="1">IF(levypage12!$G$37&lt;&gt;0,levypage12!$G$37,"  ")</f>
        <v xml:space="preserve">  </v>
      </c>
      <c r="H26" s="97" t="str">
        <f ca="1">IF(levypage12!G37&gt;0,ROUND(G26/F38*1000,3)," ")</f>
        <v xml:space="preserve"> </v>
      </c>
    </row>
    <row r="27" spans="1:9" hidden="1">
      <c r="A27" s="94" t="str">
        <f ca="1">IF(inputPrYr!$B31&gt;"  ",inputPrYr!$B31,"  ")</f>
        <v xml:space="preserve">  </v>
      </c>
      <c r="B27" s="94" t="str">
        <f ca="1">IF(levypage12!$C$66&lt;&gt;0,levypage12!$C$66,"  ")</f>
        <v xml:space="preserve">  </v>
      </c>
      <c r="C27" s="97" t="str">
        <f ca="1">IF(inputPrYr!D59&gt;0,inputPrYr!D59,"  ")</f>
        <v xml:space="preserve">  </v>
      </c>
      <c r="D27" s="94" t="str">
        <f ca="1">IF(levypage12!$E$66&lt;&gt;0,levypage12!$E$66,"  ")</f>
        <v xml:space="preserve">  </v>
      </c>
      <c r="E27" s="97" t="str">
        <f ca="1">IF(inputOth!D47&gt;0,inputOth!D47,"  ")</f>
        <v xml:space="preserve">  </v>
      </c>
      <c r="F27" s="94" t="str">
        <f ca="1">IF(levypage12!$G$66&lt;&gt;0,levypage12!$G$66,"  ")</f>
        <v xml:space="preserve">  </v>
      </c>
      <c r="G27" s="94" t="str">
        <f ca="1">IF(levypage12!$G$72&lt;&gt;0,levypage12!$G$72,"  ")</f>
        <v xml:space="preserve">  </v>
      </c>
      <c r="H27" s="97" t="str">
        <f ca="1">IF(levypage12!G72&gt;0,ROUND(G27/F38*1000,3)," ")</f>
        <v xml:space="preserve"> </v>
      </c>
    </row>
    <row r="28" spans="1:9" hidden="1">
      <c r="A28" s="94" t="str">
        <f ca="1">IF(inputPrYr!$B35&gt;"  ",inputPrYr!$B35,"  ")</f>
        <v xml:space="preserve">  </v>
      </c>
      <c r="B28" s="94" t="str">
        <f ca="1">IF(nolevypage13!$C$28&lt;&gt;0,nolevypage13!$C$28,"  ")</f>
        <v xml:space="preserve">  </v>
      </c>
      <c r="C28" s="97"/>
      <c r="D28" s="94" t="str">
        <f ca="1">IF(nolevypage13!$D$28&lt;&gt;0,nolevypage13!$D$28,"  ")</f>
        <v xml:space="preserve">  </v>
      </c>
      <c r="E28" s="97"/>
      <c r="F28" s="94" t="str">
        <f ca="1">IF(nolevypage13!$E$28&lt;&gt;0,nolevypage13!$E$28,"  ")</f>
        <v xml:space="preserve">  </v>
      </c>
      <c r="G28" s="94"/>
      <c r="H28" s="97"/>
    </row>
    <row r="29" spans="1:9" hidden="1">
      <c r="A29" s="94" t="str">
        <f ca="1">IF(inputPrYr!$B36&gt;"  ",inputPrYr!$B36,"  ")</f>
        <v xml:space="preserve">  </v>
      </c>
      <c r="B29" s="94" t="str">
        <f ca="1">IF(nolevypage13!$C$59&lt;&gt;0,nolevypage13!$C$59,"  ")</f>
        <v xml:space="preserve">  </v>
      </c>
      <c r="C29" s="97"/>
      <c r="D29" s="94" t="str">
        <f ca="1">IF(nolevypage13!$D$59&lt;&gt;0,nolevypage13!$D$59,"  ")</f>
        <v xml:space="preserve">  </v>
      </c>
      <c r="E29" s="97"/>
      <c r="F29" s="94" t="str">
        <f ca="1">IF(nolevypage13!$E$59&lt;&gt;0,nolevypage13!$E$59,"  ")</f>
        <v xml:space="preserve">  </v>
      </c>
      <c r="G29" s="94"/>
      <c r="H29" s="97"/>
    </row>
    <row r="30" spans="1:9" hidden="1">
      <c r="A30" s="94" t="str">
        <f ca="1">IF(inputPrYr!$B37&gt;"  ",inputPrYr!$B37,"  ")</f>
        <v xml:space="preserve">  </v>
      </c>
      <c r="B30" s="94" t="str">
        <f ca="1">IF(nolevypage14!$C$28&lt;&gt;0,nolevypage14!$C$28,"  ")</f>
        <v xml:space="preserve">  </v>
      </c>
      <c r="C30" s="97"/>
      <c r="D30" s="94" t="str">
        <f ca="1">IF(nolevypage14!$D$28&lt;&gt;0,nolevypage14!$D$28,"  ")</f>
        <v xml:space="preserve">  </v>
      </c>
      <c r="E30" s="97"/>
      <c r="F30" s="94" t="str">
        <f ca="1">IF(nolevypage14!$E$28&lt;&gt;0,nolevypage14!$E$28,"  ")</f>
        <v xml:space="preserve">  </v>
      </c>
      <c r="G30" s="94"/>
      <c r="H30" s="97"/>
    </row>
    <row r="31" spans="1:9" hidden="1">
      <c r="A31" s="94" t="str">
        <f ca="1">IF(inputPrYr!$B38&gt;"  ",inputPrYr!$B38,"  ")</f>
        <v xml:space="preserve">  </v>
      </c>
      <c r="B31" s="94" t="str">
        <f ca="1">IF(nolevypage14!$C$59&lt;&gt;0,nolevypage14!$C$59,"  ")</f>
        <v xml:space="preserve">  </v>
      </c>
      <c r="C31" s="97"/>
      <c r="D31" s="94" t="str">
        <f ca="1">IF(nolevypage14!$D$59&lt;&gt;0,nolevypage14!$D$59,"  ")</f>
        <v xml:space="preserve">  </v>
      </c>
      <c r="E31" s="97"/>
      <c r="F31" s="94" t="str">
        <f ca="1">IF(nolevypage14!$E$59&lt;&gt;0,nolevypage14!$E$59,"  ")</f>
        <v xml:space="preserve">  </v>
      </c>
      <c r="G31" s="94"/>
      <c r="H31" s="97"/>
    </row>
    <row r="32" spans="1:9" hidden="1">
      <c r="A32" s="94" t="str">
        <f ca="1">IF((inputPrYr!$B41&gt;"  "),(nonbud!$A3),"  ")</f>
        <v xml:space="preserve">  </v>
      </c>
      <c r="B32" s="272" t="str">
        <f ca="1">IF((nonbud!$K$28)&lt;&gt;0,(nonbud!$K$28),"  ")</f>
        <v xml:space="preserve">  </v>
      </c>
      <c r="C32" s="384"/>
      <c r="D32" s="94"/>
      <c r="E32" s="97"/>
      <c r="F32" s="94"/>
      <c r="G32" s="94"/>
      <c r="H32" s="97"/>
    </row>
    <row r="33" spans="1:8">
      <c r="A33" s="110" t="s">
        <v>110</v>
      </c>
      <c r="B33" s="94" t="str">
        <f ca="1">IF(road!B61&lt;&gt;0,road!B61,"  ")</f>
        <v xml:space="preserve">  </v>
      </c>
      <c r="C33" s="215"/>
      <c r="D33" s="215"/>
      <c r="E33" s="215"/>
      <c r="F33" s="215"/>
      <c r="G33" s="215"/>
      <c r="H33" s="215"/>
    </row>
    <row r="34" spans="1:8">
      <c r="A34" s="110" t="s">
        <v>111</v>
      </c>
      <c r="B34" s="184">
        <f t="shared" ref="B34:H34" si="0">SUM(B17:B33)</f>
        <v>108423</v>
      </c>
      <c r="C34" s="216">
        <f t="shared" si="0"/>
        <v>8.39</v>
      </c>
      <c r="D34" s="184">
        <f t="shared" si="0"/>
        <v>137000</v>
      </c>
      <c r="E34" s="216">
        <f t="shared" si="0"/>
        <v>8.4660000000000011</v>
      </c>
      <c r="F34" s="184">
        <f t="shared" si="0"/>
        <v>165450</v>
      </c>
      <c r="G34" s="184">
        <f t="shared" si="0"/>
        <v>138993</v>
      </c>
      <c r="H34" s="216">
        <f t="shared" si="0"/>
        <v>7.9870000000000001</v>
      </c>
    </row>
    <row r="35" spans="1:8">
      <c r="A35" s="110" t="s">
        <v>163</v>
      </c>
      <c r="B35" s="94">
        <f ca="1">transfer!C29</f>
        <v>30000</v>
      </c>
      <c r="C35" s="67"/>
      <c r="D35" s="94">
        <f ca="1">transfer!D29</f>
        <v>0</v>
      </c>
      <c r="E35" s="217"/>
      <c r="F35" s="94">
        <f ca="1">transfer!E29</f>
        <v>0</v>
      </c>
      <c r="G35" s="67"/>
      <c r="H35" s="67"/>
    </row>
    <row r="36" spans="1:8">
      <c r="A36" s="110" t="s">
        <v>164</v>
      </c>
      <c r="B36" s="184">
        <f>B34-B35</f>
        <v>78423</v>
      </c>
      <c r="C36" s="67"/>
      <c r="D36" s="184">
        <f>D34-D35</f>
        <v>137000</v>
      </c>
      <c r="E36" s="67"/>
      <c r="F36" s="184">
        <f>F34-F35</f>
        <v>165450</v>
      </c>
      <c r="G36" s="67"/>
      <c r="H36" s="67"/>
    </row>
    <row r="37" spans="1:8">
      <c r="A37" s="110" t="s">
        <v>536</v>
      </c>
      <c r="B37" s="94">
        <f ca="1">inputPrYr!E62</f>
        <v>116912</v>
      </c>
      <c r="C37" s="217"/>
      <c r="D37" s="94">
        <f ca="1">inputPrYr!E32</f>
        <v>125916</v>
      </c>
      <c r="E37" s="67"/>
      <c r="F37" s="218" t="s">
        <v>112</v>
      </c>
      <c r="G37" s="67"/>
      <c r="H37" s="67"/>
    </row>
    <row r="38" spans="1:8">
      <c r="A38" s="110" t="s">
        <v>27</v>
      </c>
      <c r="B38" s="94">
        <f ca="1">inputPrYr!E63</f>
        <v>14120892</v>
      </c>
      <c r="C38" s="217"/>
      <c r="D38" s="94">
        <f ca="1">inputOth!E54</f>
        <v>15061141</v>
      </c>
      <c r="E38" s="217"/>
      <c r="F38" s="94">
        <f ca="1">inputOth!E11</f>
        <v>17585258</v>
      </c>
      <c r="G38" s="67"/>
      <c r="H38" s="67"/>
    </row>
    <row r="39" spans="1:8">
      <c r="A39" s="84" t="s">
        <v>92</v>
      </c>
      <c r="B39" s="219"/>
      <c r="C39" s="67"/>
      <c r="D39" s="185"/>
      <c r="E39" s="67"/>
      <c r="F39" s="94">
        <f ca="1">inputOth!E8</f>
        <v>17391098</v>
      </c>
      <c r="G39" s="67"/>
      <c r="H39" s="67"/>
    </row>
    <row r="40" spans="1:8">
      <c r="A40" s="113"/>
      <c r="B40" s="185"/>
      <c r="C40" s="67"/>
      <c r="D40" s="185"/>
      <c r="E40" s="67"/>
      <c r="F40" s="185"/>
      <c r="G40" s="67"/>
      <c r="H40" s="67"/>
    </row>
    <row r="41" spans="1:8">
      <c r="A41" s="76" t="s">
        <v>537</v>
      </c>
      <c r="B41" s="67"/>
      <c r="C41" s="67"/>
      <c r="D41" s="67"/>
      <c r="E41" s="67"/>
      <c r="F41" s="67"/>
      <c r="G41" s="67"/>
      <c r="H41" s="67"/>
    </row>
    <row r="42" spans="1:8">
      <c r="A42" s="76" t="s">
        <v>538</v>
      </c>
      <c r="B42" s="220">
        <f>H1-3</f>
        <v>2010</v>
      </c>
      <c r="C42" s="67"/>
      <c r="D42" s="220">
        <f>H1-2</f>
        <v>2011</v>
      </c>
      <c r="E42" s="67"/>
      <c r="F42" s="220">
        <f>H1-1</f>
        <v>2012</v>
      </c>
      <c r="G42" s="67"/>
      <c r="H42" s="67"/>
    </row>
    <row r="43" spans="1:8">
      <c r="A43" s="76" t="s">
        <v>539</v>
      </c>
      <c r="B43" s="87">
        <f ca="1">inputPrYr!D66</f>
        <v>0</v>
      </c>
      <c r="C43" s="73"/>
      <c r="D43" s="87">
        <f ca="1">inputPrYr!E66</f>
        <v>0</v>
      </c>
      <c r="E43" s="73"/>
      <c r="F43" s="87">
        <f ca="1">debt!E11</f>
        <v>0</v>
      </c>
      <c r="G43" s="67"/>
      <c r="H43" s="67"/>
    </row>
    <row r="44" spans="1:8">
      <c r="A44" s="76" t="s">
        <v>139</v>
      </c>
      <c r="B44" s="87">
        <f ca="1">inputPrYr!D67</f>
        <v>0</v>
      </c>
      <c r="C44" s="73"/>
      <c r="D44" s="87">
        <f ca="1">inputPrYr!E67</f>
        <v>0</v>
      </c>
      <c r="E44" s="73"/>
      <c r="F44" s="87">
        <f ca="1">debt!E15</f>
        <v>0</v>
      </c>
      <c r="G44" s="67"/>
      <c r="H44" s="67"/>
    </row>
    <row r="45" spans="1:8">
      <c r="A45" s="76" t="s">
        <v>540</v>
      </c>
      <c r="B45" s="87">
        <f ca="1">inputPrYr!D68</f>
        <v>0</v>
      </c>
      <c r="C45" s="73"/>
      <c r="D45" s="87">
        <f ca="1">inputPrYr!E68</f>
        <v>0</v>
      </c>
      <c r="E45" s="73"/>
      <c r="F45" s="87">
        <f ca="1">debt!F36</f>
        <v>0</v>
      </c>
      <c r="G45" s="67"/>
      <c r="H45" s="67"/>
    </row>
    <row r="46" spans="1:8" ht="16.5" thickBot="1">
      <c r="A46" s="76" t="s">
        <v>541</v>
      </c>
      <c r="B46" s="104">
        <f>SUM(B43:B45)</f>
        <v>0</v>
      </c>
      <c r="C46" s="73"/>
      <c r="D46" s="104">
        <f>SUM(D43:D45)</f>
        <v>0</v>
      </c>
      <c r="E46" s="73"/>
      <c r="F46" s="104">
        <f>SUM(F43:F45)</f>
        <v>0</v>
      </c>
      <c r="G46" s="67"/>
      <c r="H46" s="67"/>
    </row>
    <row r="47" spans="1:8" ht="16.5" thickTop="1">
      <c r="A47" s="76" t="s">
        <v>542</v>
      </c>
      <c r="B47" s="67"/>
      <c r="C47" s="67"/>
      <c r="D47" s="67"/>
      <c r="E47" s="67"/>
      <c r="F47" s="67"/>
      <c r="G47" s="67"/>
      <c r="H47" s="67"/>
    </row>
    <row r="48" spans="1:8">
      <c r="A48" s="67"/>
      <c r="B48" s="67"/>
      <c r="C48" s="67"/>
      <c r="D48" s="67"/>
      <c r="E48" s="67"/>
      <c r="F48" s="67"/>
      <c r="G48" s="67"/>
      <c r="H48" s="67"/>
    </row>
    <row r="49" spans="1:8">
      <c r="A49" s="115"/>
      <c r="B49" s="115"/>
      <c r="C49" s="67"/>
      <c r="D49" s="67"/>
      <c r="E49" s="67"/>
      <c r="F49" s="67"/>
      <c r="G49" s="67"/>
      <c r="H49" s="67"/>
    </row>
    <row r="50" spans="1:8">
      <c r="A50" s="71" t="s">
        <v>543</v>
      </c>
      <c r="B50" s="68"/>
      <c r="C50" s="67"/>
      <c r="D50" s="67"/>
      <c r="E50" s="67"/>
      <c r="F50" s="67"/>
      <c r="G50" s="67"/>
      <c r="H50" s="67"/>
    </row>
    <row r="51" spans="1:8">
      <c r="A51" s="67"/>
      <c r="B51" s="67"/>
      <c r="C51" s="67"/>
      <c r="D51" s="67"/>
      <c r="E51" s="67"/>
      <c r="F51" s="67"/>
      <c r="G51" s="67"/>
      <c r="H51" s="67"/>
    </row>
    <row r="52" spans="1:8">
      <c r="A52" s="67"/>
      <c r="B52" s="221" t="s">
        <v>127</v>
      </c>
      <c r="C52" s="222"/>
      <c r="D52" s="67"/>
      <c r="E52" s="67"/>
      <c r="F52" s="67"/>
      <c r="G52" s="67"/>
      <c r="H52" s="67"/>
    </row>
    <row r="53" spans="1:8">
      <c r="A53" s="119"/>
      <c r="B53" s="119"/>
      <c r="C53" s="119"/>
    </row>
    <row r="55" spans="1:8">
      <c r="A55" s="119"/>
      <c r="B55" s="119"/>
      <c r="C55" s="119"/>
      <c r="D55" s="119"/>
      <c r="E55" s="119"/>
      <c r="F55" s="119"/>
      <c r="G55" s="119"/>
    </row>
    <row r="56" spans="1:8">
      <c r="H56" s="119"/>
    </row>
    <row r="77" spans="1:6">
      <c r="A77" s="119"/>
      <c r="B77" s="119"/>
      <c r="C77" s="119"/>
      <c r="D77" s="119"/>
      <c r="E77" s="119"/>
      <c r="F77" s="119"/>
    </row>
    <row r="84" spans="1:8">
      <c r="A84" s="119"/>
      <c r="B84" s="119"/>
      <c r="C84" s="119"/>
      <c r="D84" s="119"/>
      <c r="E84" s="119"/>
      <c r="F84" s="119"/>
      <c r="G84" s="119"/>
    </row>
    <row r="85" spans="1:8">
      <c r="H85" s="119"/>
    </row>
    <row r="90" spans="1:8">
      <c r="A90" s="119"/>
      <c r="B90" s="119"/>
      <c r="C90" s="119"/>
      <c r="D90" s="119"/>
      <c r="E90" s="119"/>
      <c r="F90" s="119"/>
      <c r="G90" s="119"/>
    </row>
    <row r="91" spans="1:8">
      <c r="H91" s="119"/>
    </row>
    <row r="111" spans="1:7">
      <c r="A111" s="119"/>
      <c r="B111" s="119"/>
      <c r="C111" s="119"/>
      <c r="D111" s="119"/>
      <c r="E111" s="119"/>
      <c r="F111" s="119"/>
      <c r="G111" s="119"/>
    </row>
  </sheetData>
  <mergeCells count="6">
    <mergeCell ref="A3:H3"/>
    <mergeCell ref="G14:G16"/>
    <mergeCell ref="A6:H6"/>
    <mergeCell ref="A5:H5"/>
    <mergeCell ref="A4:H4"/>
    <mergeCell ref="A8:H8"/>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oddFooter>&amp;Lrevised 12/08/09</oddFooter>
  </headerFooter>
</worksheet>
</file>

<file path=xl/worksheets/sheet6.xml><?xml version="1.0" encoding="utf-8"?>
<worksheet xmlns="http://schemas.openxmlformats.org/spreadsheetml/2006/main" xmlns:r="http://schemas.openxmlformats.org/officeDocument/2006/relationships">
  <sheetPr codeName="Sheet4">
    <pageSetUpPr fitToPage="1"/>
  </sheetPr>
  <dimension ref="A1:G70"/>
  <sheetViews>
    <sheetView topLeftCell="A40" workbookViewId="0">
      <selection activeCell="E70" sqref="E70"/>
    </sheetView>
  </sheetViews>
  <sheetFormatPr defaultRowHeight="15.75"/>
  <cols>
    <col min="1" max="1" width="22.3984375" style="119" customWidth="1"/>
    <col min="2" max="2" width="10.8984375" style="119" customWidth="1"/>
    <col min="3" max="3" width="5.69921875" style="119" customWidth="1"/>
    <col min="4" max="4" width="15.69921875" style="119" customWidth="1"/>
    <col min="5" max="5" width="12.69921875" style="119" customWidth="1"/>
    <col min="6" max="6" width="10.69921875" style="119" customWidth="1"/>
    <col min="7" max="16384" width="8.796875" style="119"/>
  </cols>
  <sheetData>
    <row r="1" spans="1:7" s="67" customFormat="1">
      <c r="A1" s="468" t="s">
        <v>562</v>
      </c>
      <c r="B1" s="468"/>
      <c r="C1" s="468"/>
      <c r="D1" s="468"/>
      <c r="E1" s="468"/>
      <c r="F1" s="468"/>
      <c r="G1" s="67">
        <f ca="1">inputPrYr!D9</f>
        <v>2013</v>
      </c>
    </row>
    <row r="2" spans="1:7" s="67" customFormat="1">
      <c r="B2" s="68"/>
      <c r="C2" s="68"/>
      <c r="D2" s="68"/>
      <c r="E2" s="68"/>
      <c r="F2" s="69"/>
    </row>
    <row r="3" spans="1:7" s="67" customFormat="1">
      <c r="A3" s="460" t="str">
        <f ca="1">CONCATENATE("To the Clerk of ",inputPrYr!D4,", State of Kansas")</f>
        <v>To the Clerk of Russell County, State of Kansas</v>
      </c>
      <c r="B3" s="471"/>
      <c r="C3" s="471"/>
      <c r="D3" s="471"/>
      <c r="E3" s="471"/>
      <c r="F3" s="471"/>
      <c r="G3" s="471"/>
    </row>
    <row r="4" spans="1:7" s="67" customFormat="1">
      <c r="A4" s="71" t="s">
        <v>648</v>
      </c>
      <c r="B4" s="68"/>
      <c r="C4" s="68"/>
      <c r="D4" s="68"/>
      <c r="E4" s="68"/>
      <c r="F4" s="68"/>
    </row>
    <row r="5" spans="1:7" s="67" customFormat="1">
      <c r="C5" s="72" t="str">
        <f ca="1">inputPrYr!D3</f>
        <v>Paradise Township</v>
      </c>
    </row>
    <row r="6" spans="1:7" s="67" customFormat="1">
      <c r="A6" s="466" t="s">
        <v>646</v>
      </c>
      <c r="B6" s="471"/>
      <c r="C6" s="471"/>
      <c r="D6" s="471"/>
      <c r="E6" s="471"/>
      <c r="F6" s="471"/>
    </row>
    <row r="7" spans="1:7" s="67" customFormat="1" ht="15.75" customHeight="1">
      <c r="A7" s="460" t="s">
        <v>647</v>
      </c>
      <c r="B7" s="475"/>
      <c r="C7" s="475"/>
      <c r="D7" s="475"/>
      <c r="E7" s="475"/>
      <c r="F7" s="475"/>
    </row>
    <row r="8" spans="1:7" s="67" customFormat="1" ht="15.75" customHeight="1">
      <c r="A8" s="71" t="str">
        <f>CONCATENATE("maximum expenditures for the various funds for the year ",G1,"; and (3) the")</f>
        <v>maximum expenditures for the various funds for the year 2013; and (3) the</v>
      </c>
      <c r="B8" s="68"/>
      <c r="C8" s="68"/>
      <c r="D8" s="68"/>
      <c r="E8" s="68"/>
      <c r="F8" s="68"/>
    </row>
    <row r="9" spans="1:7" s="67" customFormat="1" ht="15.75" customHeight="1">
      <c r="A9" s="71" t="str">
        <f>CONCATENATE("Amount(s) of ",G1-1," Ad Valorem Tax are within statutory limitations for the ",G1," Budget.")</f>
        <v>Amount(s) of 2012 Ad Valorem Tax are within statutory limitations for the 2013 Budget.</v>
      </c>
      <c r="B9" s="68"/>
      <c r="C9" s="68"/>
      <c r="D9" s="68"/>
      <c r="E9" s="68"/>
      <c r="F9" s="68"/>
    </row>
    <row r="10" spans="1:7" s="67" customFormat="1" ht="15.75" customHeight="1">
      <c r="D10" s="74"/>
      <c r="E10" s="74"/>
      <c r="F10" s="74"/>
    </row>
    <row r="11" spans="1:7" s="67" customFormat="1">
      <c r="C11" s="75"/>
      <c r="D11" s="472" t="str">
        <f>CONCATENATE("",G1," Adopted Budget")</f>
        <v>2013 Adopted Budget</v>
      </c>
      <c r="E11" s="473"/>
      <c r="F11" s="474"/>
    </row>
    <row r="12" spans="1:7" s="67" customFormat="1">
      <c r="A12" s="76"/>
      <c r="C12" s="74"/>
      <c r="D12" s="77" t="s">
        <v>100</v>
      </c>
      <c r="E12" s="461" t="str">
        <f>CONCATENATE("Amount of ",G1-1," Ad Valorem Tax")</f>
        <v>Amount of 2012 Ad Valorem Tax</v>
      </c>
      <c r="F12" s="78" t="s">
        <v>101</v>
      </c>
    </row>
    <row r="13" spans="1:7" s="67" customFormat="1">
      <c r="C13" s="78" t="s">
        <v>102</v>
      </c>
      <c r="D13" s="79"/>
      <c r="E13" s="469"/>
      <c r="F13" s="80" t="s">
        <v>103</v>
      </c>
    </row>
    <row r="14" spans="1:7" s="67" customFormat="1">
      <c r="A14" s="81" t="s">
        <v>104</v>
      </c>
      <c r="B14" s="82"/>
      <c r="C14" s="83" t="s">
        <v>105</v>
      </c>
      <c r="D14" s="83" t="s">
        <v>106</v>
      </c>
      <c r="E14" s="470"/>
      <c r="F14" s="83" t="s">
        <v>107</v>
      </c>
    </row>
    <row r="15" spans="1:7" s="67" customFormat="1">
      <c r="A15" s="84" t="str">
        <f>CONCATENATE("Computation to Determine Limit for ",G1,"")</f>
        <v>Computation to Determine Limit for 2013</v>
      </c>
      <c r="B15" s="85"/>
      <c r="C15" s="78">
        <v>2</v>
      </c>
      <c r="D15" s="75"/>
      <c r="E15" s="75"/>
      <c r="F15" s="86"/>
    </row>
    <row r="16" spans="1:7" s="67" customFormat="1">
      <c r="A16" s="84" t="s">
        <v>17</v>
      </c>
      <c r="B16" s="85"/>
      <c r="C16" s="87">
        <v>3</v>
      </c>
      <c r="D16" s="75"/>
      <c r="E16" s="75"/>
      <c r="F16" s="88"/>
    </row>
    <row r="17" spans="1:6" s="67" customFormat="1">
      <c r="A17" s="89" t="s">
        <v>665</v>
      </c>
      <c r="B17" s="85"/>
      <c r="C17" s="87">
        <v>4</v>
      </c>
      <c r="D17" s="75"/>
      <c r="E17" s="75"/>
      <c r="F17" s="88"/>
    </row>
    <row r="18" spans="1:6" s="67" customFormat="1">
      <c r="A18" s="89" t="s">
        <v>637</v>
      </c>
      <c r="B18" s="85"/>
      <c r="C18" s="87">
        <v>5</v>
      </c>
      <c r="D18" s="75"/>
      <c r="E18" s="75"/>
      <c r="F18" s="88"/>
    </row>
    <row r="19" spans="1:6" s="67" customFormat="1">
      <c r="A19" s="90" t="s">
        <v>108</v>
      </c>
      <c r="B19" s="91" t="s">
        <v>109</v>
      </c>
      <c r="C19" s="92"/>
      <c r="F19" s="93"/>
    </row>
    <row r="20" spans="1:6" s="67" customFormat="1">
      <c r="A20" s="94" t="str">
        <f ca="1">inputPrYr!B20</f>
        <v>General</v>
      </c>
      <c r="B20" s="95" t="str">
        <f ca="1">inputPrYr!C20</f>
        <v>79-1962</v>
      </c>
      <c r="C20" s="96" t="str">
        <f ca="1">IF(gen!$B$56&gt;0,gen!$B$56,"  ")</f>
        <v xml:space="preserve">  </v>
      </c>
      <c r="D20" s="87">
        <f ca="1">IF(gen!$G$46&lt;&gt;0,gen!$G$46,"  ")</f>
        <v>8450</v>
      </c>
      <c r="E20" s="87">
        <f ca="1">IF(gen!$G$52&lt;&gt;0,gen!$G$52,0)</f>
        <v>8222</v>
      </c>
      <c r="F20" s="97" t="str">
        <f ca="1">IF(AND(gen!G52=0,$B$46&gt;=0)," ",IF(AND(E20&gt;0,$B$46=0)," ",IF(AND(E20&gt;0,$B$46&gt;0),ROUND(E20/$B$46*1000,3))))</f>
        <v xml:space="preserve"> </v>
      </c>
    </row>
    <row r="21" spans="1:6" s="67" customFormat="1">
      <c r="A21" s="94" t="s">
        <v>169</v>
      </c>
      <c r="B21" s="95" t="str">
        <f ca="1">IF(inputPrYr!C21&gt;0,inputPrYr!C21,"")</f>
        <v>10-113</v>
      </c>
      <c r="C21" s="96" t="str">
        <f ca="1">IF(DebtService!$C$59&gt;0,DebtService!$C$59,"  ")</f>
        <v xml:space="preserve">  </v>
      </c>
      <c r="D21" s="87" t="str">
        <f ca="1">IF(DebtService!$G$51&lt;&gt;0,DebtService!$G$51,"  ")</f>
        <v xml:space="preserve">  </v>
      </c>
      <c r="E21" s="87" t="str">
        <f ca="1">IF(DebtService!$G$57&lt;&gt;0,DebtService!$G$57,"  ")</f>
        <v xml:space="preserve">  </v>
      </c>
      <c r="F21" s="97" t="str">
        <f ca="1">IF(AND(DebtService!G51=0,$B$46&gt;=0)," ",IF(AND(E21&gt;0,$B$46=0)," ",IF(AND(E21&gt;0,$B$46&gt;0),ROUND(E21/$B$46*1000,3))))</f>
        <v xml:space="preserve"> </v>
      </c>
    </row>
    <row r="22" spans="1:6" s="67" customFormat="1">
      <c r="A22" s="94" t="str">
        <f ca="1">IF(inputPrYr!$B22&gt;"  ",inputPrYr!$B22,"  ")</f>
        <v>Road</v>
      </c>
      <c r="B22" s="95" t="str">
        <f ca="1">IF(inputPrYr!C22&gt;0,inputPrYr!C22,"  ")</f>
        <v>68-518c</v>
      </c>
      <c r="C22" s="96" t="str">
        <f ca="1">IF(road!$B$64&gt;0,road!$B$64,"  ")</f>
        <v xml:space="preserve">  </v>
      </c>
      <c r="D22" s="87">
        <f ca="1">IF(road!$G$41&lt;&gt;0,road!$G$41,"  ")</f>
        <v>157000</v>
      </c>
      <c r="E22" s="87">
        <f ca="1">IF(road!$G$47&lt;&gt;0,road!$G$47,"  ")</f>
        <v>130771</v>
      </c>
      <c r="F22" s="97" t="str">
        <f ca="1">IF(AND(road!G47=0,$B$43&gt;=0)," ",IF(AND(E22&gt;0,$B$43=0)," ",IF(AND(E22&gt;0,$B$43&gt;0),ROUND(E22/$B$43*1000,3))))</f>
        <v xml:space="preserve"> </v>
      </c>
    </row>
    <row r="23" spans="1:6" s="67" customFormat="1">
      <c r="A23" s="94" t="str">
        <f ca="1">IF(inputPrYr!$B23&gt;"  ",inputPrYr!$B23,"  ")</f>
        <v>Special Road</v>
      </c>
      <c r="B23" s="95" t="str">
        <f ca="1">IF(inputPrYr!C23&gt;0,inputPrYr!C23,"  ")</f>
        <v>80-1413</v>
      </c>
      <c r="C23" s="96" t="str">
        <f ca="1">IF('SpecRoad&amp;Noxious'!$B$73&gt;0,'SpecRoad&amp;Noxious'!$B$73,"  ")</f>
        <v xml:space="preserve">  </v>
      </c>
      <c r="D23" s="87" t="str">
        <f ca="1">IF('SpecRoad&amp;Noxious'!$G$31&lt;&gt;0,'SpecRoad&amp;Noxious'!$G$31,"  ")</f>
        <v xml:space="preserve">  </v>
      </c>
      <c r="E23" s="87" t="str">
        <f ca="1">IF('SpecRoad&amp;Noxious'!$G$37&lt;&gt;0,'SpecRoad&amp;Noxious'!$G$37,"  ")</f>
        <v xml:space="preserve">  </v>
      </c>
      <c r="F23" s="97" t="str">
        <f ca="1">IF(AND('SpecRoad&amp;Noxious'!G37=0,$B$43&gt;=0)," ",IF(AND(E23&gt;0,$B$43=0)," ",IF(AND(E23&gt;0,$B$43&gt;0),ROUND(E23/$B$43*1000,3))))</f>
        <v xml:space="preserve"> </v>
      </c>
    </row>
    <row r="24" spans="1:6" s="67" customFormat="1">
      <c r="A24" s="94" t="str">
        <f ca="1">IF(inputPrYr!$B24&gt;"  ",inputPrYr!$B24,"  ")</f>
        <v>Noxious Weed</v>
      </c>
      <c r="B24" s="95" t="str">
        <f ca="1">IF(inputPrYr!C24&gt;0,inputPrYr!C24,"  ")</f>
        <v>2-1318</v>
      </c>
      <c r="C24" s="96" t="str">
        <f ca="1">IF('SpecRoad&amp;Noxious'!$B$73&gt;0,'SpecRoad&amp;Noxious'!$B$73,"  ")</f>
        <v xml:space="preserve">  </v>
      </c>
      <c r="D24" s="87" t="str">
        <f ca="1">IF('SpecRoad&amp;Noxious'!$G$66&lt;&gt;0,'SpecRoad&amp;Noxious'!$G$66,"  ")</f>
        <v xml:space="preserve">  </v>
      </c>
      <c r="E24" s="87" t="str">
        <f ca="1">IF('SpecRoad&amp;Noxious'!$G$72&lt;&gt;0,'SpecRoad&amp;Noxious'!$G$72,"  ")</f>
        <v xml:space="preserve">  </v>
      </c>
      <c r="F24" s="97" t="str">
        <f ca="1">IF(AND('SpecRoad&amp;Noxious'!G72=0,$B$43&gt;=0)," ",IF(AND(E24&gt;0,$B$43=0)," ",IF(AND(E24&gt;0,$B$43&gt;0),ROUND(E24/$B$43*1000,3))))</f>
        <v xml:space="preserve"> </v>
      </c>
    </row>
    <row r="25" spans="1:6" s="67" customFormat="1">
      <c r="A25" s="94" t="str">
        <f ca="1">IF(inputPrYr!$B25&gt;"  ",inputPrYr!$B25,"  ")</f>
        <v>Fire Protection</v>
      </c>
      <c r="B25" s="95" t="str">
        <f ca="1">IF(inputPrYr!C25&gt;0,inputPrYr!C25,"  ")</f>
        <v>80-1503</v>
      </c>
      <c r="C25" s="96" t="str">
        <f ca="1">IF(levypage10!$B$73&gt;0,levypage10!$B$73,"  ")</f>
        <v xml:space="preserve">  </v>
      </c>
      <c r="D25" s="87" t="str">
        <f ca="1">IF(levypage10!$G$31&lt;&gt;0,levypage10!$G$31,"  ")</f>
        <v xml:space="preserve">  </v>
      </c>
      <c r="E25" s="87" t="str">
        <f ca="1">IF(levypage10!$G$37&lt;&gt;0,levypage10!$G$37,"  ")</f>
        <v xml:space="preserve">  </v>
      </c>
      <c r="F25" s="97" t="str">
        <f ca="1">IF(AND(levypage10!$G$37=0,$B$43&gt;=0)," ",IF(AND(E25&gt;0,$B$43=0)," ",IF(AND(E25&gt;0,$B$43&gt;0),ROUND(E25/$B$43*1000,3))))</f>
        <v xml:space="preserve"> </v>
      </c>
    </row>
    <row r="26" spans="1:6" s="67" customFormat="1">
      <c r="A26" s="94" t="str">
        <f ca="1">IF(inputPrYr!$B26&gt;"  ",inputPrYr!$B26,"  ")</f>
        <v xml:space="preserve">  </v>
      </c>
      <c r="B26" s="95" t="str">
        <f ca="1">IF(inputPrYr!C26&gt;0,inputPrYr!C26,"  ")</f>
        <v xml:space="preserve">  </v>
      </c>
      <c r="C26" s="96" t="str">
        <f ca="1">IF(levypage10!$B$73&gt;0,levypage10!$B$73,"  ")</f>
        <v xml:space="preserve">  </v>
      </c>
      <c r="D26" s="87" t="str">
        <f ca="1">IF(levypage10!$G$66&lt;&gt;0,levypage10!$G$66,"  ")</f>
        <v xml:space="preserve">  </v>
      </c>
      <c r="E26" s="87" t="str">
        <f ca="1">IF(levypage10!$G$72&lt;&gt;0,levypage10!$G$72,"  ")</f>
        <v xml:space="preserve">  </v>
      </c>
      <c r="F26" s="97" t="str">
        <f ca="1">IF(AND(levypage10!$G$72=0,$B$46&gt;=0)," ",IF(AND(E26&gt;0,$B$46=0)," ",IF(AND(E26&gt;0,$B$46&gt;0),ROUND(E26/$B$46*1000,3))))</f>
        <v xml:space="preserve"> </v>
      </c>
    </row>
    <row r="27" spans="1:6" s="67" customFormat="1">
      <c r="A27" s="94" t="str">
        <f ca="1">IF(inputPrYr!$B27&gt;"  ",inputPrYr!$B27,"  ")</f>
        <v xml:space="preserve">  </v>
      </c>
      <c r="B27" s="95" t="str">
        <f ca="1">IF(inputPrYr!C27&gt;0,inputPrYr!C27,"  ")</f>
        <v xml:space="preserve">  </v>
      </c>
      <c r="C27" s="96" t="str">
        <f ca="1">IF(levypage11!$B$73&gt;0,levypage11!$B$73,"  ")</f>
        <v xml:space="preserve">  </v>
      </c>
      <c r="D27" s="87" t="str">
        <f ca="1">IF(levypage11!$G$31&lt;&gt;0,levypage11!$G$31,"  ")</f>
        <v xml:space="preserve">  </v>
      </c>
      <c r="E27" s="87" t="str">
        <f ca="1">IF(levypage11!$G$37&lt;&gt;0,levypage11!$G$37,"  ")</f>
        <v xml:space="preserve">  </v>
      </c>
      <c r="F27" s="97" t="str">
        <f ca="1">IF(AND(levypage11!$G$37=0,$B$46&gt;=0)," ",IF(AND(E27&gt;0,$B$46=0)," ",IF(AND(E27&gt;0,$B$46&gt;0),ROUND(E27/$B$46*1000,3))))</f>
        <v xml:space="preserve"> </v>
      </c>
    </row>
    <row r="28" spans="1:6" s="67" customFormat="1">
      <c r="A28" s="94" t="str">
        <f ca="1">IF(inputPrYr!$B28&gt;"  ",inputPrYr!$B28,"  ")</f>
        <v xml:space="preserve">  </v>
      </c>
      <c r="B28" s="95" t="str">
        <f ca="1">IF(inputPrYr!C28&gt;0,inputPrYr!C28,"  ")</f>
        <v xml:space="preserve">  </v>
      </c>
      <c r="C28" s="96" t="str">
        <f ca="1">IF(levypage11!$B$73&gt;0,levypage11!$B$73,"  ")</f>
        <v xml:space="preserve">  </v>
      </c>
      <c r="D28" s="87" t="str">
        <f ca="1">IF(levypage11!$G$66&lt;&gt;0,levypage11!$G$66,"  ")</f>
        <v xml:space="preserve">  </v>
      </c>
      <c r="E28" s="87" t="str">
        <f ca="1">IF(levypage11!$G$72&lt;&gt;0,levypage11!$G$72,"  ")</f>
        <v xml:space="preserve">  </v>
      </c>
      <c r="F28" s="97" t="str">
        <f ca="1">IF(AND(levypage11!$G$72=0,$B$46&gt;=0)," ",IF(AND(E28&gt;0,$B$46=0)," ",IF(AND(E28&gt;0,$B$46&gt;0),ROUND(E28/$B$46*1000,3))))</f>
        <v xml:space="preserve"> </v>
      </c>
    </row>
    <row r="29" spans="1:6" s="67" customFormat="1">
      <c r="A29" s="94" t="str">
        <f ca="1">IF(inputPrYr!$B29&gt;"  ",inputPrYr!$B29,"  ")</f>
        <v xml:space="preserve">  </v>
      </c>
      <c r="B29" s="95" t="str">
        <f ca="1">IF(inputPrYr!C29&gt;0,inputPrYr!C29,"  ")</f>
        <v xml:space="preserve">  </v>
      </c>
      <c r="C29" s="96" t="str">
        <f ca="1">IF(levypage12!$B$73&gt;0,levypage12!$B$73,"  ")</f>
        <v xml:space="preserve">  </v>
      </c>
      <c r="D29" s="87" t="str">
        <f ca="1">IF(levypage12!$G$31&lt;&gt;0,levypage12!$G$31,"  ")</f>
        <v xml:space="preserve">  </v>
      </c>
      <c r="E29" s="87" t="str">
        <f ca="1">IF(levypage12!$G$37&lt;&gt;0,levypage12!$G$37,"  ")</f>
        <v xml:space="preserve">  </v>
      </c>
      <c r="F29" s="97" t="str">
        <f ca="1">IF(AND(levypage12!$G$37=0,$B$46&gt;=0)," ",IF(AND(E29&gt;0,$B$46=0)," ",IF(AND(E29&gt;0,$B$46&gt;0),ROUND(E29/$B$46*1000,3))))</f>
        <v xml:space="preserve"> </v>
      </c>
    </row>
    <row r="30" spans="1:6" s="67" customFormat="1">
      <c r="A30" s="94" t="str">
        <f ca="1">IF(inputPrYr!$B31&gt;"  ",inputPrYr!$B31,"  ")</f>
        <v xml:space="preserve">  </v>
      </c>
      <c r="B30" s="95" t="str">
        <f ca="1">IF(inputPrYr!C31&gt;0,inputPrYr!C31,"  ")</f>
        <v xml:space="preserve">  </v>
      </c>
      <c r="C30" s="96" t="str">
        <f ca="1">IF(levypage12!$B$73&gt;0,levypage12!$B$73,"  ")</f>
        <v xml:space="preserve">  </v>
      </c>
      <c r="D30" s="87" t="str">
        <f ca="1">IF(levypage12!$G$66&lt;&gt;0,levypage12!$G$66,"  ")</f>
        <v xml:space="preserve">  </v>
      </c>
      <c r="E30" s="87" t="str">
        <f ca="1">IF(levypage12!$G$72&lt;&gt;0,levypage12!$G$72,"  ")</f>
        <v xml:space="preserve">  </v>
      </c>
      <c r="F30" s="97" t="str">
        <f ca="1">IF(AND(levypage12!$G$72=0,$B$46&gt;=0)," ",IF(AND(E30&gt;0,$B$46=0)," ",IF(AND(E30&gt;0,$B$46&gt;0),ROUND(E30/$B$46*1000,3))))</f>
        <v xml:space="preserve"> </v>
      </c>
    </row>
    <row r="31" spans="1:6" s="67" customFormat="1">
      <c r="A31" s="98" t="str">
        <f ca="1">IF(inputPrYr!$B35&gt;"  ",inputPrYr!$B35,"  ")</f>
        <v xml:space="preserve">  </v>
      </c>
      <c r="B31" s="99"/>
      <c r="C31" s="100" t="str">
        <f ca="1">IF(nolevypage13!$C$65&gt;0,nolevypage13!$C$65,"  ")</f>
        <v xml:space="preserve">  </v>
      </c>
      <c r="D31" s="87" t="str">
        <f ca="1">IF(nolevypage13!$E$28&lt;&gt;0,nolevypage13!$E$28,"  ")</f>
        <v xml:space="preserve">  </v>
      </c>
      <c r="E31" s="87"/>
      <c r="F31" s="97"/>
    </row>
    <row r="32" spans="1:6" s="67" customFormat="1">
      <c r="A32" s="98" t="str">
        <f ca="1">IF(inputPrYr!$B36&gt;"  ",inputPrYr!$B36,"  ")</f>
        <v xml:space="preserve">  </v>
      </c>
      <c r="B32" s="101"/>
      <c r="C32" s="100" t="str">
        <f ca="1">IF(nolevypage13!$C$65&gt;0,nolevypage13!$C$65,"  ")</f>
        <v xml:space="preserve">  </v>
      </c>
      <c r="D32" s="87" t="str">
        <f ca="1">IF(nolevypage13!$E$59&lt;&gt;0,nolevypage13!$E$59,"  ")</f>
        <v xml:space="preserve">  </v>
      </c>
      <c r="E32" s="87"/>
      <c r="F32" s="97"/>
    </row>
    <row r="33" spans="1:6" s="67" customFormat="1">
      <c r="A33" s="98" t="str">
        <f ca="1">IF(inputPrYr!$B37&gt;"  ",inputPrYr!$B37,"  ")</f>
        <v xml:space="preserve">  </v>
      </c>
      <c r="B33" s="99"/>
      <c r="C33" s="100" t="str">
        <f ca="1">IF(nolevypage14!$C$65&gt;0,nolevypage14!$C$65,"  ")</f>
        <v xml:space="preserve">  </v>
      </c>
      <c r="D33" s="87" t="str">
        <f ca="1">IF(nolevypage14!$E$28&lt;&gt;0,nolevypage14!$E$28,"  ")</f>
        <v xml:space="preserve">  </v>
      </c>
      <c r="E33" s="87"/>
      <c r="F33" s="97"/>
    </row>
    <row r="34" spans="1:6" s="67" customFormat="1">
      <c r="A34" s="98" t="str">
        <f ca="1">IF(inputPrYr!$B38&gt;"  ",inputPrYr!$B38,"  ")</f>
        <v xml:space="preserve">  </v>
      </c>
      <c r="B34" s="99"/>
      <c r="C34" s="100" t="str">
        <f ca="1">IF(nolevypage14!$C$65&gt;0,nolevypage14!$C$65,"  ")</f>
        <v xml:space="preserve">  </v>
      </c>
      <c r="D34" s="87" t="str">
        <f ca="1">IF(nolevypage14!$E$59&lt;&gt;0,nolevypage14!$E$59,"  ")</f>
        <v xml:space="preserve">  </v>
      </c>
      <c r="E34" s="87"/>
      <c r="F34" s="97"/>
    </row>
    <row r="35" spans="1:6" s="67" customFormat="1">
      <c r="A35" s="98" t="str">
        <f ca="1">IF((inputPrYr!$B38&gt;"  "),([1]nonbud!$A3),"  ")</f>
        <v xml:space="preserve">  </v>
      </c>
      <c r="B35" s="99"/>
      <c r="C35" s="100" t="str">
        <f ca="1">IF(nonbud!$F$33&gt;0,nonbud!$F$33,"  ")</f>
        <v xml:space="preserve">  </v>
      </c>
      <c r="D35" s="87"/>
      <c r="E35" s="87"/>
      <c r="F35" s="97"/>
    </row>
    <row r="36" spans="1:6" s="67" customFormat="1">
      <c r="A36" s="98" t="str">
        <f ca="1">IF(inputPrYr!B41&gt;"",nonbud!A3,"")</f>
        <v/>
      </c>
      <c r="B36" s="101"/>
      <c r="C36" s="100"/>
      <c r="D36" s="87"/>
      <c r="E36" s="87"/>
      <c r="F36" s="97"/>
    </row>
    <row r="37" spans="1:6" s="67" customFormat="1">
      <c r="A37" s="84" t="s">
        <v>110</v>
      </c>
      <c r="B37" s="99"/>
      <c r="C37" s="100" t="str">
        <f ca="1">IF(road!$B$64&gt;0,road!$B$64,"  ")</f>
        <v xml:space="preserve">  </v>
      </c>
      <c r="D37" s="92"/>
      <c r="E37" s="92"/>
      <c r="F37" s="97"/>
    </row>
    <row r="38" spans="1:6" s="67" customFormat="1" ht="16.5" thickBot="1">
      <c r="A38" s="102" t="s">
        <v>111</v>
      </c>
      <c r="B38" s="93"/>
      <c r="C38" s="103" t="s">
        <v>112</v>
      </c>
      <c r="D38" s="104">
        <f>SUM(D20:D37)</f>
        <v>165450</v>
      </c>
      <c r="E38" s="104">
        <f>SUM(E20:E37)</f>
        <v>138993</v>
      </c>
      <c r="F38" s="105" t="str">
        <f>IF(SUM(F20:F37)&gt;0,SUM(F20:F37),"")</f>
        <v/>
      </c>
    </row>
    <row r="39" spans="1:6" s="67" customFormat="1" ht="16.5" thickTop="1">
      <c r="A39" s="89" t="s">
        <v>664</v>
      </c>
      <c r="B39" s="85"/>
      <c r="C39" s="100">
        <f ca="1">summ!C52</f>
        <v>0</v>
      </c>
    </row>
    <row r="40" spans="1:6" s="67" customFormat="1">
      <c r="A40" s="84" t="s">
        <v>13</v>
      </c>
      <c r="B40" s="85"/>
      <c r="C40" s="100" t="str">
        <f ca="1">IF(nhood!C39&gt;0,nhood!C39,"")</f>
        <v/>
      </c>
      <c r="D40" s="106" t="s">
        <v>654</v>
      </c>
      <c r="E40" s="107" t="str">
        <f ca="1">IF(E38&gt;computation!J34,"Yes","No")</f>
        <v>Yes</v>
      </c>
    </row>
    <row r="41" spans="1:6" s="67" customFormat="1">
      <c r="A41" s="89" t="s">
        <v>653</v>
      </c>
      <c r="B41" s="85"/>
      <c r="C41" s="100" t="str">
        <f ca="1">IF(Resolution!D50&gt;0,Resolution!D50,"")</f>
        <v/>
      </c>
      <c r="D41" s="108"/>
      <c r="E41" s="109"/>
    </row>
    <row r="42" spans="1:6" s="67" customFormat="1">
      <c r="A42" s="110" t="s">
        <v>593</v>
      </c>
      <c r="B42" s="476" t="s">
        <v>620</v>
      </c>
      <c r="C42" s="477"/>
      <c r="D42" s="111"/>
      <c r="F42" s="76" t="s">
        <v>113</v>
      </c>
    </row>
    <row r="43" spans="1:6" s="67" customFormat="1">
      <c r="A43" s="110" t="str">
        <f ca="1">inputPrYr!D3</f>
        <v>Paradise Township</v>
      </c>
      <c r="B43" s="478"/>
      <c r="C43" s="479"/>
      <c r="D43" s="112"/>
      <c r="F43" s="76"/>
    </row>
    <row r="44" spans="1:6" s="67" customFormat="1">
      <c r="A44" s="110" t="str">
        <f ca="1">inputPrYr!D6</f>
        <v>Paradise City</v>
      </c>
      <c r="B44" s="478"/>
      <c r="C44" s="484"/>
      <c r="D44" s="112"/>
      <c r="F44" s="76"/>
    </row>
    <row r="45" spans="1:6" s="67" customFormat="1">
      <c r="A45" s="110">
        <f ca="1">inputPrYr!D7</f>
        <v>0</v>
      </c>
      <c r="B45" s="478"/>
      <c r="C45" s="484"/>
      <c r="D45" s="112"/>
      <c r="F45" s="76"/>
    </row>
    <row r="46" spans="1:6" s="67" customFormat="1">
      <c r="A46" s="110" t="s">
        <v>698</v>
      </c>
      <c r="B46" s="482">
        <f>SUM(B43:C45)</f>
        <v>0</v>
      </c>
      <c r="C46" s="483"/>
      <c r="D46" s="112"/>
      <c r="F46" s="76"/>
    </row>
    <row r="47" spans="1:6" s="67" customFormat="1">
      <c r="A47" s="113"/>
      <c r="B47" s="480" t="s">
        <v>619</v>
      </c>
      <c r="C47" s="467"/>
      <c r="D47" s="111"/>
      <c r="F47" s="76"/>
    </row>
    <row r="48" spans="1:6" s="67" customFormat="1">
      <c r="A48" s="113" t="s">
        <v>114</v>
      </c>
      <c r="D48" s="75"/>
      <c r="F48" s="76"/>
    </row>
    <row r="49" spans="1:7" s="67" customFormat="1">
      <c r="A49" s="116" t="s">
        <v>269</v>
      </c>
      <c r="D49" s="111"/>
      <c r="E49" s="75"/>
      <c r="F49" s="75"/>
    </row>
    <row r="50" spans="1:7" s="67" customFormat="1">
      <c r="A50" s="117"/>
      <c r="B50" s="74"/>
    </row>
    <row r="51" spans="1:7" s="67" customFormat="1">
      <c r="A51" s="113" t="s">
        <v>641</v>
      </c>
      <c r="D51" s="82"/>
      <c r="E51" s="82"/>
      <c r="F51" s="82"/>
    </row>
    <row r="52" spans="1:7" s="67" customFormat="1">
      <c r="A52" s="116" t="s">
        <v>270</v>
      </c>
      <c r="C52" s="76"/>
    </row>
    <row r="53" spans="1:7" s="67" customFormat="1">
      <c r="A53" s="117" t="s">
        <v>271</v>
      </c>
      <c r="B53" s="76"/>
      <c r="D53" s="82"/>
      <c r="E53" s="115"/>
      <c r="F53" s="115"/>
    </row>
    <row r="54" spans="1:7">
      <c r="A54" s="117" t="s">
        <v>272</v>
      </c>
      <c r="B54" s="74"/>
      <c r="C54" s="67"/>
      <c r="D54" s="67"/>
      <c r="E54" s="67"/>
      <c r="F54" s="67"/>
      <c r="G54" s="118"/>
    </row>
    <row r="55" spans="1:7">
      <c r="A55" s="74"/>
      <c r="B55" s="74"/>
      <c r="C55" s="67"/>
      <c r="D55" s="82"/>
      <c r="E55" s="115"/>
      <c r="F55" s="115"/>
      <c r="G55" s="118"/>
    </row>
    <row r="56" spans="1:7">
      <c r="A56" s="74"/>
      <c r="B56" s="67"/>
      <c r="C56" s="67"/>
      <c r="D56" s="67"/>
      <c r="E56" s="67"/>
      <c r="F56" s="67"/>
      <c r="G56" s="118"/>
    </row>
    <row r="57" spans="1:7">
      <c r="A57" s="76" t="s">
        <v>645</v>
      </c>
      <c r="B57" s="122">
        <f>G1-1</f>
        <v>2012</v>
      </c>
      <c r="C57" s="67"/>
      <c r="D57" s="82"/>
      <c r="E57" s="115"/>
      <c r="F57" s="115"/>
      <c r="G57" s="118"/>
    </row>
    <row r="58" spans="1:7">
      <c r="A58" s="67"/>
      <c r="B58" s="67"/>
      <c r="C58" s="67"/>
      <c r="D58" s="67"/>
      <c r="E58" s="76"/>
      <c r="F58" s="67"/>
      <c r="G58" s="118"/>
    </row>
    <row r="59" spans="1:7">
      <c r="A59" s="115"/>
      <c r="B59" s="67"/>
      <c r="C59" s="67"/>
      <c r="D59" s="82"/>
      <c r="E59" s="82"/>
      <c r="F59" s="82"/>
      <c r="G59" s="118"/>
    </row>
    <row r="60" spans="1:7">
      <c r="A60" s="70" t="s">
        <v>116</v>
      </c>
      <c r="B60" s="67"/>
      <c r="C60" s="67"/>
      <c r="D60" s="481" t="s">
        <v>115</v>
      </c>
      <c r="E60" s="467"/>
      <c r="F60" s="467"/>
    </row>
    <row r="61" spans="1:7">
      <c r="A61" s="67"/>
      <c r="B61" s="67"/>
      <c r="C61" s="67"/>
      <c r="D61" s="67"/>
      <c r="E61" s="67"/>
      <c r="F61" s="67"/>
    </row>
    <row r="62" spans="1:7">
      <c r="A62" s="67"/>
      <c r="B62" s="67"/>
      <c r="C62" s="67"/>
      <c r="D62" s="67"/>
      <c r="E62" s="67"/>
      <c r="F62" s="67"/>
    </row>
    <row r="63" spans="1:7">
      <c r="A63" s="67"/>
      <c r="B63" s="67"/>
      <c r="C63" s="67"/>
      <c r="D63" s="67"/>
      <c r="E63" s="67"/>
      <c r="F63" s="67"/>
    </row>
    <row r="64" spans="1:7">
      <c r="A64" s="121" t="s">
        <v>117</v>
      </c>
      <c r="B64" s="120"/>
      <c r="C64" s="120"/>
      <c r="D64" s="120"/>
      <c r="E64" s="120"/>
      <c r="F64" s="67"/>
    </row>
    <row r="65" spans="1:6">
      <c r="A65" s="121" t="s">
        <v>118</v>
      </c>
      <c r="B65" s="120"/>
      <c r="C65" s="120"/>
      <c r="D65" s="120"/>
      <c r="E65" s="120"/>
      <c r="F65" s="67"/>
    </row>
    <row r="66" spans="1:6">
      <c r="A66" s="121"/>
      <c r="B66" s="120"/>
      <c r="C66" s="120"/>
      <c r="D66" s="120"/>
      <c r="E66" s="120"/>
      <c r="F66" s="67"/>
    </row>
    <row r="67" spans="1:6">
      <c r="A67" s="67"/>
      <c r="B67" s="67"/>
      <c r="C67" s="67"/>
      <c r="D67" s="67"/>
      <c r="E67" s="67"/>
      <c r="F67" s="67"/>
    </row>
    <row r="68" spans="1:6">
      <c r="A68" s="76" t="str">
        <f>CONCATENATE("Salaries and Wages:  Please report here the total amount of salaries and wages paid in ",G1-2," by the township")</f>
        <v>Salaries and Wages:  Please report here the total amount of salaries and wages paid in 2011 by the township</v>
      </c>
      <c r="B68" s="67"/>
      <c r="C68" s="67"/>
      <c r="D68" s="67"/>
      <c r="E68" s="67"/>
      <c r="F68" s="67"/>
    </row>
    <row r="69" spans="1:6">
      <c r="A69" s="76" t="str">
        <f>CONCATENATE("to all employees, full and part-time.  This figure may be taken from the ",G1-2," W-3 form that your township filed")</f>
        <v>to all employees, full and part-time.  This figure may be taken from the 2011 W-3 form that your township filed</v>
      </c>
      <c r="B69" s="67"/>
      <c r="C69" s="67"/>
      <c r="D69" s="67"/>
      <c r="E69" s="67"/>
      <c r="F69" s="67"/>
    </row>
    <row r="70" spans="1:6">
      <c r="A70" s="76" t="s">
        <v>119</v>
      </c>
      <c r="B70" s="67"/>
      <c r="C70" s="67"/>
      <c r="D70" s="123" t="s">
        <v>120</v>
      </c>
      <c r="E70" s="124">
        <v>31362</v>
      </c>
      <c r="F70" s="67"/>
    </row>
  </sheetData>
  <sheetProtection sheet="1"/>
  <mergeCells count="13">
    <mergeCell ref="B42:C42"/>
    <mergeCell ref="B43:C43"/>
    <mergeCell ref="B47:C47"/>
    <mergeCell ref="D60:F60"/>
    <mergeCell ref="B46:C46"/>
    <mergeCell ref="B44:C44"/>
    <mergeCell ref="B45:C45"/>
    <mergeCell ref="A1:F1"/>
    <mergeCell ref="E12:E14"/>
    <mergeCell ref="A3:G3"/>
    <mergeCell ref="D11:F11"/>
    <mergeCell ref="A6:F6"/>
    <mergeCell ref="A7:F7"/>
  </mergeCells>
  <phoneticPr fontId="0" type="noConversion"/>
  <conditionalFormatting sqref="E20">
    <cfRule type="cellIs" dxfId="170" priority="1" stopIfTrue="1" operator="equal">
      <formula>0</formula>
    </cfRule>
  </conditionalFormatting>
  <pageMargins left="1.31" right="0.56000000000000005" top="0.83" bottom="0.85" header="0.3" footer="0.6"/>
  <pageSetup scale="69" orientation="portrait" blackAndWhite="1" horizontalDpi="4294967292" verticalDpi="96" r:id="rId1"/>
  <headerFooter alignWithMargins="0">
    <oddHeader xml:space="preserve">&amp;RState of Kansas
Township
</oddHeader>
    <oddFooter>&amp;Lrevised 12/08/09&amp;CPage No. 1</oddFooter>
  </headerFooter>
</worksheet>
</file>

<file path=xl/worksheets/sheet7.xml><?xml version="1.0" encoding="utf-8"?>
<worksheet xmlns="http://schemas.openxmlformats.org/spreadsheetml/2006/main" xmlns:r="http://schemas.openxmlformats.org/officeDocument/2006/relationships">
  <sheetPr codeName="Sheet5">
    <pageSetUpPr fitToPage="1"/>
  </sheetPr>
  <dimension ref="A1:J37"/>
  <sheetViews>
    <sheetView workbookViewId="0"/>
  </sheetViews>
  <sheetFormatPr defaultRowHeight="15.75"/>
  <cols>
    <col min="1" max="2" width="3" style="119" customWidth="1"/>
    <col min="3" max="3" width="28.19921875" style="119" customWidth="1"/>
    <col min="4" max="4" width="2.09765625" style="119" customWidth="1"/>
    <col min="5" max="5" width="15.69921875" style="119" customWidth="1"/>
    <col min="6" max="6" width="1.796875" style="119" customWidth="1"/>
    <col min="7" max="7" width="15.69921875" style="119" customWidth="1"/>
    <col min="8" max="8" width="1.69921875" style="119" customWidth="1"/>
    <col min="9" max="9" width="1.59765625" style="119" customWidth="1"/>
    <col min="10" max="10" width="15.69921875" style="119" customWidth="1"/>
    <col min="11" max="16384" width="8.796875" style="119"/>
  </cols>
  <sheetData>
    <row r="1" spans="1:10">
      <c r="A1" s="67"/>
      <c r="B1" s="67"/>
      <c r="C1" s="235" t="str">
        <f ca="1">inputPrYr!D3</f>
        <v>Paradise Township</v>
      </c>
      <c r="D1" s="67"/>
      <c r="E1" s="67"/>
      <c r="F1" s="67"/>
      <c r="G1" s="67"/>
      <c r="H1" s="67"/>
      <c r="I1" s="67"/>
      <c r="J1" s="67">
        <f ca="1">inputPrYr!D9</f>
        <v>2013</v>
      </c>
    </row>
    <row r="2" spans="1:10">
      <c r="A2" s="67"/>
      <c r="B2" s="67"/>
      <c r="C2" s="67"/>
      <c r="D2" s="67"/>
      <c r="E2" s="67"/>
      <c r="F2" s="67"/>
      <c r="G2" s="67"/>
      <c r="H2" s="67"/>
      <c r="I2" s="67"/>
      <c r="J2" s="67"/>
    </row>
    <row r="3" spans="1:10">
      <c r="A3" s="486" t="str">
        <f>CONCATENATE("Computation to Determine Limit for ",J1,"")</f>
        <v>Computation to Determine Limit for 2013</v>
      </c>
      <c r="B3" s="468"/>
      <c r="C3" s="468"/>
      <c r="D3" s="468"/>
      <c r="E3" s="468"/>
      <c r="F3" s="468"/>
      <c r="G3" s="468"/>
      <c r="H3" s="468"/>
      <c r="I3" s="468"/>
      <c r="J3" s="468"/>
    </row>
    <row r="4" spans="1:10">
      <c r="A4" s="67"/>
      <c r="B4" s="67"/>
      <c r="C4" s="67"/>
      <c r="D4" s="67"/>
      <c r="E4" s="468"/>
      <c r="F4" s="468"/>
      <c r="G4" s="468"/>
      <c r="H4" s="66"/>
      <c r="I4" s="67"/>
      <c r="J4" s="273" t="s">
        <v>575</v>
      </c>
    </row>
    <row r="5" spans="1:10">
      <c r="A5" s="274" t="s">
        <v>576</v>
      </c>
      <c r="B5" s="67" t="str">
        <f>CONCATENATE("Total Tax Levy Amount in ",J1-1,"")</f>
        <v>Total Tax Levy Amount in 2012</v>
      </c>
      <c r="C5" s="67"/>
      <c r="D5" s="67"/>
      <c r="E5" s="197"/>
      <c r="F5" s="197"/>
      <c r="G5" s="197"/>
      <c r="H5" s="275" t="s">
        <v>133</v>
      </c>
      <c r="I5" s="197" t="s">
        <v>120</v>
      </c>
      <c r="J5" s="276">
        <f ca="1">inputPrYr!E32</f>
        <v>125916</v>
      </c>
    </row>
    <row r="6" spans="1:10">
      <c r="A6" s="274" t="s">
        <v>577</v>
      </c>
      <c r="B6" s="67" t="str">
        <f>CONCATENATE("Debt Service Levy in ",J1-1,"")</f>
        <v>Debt Service Levy in 2012</v>
      </c>
      <c r="C6" s="67"/>
      <c r="D6" s="67"/>
      <c r="E6" s="197"/>
      <c r="F6" s="197"/>
      <c r="G6" s="197"/>
      <c r="H6" s="275" t="s">
        <v>578</v>
      </c>
      <c r="I6" s="197" t="s">
        <v>120</v>
      </c>
      <c r="J6" s="277">
        <f ca="1">inputPrYr!E21</f>
        <v>0</v>
      </c>
    </row>
    <row r="7" spans="1:10">
      <c r="A7" s="274" t="s">
        <v>579</v>
      </c>
      <c r="B7" s="165" t="s">
        <v>602</v>
      </c>
      <c r="C7" s="67"/>
      <c r="D7" s="67"/>
      <c r="E7" s="197"/>
      <c r="F7" s="197"/>
      <c r="G7" s="197"/>
      <c r="H7" s="197"/>
      <c r="I7" s="197" t="s">
        <v>120</v>
      </c>
      <c r="J7" s="278">
        <f>J5-J6</f>
        <v>125916</v>
      </c>
    </row>
    <row r="8" spans="1:10">
      <c r="A8" s="67"/>
      <c r="B8" s="67"/>
      <c r="C8" s="67"/>
      <c r="D8" s="67"/>
      <c r="E8" s="197"/>
      <c r="F8" s="197"/>
      <c r="G8" s="197"/>
      <c r="H8" s="197"/>
      <c r="I8" s="197"/>
      <c r="J8" s="197"/>
    </row>
    <row r="9" spans="1:10">
      <c r="A9" s="67"/>
      <c r="B9" s="165" t="str">
        <f>CONCATENATE("",J1-1," Valuation Information for Valuation Adjustments:")</f>
        <v>2012 Valuation Information for Valuation Adjustments:</v>
      </c>
      <c r="C9" s="67"/>
      <c r="D9" s="67"/>
      <c r="E9" s="197"/>
      <c r="F9" s="197"/>
      <c r="G9" s="197"/>
      <c r="H9" s="197"/>
      <c r="I9" s="197"/>
      <c r="J9" s="197"/>
    </row>
    <row r="10" spans="1:10">
      <c r="A10" s="67"/>
      <c r="B10" s="67"/>
      <c r="C10" s="165"/>
      <c r="D10" s="67"/>
      <c r="E10" s="197"/>
      <c r="F10" s="197"/>
      <c r="G10" s="197"/>
      <c r="H10" s="197"/>
      <c r="I10" s="197"/>
      <c r="J10" s="197"/>
    </row>
    <row r="11" spans="1:10">
      <c r="A11" s="274" t="s">
        <v>580</v>
      </c>
      <c r="B11" s="165" t="str">
        <f>CONCATENATE("New Improvements for ",J1-1,":")</f>
        <v>New Improvements for 2012:</v>
      </c>
      <c r="C11" s="67"/>
      <c r="D11" s="67"/>
      <c r="E11" s="275"/>
      <c r="F11" s="275" t="s">
        <v>133</v>
      </c>
      <c r="G11" s="252">
        <f ca="1">inputOth!E16</f>
        <v>4953</v>
      </c>
      <c r="H11" s="279"/>
      <c r="I11" s="197"/>
      <c r="J11" s="197"/>
    </row>
    <row r="12" spans="1:10">
      <c r="A12" s="274"/>
      <c r="B12" s="274"/>
      <c r="C12" s="67"/>
      <c r="D12" s="67"/>
      <c r="E12" s="275"/>
      <c r="F12" s="275"/>
      <c r="G12" s="279"/>
      <c r="H12" s="279"/>
      <c r="I12" s="197"/>
      <c r="J12" s="197"/>
    </row>
    <row r="13" spans="1:10">
      <c r="A13" s="274" t="s">
        <v>581</v>
      </c>
      <c r="B13" s="165" t="str">
        <f>CONCATENATE("Increase in Personal Property for ",J1-1,":")</f>
        <v>Increase in Personal Property for 2012:</v>
      </c>
      <c r="C13" s="67"/>
      <c r="D13" s="67"/>
      <c r="E13" s="275"/>
      <c r="F13" s="275"/>
      <c r="G13" s="279"/>
      <c r="H13" s="279"/>
      <c r="I13" s="197"/>
      <c r="J13" s="197"/>
    </row>
    <row r="14" spans="1:10">
      <c r="A14" s="67"/>
      <c r="B14" s="67" t="s">
        <v>582</v>
      </c>
      <c r="C14" s="67" t="str">
        <f>CONCATENATE("Personal Property ",J1-1,"")</f>
        <v>Personal Property 2012</v>
      </c>
      <c r="D14" s="274" t="s">
        <v>133</v>
      </c>
      <c r="E14" s="252">
        <f ca="1">inputOth!E21</f>
        <v>63752</v>
      </c>
      <c r="F14" s="275"/>
      <c r="G14" s="197"/>
      <c r="H14" s="197"/>
      <c r="I14" s="279"/>
      <c r="J14" s="197"/>
    </row>
    <row r="15" spans="1:10">
      <c r="A15" s="274"/>
      <c r="B15" s="67" t="s">
        <v>583</v>
      </c>
      <c r="C15" s="67" t="str">
        <f>CONCATENATE("Personal Property ",J1-2,"")</f>
        <v>Personal Property 2011</v>
      </c>
      <c r="D15" s="274" t="s">
        <v>578</v>
      </c>
      <c r="E15" s="278">
        <f ca="1">inputOth!E31</f>
        <v>59483</v>
      </c>
      <c r="F15" s="275"/>
      <c r="G15" s="279"/>
      <c r="H15" s="279"/>
      <c r="I15" s="197"/>
      <c r="J15" s="197"/>
    </row>
    <row r="16" spans="1:10">
      <c r="A16" s="274"/>
      <c r="B16" s="67" t="s">
        <v>584</v>
      </c>
      <c r="C16" s="67" t="s">
        <v>603</v>
      </c>
      <c r="D16" s="67"/>
      <c r="E16" s="197"/>
      <c r="F16" s="197" t="s">
        <v>133</v>
      </c>
      <c r="G16" s="252">
        <f>IF(E14&gt;E15,E14-E15,0)</f>
        <v>4269</v>
      </c>
      <c r="H16" s="279"/>
      <c r="I16" s="197"/>
      <c r="J16" s="197"/>
    </row>
    <row r="17" spans="1:10">
      <c r="A17" s="274"/>
      <c r="B17" s="274"/>
      <c r="C17" s="67"/>
      <c r="D17" s="67"/>
      <c r="E17" s="197"/>
      <c r="F17" s="197"/>
      <c r="G17" s="279" t="s">
        <v>592</v>
      </c>
      <c r="H17" s="279"/>
      <c r="I17" s="197"/>
      <c r="J17" s="197"/>
    </row>
    <row r="18" spans="1:10">
      <c r="A18" s="274" t="s">
        <v>585</v>
      </c>
      <c r="B18" s="165" t="str">
        <f>CONCATENATE("Valuation of Property that has Changed in Use during ",J1-1,":")</f>
        <v>Valuation of Property that has Changed in Use during 2012:</v>
      </c>
      <c r="C18" s="67"/>
      <c r="D18" s="67"/>
      <c r="E18" s="197"/>
      <c r="F18" s="275" t="s">
        <v>133</v>
      </c>
      <c r="G18" s="252">
        <f ca="1">inputOth!E26</f>
        <v>3377</v>
      </c>
      <c r="H18" s="197"/>
      <c r="I18" s="197"/>
      <c r="J18" s="197"/>
    </row>
    <row r="19" spans="1:10">
      <c r="A19" s="67" t="s">
        <v>100</v>
      </c>
      <c r="B19" s="67"/>
      <c r="C19" s="67"/>
      <c r="D19" s="274"/>
      <c r="E19" s="279"/>
      <c r="F19" s="279"/>
      <c r="G19" s="279"/>
      <c r="H19" s="197"/>
      <c r="I19" s="197"/>
      <c r="J19" s="197"/>
    </row>
    <row r="20" spans="1:10">
      <c r="A20" s="274" t="s">
        <v>586</v>
      </c>
      <c r="B20" s="165" t="s">
        <v>604</v>
      </c>
      <c r="C20" s="67"/>
      <c r="D20" s="67"/>
      <c r="E20" s="197"/>
      <c r="F20" s="197"/>
      <c r="G20" s="252">
        <f>G11+G16+G18</f>
        <v>12599</v>
      </c>
      <c r="H20" s="279"/>
      <c r="I20" s="197"/>
      <c r="J20" s="197"/>
    </row>
    <row r="21" spans="1:10">
      <c r="A21" s="274"/>
      <c r="B21" s="274"/>
      <c r="C21" s="165"/>
      <c r="D21" s="67"/>
      <c r="E21" s="197"/>
      <c r="F21" s="197"/>
      <c r="G21" s="279"/>
      <c r="H21" s="279"/>
      <c r="I21" s="197"/>
      <c r="J21" s="197"/>
    </row>
    <row r="22" spans="1:10">
      <c r="A22" s="274" t="s">
        <v>587</v>
      </c>
      <c r="B22" s="67" t="str">
        <f>CONCATENATE("Total Estimated Valuation July 1,",J1-1,"")</f>
        <v>Total Estimated Valuation July 1,2012</v>
      </c>
      <c r="C22" s="67"/>
      <c r="D22" s="67"/>
      <c r="E22" s="252">
        <f ca="1">inputOth!E11</f>
        <v>17585258</v>
      </c>
      <c r="F22" s="197"/>
      <c r="G22" s="197"/>
      <c r="H22" s="197"/>
      <c r="I22" s="275"/>
      <c r="J22" s="197"/>
    </row>
    <row r="23" spans="1:10">
      <c r="A23" s="274"/>
      <c r="B23" s="274"/>
      <c r="C23" s="67"/>
      <c r="D23" s="67"/>
      <c r="E23" s="279"/>
      <c r="F23" s="197"/>
      <c r="G23" s="197"/>
      <c r="H23" s="197"/>
      <c r="I23" s="275"/>
      <c r="J23" s="197"/>
    </row>
    <row r="24" spans="1:10">
      <c r="A24" s="274" t="s">
        <v>588</v>
      </c>
      <c r="B24" s="165" t="s">
        <v>605</v>
      </c>
      <c r="C24" s="67"/>
      <c r="D24" s="67"/>
      <c r="E24" s="197"/>
      <c r="F24" s="197"/>
      <c r="G24" s="252">
        <f>E22-G20</f>
        <v>17572659</v>
      </c>
      <c r="H24" s="279"/>
      <c r="I24" s="275"/>
      <c r="J24" s="197"/>
    </row>
    <row r="25" spans="1:10">
      <c r="A25" s="274"/>
      <c r="B25" s="274"/>
      <c r="C25" s="165"/>
      <c r="D25" s="67"/>
      <c r="E25" s="67"/>
      <c r="F25" s="67"/>
      <c r="G25" s="280"/>
      <c r="H25" s="75"/>
      <c r="I25" s="274"/>
      <c r="J25" s="67"/>
    </row>
    <row r="26" spans="1:10">
      <c r="A26" s="274" t="s">
        <v>589</v>
      </c>
      <c r="B26" s="67" t="s">
        <v>606</v>
      </c>
      <c r="C26" s="67"/>
      <c r="D26" s="67"/>
      <c r="E26" s="67"/>
      <c r="F26" s="67"/>
      <c r="G26" s="281">
        <f>IF(G20&gt;0,G20/G24,0)</f>
        <v>7.1696605505177106E-4</v>
      </c>
      <c r="H26" s="75"/>
      <c r="I26" s="67"/>
      <c r="J26" s="67"/>
    </row>
    <row r="27" spans="1:10">
      <c r="A27" s="274"/>
      <c r="B27" s="274"/>
      <c r="C27" s="67"/>
      <c r="D27" s="67"/>
      <c r="E27" s="67"/>
      <c r="F27" s="67"/>
      <c r="G27" s="75"/>
      <c r="H27" s="75"/>
      <c r="I27" s="67"/>
      <c r="J27" s="67"/>
    </row>
    <row r="28" spans="1:10">
      <c r="A28" s="274" t="s">
        <v>590</v>
      </c>
      <c r="B28" s="67" t="s">
        <v>607</v>
      </c>
      <c r="C28" s="67"/>
      <c r="D28" s="67"/>
      <c r="E28" s="67"/>
      <c r="F28" s="67"/>
      <c r="G28" s="75"/>
      <c r="H28" s="282" t="s">
        <v>133</v>
      </c>
      <c r="I28" s="67" t="s">
        <v>120</v>
      </c>
      <c r="J28" s="252">
        <f>ROUND(G26*J7,0)</f>
        <v>90</v>
      </c>
    </row>
    <row r="29" spans="1:10">
      <c r="A29" s="274"/>
      <c r="B29" s="274"/>
      <c r="C29" s="67"/>
      <c r="D29" s="67"/>
      <c r="E29" s="67"/>
      <c r="F29" s="67"/>
      <c r="G29" s="75"/>
      <c r="H29" s="282"/>
      <c r="I29" s="67"/>
      <c r="J29" s="279"/>
    </row>
    <row r="30" spans="1:10" ht="16.5" thickBot="1">
      <c r="A30" s="274" t="s">
        <v>591</v>
      </c>
      <c r="B30" s="165" t="s">
        <v>611</v>
      </c>
      <c r="C30" s="67"/>
      <c r="D30" s="67"/>
      <c r="E30" s="67"/>
      <c r="F30" s="67"/>
      <c r="G30" s="67"/>
      <c r="H30" s="67"/>
      <c r="I30" s="67" t="s">
        <v>120</v>
      </c>
      <c r="J30" s="283">
        <f>J7+J28</f>
        <v>126006</v>
      </c>
    </row>
    <row r="31" spans="1:10" ht="16.5" thickTop="1">
      <c r="A31" s="67"/>
      <c r="B31" s="67"/>
      <c r="C31" s="67"/>
      <c r="D31" s="67"/>
      <c r="E31" s="67"/>
      <c r="F31" s="67"/>
      <c r="G31" s="67"/>
      <c r="H31" s="67"/>
      <c r="I31" s="67"/>
      <c r="J31" s="67"/>
    </row>
    <row r="32" spans="1:10">
      <c r="A32" s="274" t="s">
        <v>609</v>
      </c>
      <c r="B32" s="165" t="str">
        <f>CONCATENATE("Debt Service Levy in this ",J1,"")</f>
        <v>Debt Service Levy in this 2013</v>
      </c>
      <c r="C32" s="67"/>
      <c r="D32" s="67"/>
      <c r="E32" s="67"/>
      <c r="F32" s="67"/>
      <c r="G32" s="67"/>
      <c r="H32" s="67"/>
      <c r="I32" s="67"/>
      <c r="J32" s="252">
        <f ca="1">DebtService!G57</f>
        <v>0</v>
      </c>
    </row>
    <row r="33" spans="1:10">
      <c r="A33" s="274"/>
      <c r="B33" s="165"/>
      <c r="C33" s="67"/>
      <c r="D33" s="67"/>
      <c r="E33" s="67"/>
      <c r="F33" s="67"/>
      <c r="G33" s="67"/>
      <c r="H33" s="67"/>
      <c r="I33" s="67"/>
      <c r="J33" s="75"/>
    </row>
    <row r="34" spans="1:10" ht="16.5" thickBot="1">
      <c r="A34" s="274" t="s">
        <v>610</v>
      </c>
      <c r="B34" s="165" t="s">
        <v>612</v>
      </c>
      <c r="C34" s="67"/>
      <c r="D34" s="67"/>
      <c r="E34" s="67"/>
      <c r="F34" s="67"/>
      <c r="G34" s="67"/>
      <c r="H34" s="67"/>
      <c r="I34" s="67"/>
      <c r="J34" s="283">
        <f>J30+J32</f>
        <v>126006</v>
      </c>
    </row>
    <row r="35" spans="1:10" ht="16.5" thickTop="1">
      <c r="A35" s="67"/>
      <c r="B35" s="67"/>
      <c r="C35" s="67"/>
      <c r="D35" s="67"/>
      <c r="E35" s="67"/>
      <c r="F35" s="67"/>
      <c r="G35" s="67"/>
      <c r="H35" s="67"/>
      <c r="I35" s="67"/>
      <c r="J35" s="67"/>
    </row>
    <row r="36" spans="1:10" s="284" customFormat="1" ht="18.75">
      <c r="A36" s="485" t="str">
        <f>CONCATENATE("If the ",J1," budget includes tax levies exceeding the total on line 14, you must")</f>
        <v>If the 2013 budget includes tax levies exceeding the total on line 14, you must</v>
      </c>
      <c r="B36" s="485"/>
      <c r="C36" s="485"/>
      <c r="D36" s="485"/>
      <c r="E36" s="485"/>
      <c r="F36" s="485"/>
      <c r="G36" s="485"/>
      <c r="H36" s="485"/>
      <c r="I36" s="485"/>
      <c r="J36" s="485"/>
    </row>
    <row r="37" spans="1:10" s="284" customFormat="1" ht="18.75">
      <c r="A37" s="485" t="s">
        <v>608</v>
      </c>
      <c r="B37" s="485"/>
      <c r="C37" s="485"/>
      <c r="D37" s="485"/>
      <c r="E37" s="485"/>
      <c r="F37" s="485"/>
      <c r="G37" s="485"/>
      <c r="H37" s="485"/>
      <c r="I37" s="485"/>
      <c r="J37" s="485"/>
    </row>
  </sheetData>
  <sheetProtection sheet="1" objects="1" scenarios="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&amp;Lrevised 8/06/07&amp;CPage No. 2</oddFooter>
  </headerFooter>
</worksheet>
</file>

<file path=xl/worksheets/sheet8.xml><?xml version="1.0" encoding="utf-8"?>
<worksheet xmlns="http://schemas.openxmlformats.org/spreadsheetml/2006/main" xmlns:r="http://schemas.openxmlformats.org/officeDocument/2006/relationships">
  <sheetPr codeName="Sheet9">
    <pageSetUpPr fitToPage="1"/>
  </sheetPr>
  <dimension ref="A1:H58"/>
  <sheetViews>
    <sheetView topLeftCell="A10" workbookViewId="0">
      <selection activeCell="G32" sqref="G32"/>
    </sheetView>
  </sheetViews>
  <sheetFormatPr defaultRowHeight="15.75"/>
  <cols>
    <col min="1" max="1" width="27.2968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3.69921875" style="162" customWidth="1"/>
    <col min="8" max="16384" width="8.796875" style="162"/>
  </cols>
  <sheetData>
    <row r="1" spans="1:7">
      <c r="A1" s="235" t="str">
        <f ca="1">inputPrYr!D3</f>
        <v>Paradise Township</v>
      </c>
      <c r="B1" s="67"/>
      <c r="C1" s="67"/>
      <c r="D1" s="67"/>
      <c r="E1" s="67"/>
      <c r="F1" s="67"/>
      <c r="G1" s="236">
        <f ca="1">inputPrYr!D9</f>
        <v>2013</v>
      </c>
    </row>
    <row r="2" spans="1:7">
      <c r="A2" s="165" t="s">
        <v>563</v>
      </c>
      <c r="B2" s="67"/>
      <c r="C2" s="67"/>
      <c r="D2" s="67"/>
      <c r="E2" s="67"/>
      <c r="F2" s="67"/>
      <c r="G2" s="329"/>
    </row>
    <row r="3" spans="1:7">
      <c r="A3" s="67"/>
      <c r="B3" s="75"/>
      <c r="C3" s="82"/>
      <c r="D3" s="82"/>
      <c r="E3" s="82"/>
      <c r="F3" s="82"/>
      <c r="G3" s="330"/>
    </row>
    <row r="4" spans="1:7">
      <c r="A4" s="76" t="s">
        <v>128</v>
      </c>
      <c r="B4" s="75"/>
      <c r="C4" s="487" t="s">
        <v>129</v>
      </c>
      <c r="D4" s="488"/>
      <c r="E4" s="495" t="s">
        <v>130</v>
      </c>
      <c r="F4" s="496"/>
      <c r="G4" s="78" t="s">
        <v>131</v>
      </c>
    </row>
    <row r="5" spans="1:7">
      <c r="A5" s="185" t="str">
        <f ca="1">inputPrYr!B20</f>
        <v>General</v>
      </c>
      <c r="B5" s="331"/>
      <c r="C5" s="489" t="str">
        <f>CONCATENATE("Actual ",$G$1-2,"")</f>
        <v>Actual 2011</v>
      </c>
      <c r="D5" s="490"/>
      <c r="E5" s="489" t="str">
        <f>CONCATENATE("Estimate ",$G$1-1,"")</f>
        <v>Estimate 2012</v>
      </c>
      <c r="F5" s="490"/>
      <c r="G5" s="83" t="str">
        <f>CONCATENATE("Year ",$G$1,"")</f>
        <v>Year 2013</v>
      </c>
    </row>
    <row r="6" spans="1:7">
      <c r="A6" s="84" t="s">
        <v>613</v>
      </c>
      <c r="B6" s="85"/>
      <c r="C6" s="491">
        <v>192</v>
      </c>
      <c r="D6" s="492"/>
      <c r="E6" s="493">
        <f>C47</f>
        <v>97</v>
      </c>
      <c r="F6" s="494"/>
      <c r="G6" s="272">
        <f>E47</f>
        <v>94</v>
      </c>
    </row>
    <row r="7" spans="1:7">
      <c r="A7" s="84" t="s">
        <v>615</v>
      </c>
      <c r="B7" s="85"/>
      <c r="C7" s="493"/>
      <c r="D7" s="494"/>
      <c r="E7" s="493"/>
      <c r="F7" s="494"/>
      <c r="G7" s="335"/>
    </row>
    <row r="8" spans="1:7">
      <c r="A8" s="84" t="s">
        <v>134</v>
      </c>
      <c r="B8" s="85"/>
      <c r="C8" s="491">
        <v>6457</v>
      </c>
      <c r="D8" s="492"/>
      <c r="E8" s="493">
        <f ca="1">inputPrYr!E20</f>
        <v>6845</v>
      </c>
      <c r="F8" s="494"/>
      <c r="G8" s="335" t="s">
        <v>112</v>
      </c>
    </row>
    <row r="9" spans="1:7">
      <c r="A9" s="84" t="s">
        <v>135</v>
      </c>
      <c r="B9" s="85"/>
      <c r="C9" s="491">
        <v>103</v>
      </c>
      <c r="D9" s="492"/>
      <c r="E9" s="491"/>
      <c r="F9" s="492"/>
      <c r="G9" s="177"/>
    </row>
    <row r="10" spans="1:7">
      <c r="A10" s="84" t="s">
        <v>136</v>
      </c>
      <c r="B10" s="85"/>
      <c r="C10" s="491">
        <v>148</v>
      </c>
      <c r="D10" s="492"/>
      <c r="E10" s="491">
        <v>98</v>
      </c>
      <c r="F10" s="492"/>
      <c r="G10" s="272">
        <f ca="1">mvalloc!G12</f>
        <v>85</v>
      </c>
    </row>
    <row r="11" spans="1:7">
      <c r="A11" s="84" t="s">
        <v>137</v>
      </c>
      <c r="B11" s="85"/>
      <c r="C11" s="491">
        <v>4</v>
      </c>
      <c r="D11" s="492"/>
      <c r="E11" s="491">
        <v>5</v>
      </c>
      <c r="F11" s="492"/>
      <c r="G11" s="272">
        <f ca="1">mvalloc!I12</f>
        <v>2</v>
      </c>
    </row>
    <row r="12" spans="1:7">
      <c r="A12" s="336" t="s">
        <v>561</v>
      </c>
      <c r="B12" s="85"/>
      <c r="C12" s="491">
        <v>36</v>
      </c>
      <c r="D12" s="492"/>
      <c r="E12" s="491">
        <v>49</v>
      </c>
      <c r="F12" s="492"/>
      <c r="G12" s="272">
        <f ca="1">mvalloc!J12</f>
        <v>47</v>
      </c>
    </row>
    <row r="13" spans="1:7">
      <c r="A13" s="336" t="s">
        <v>658</v>
      </c>
      <c r="B13" s="85"/>
      <c r="C13" s="491"/>
      <c r="D13" s="492"/>
      <c r="E13" s="491"/>
      <c r="F13" s="492"/>
      <c r="G13" s="272">
        <f ca="1">inputOth!E70</f>
        <v>0</v>
      </c>
    </row>
    <row r="14" spans="1:7">
      <c r="A14" s="336" t="s">
        <v>659</v>
      </c>
      <c r="B14" s="85"/>
      <c r="C14" s="491"/>
      <c r="D14" s="492"/>
      <c r="E14" s="491"/>
      <c r="F14" s="492"/>
      <c r="G14" s="272">
        <f ca="1">mvalloc!K12</f>
        <v>0</v>
      </c>
    </row>
    <row r="15" spans="1:7">
      <c r="A15" s="84" t="s">
        <v>138</v>
      </c>
      <c r="B15" s="85"/>
      <c r="C15" s="491"/>
      <c r="D15" s="492"/>
      <c r="E15" s="491"/>
      <c r="F15" s="492"/>
      <c r="G15" s="272">
        <f ca="1">inputOth!E32</f>
        <v>0</v>
      </c>
    </row>
    <row r="16" spans="1:7">
      <c r="A16" s="337"/>
      <c r="B16" s="338"/>
      <c r="C16" s="491"/>
      <c r="D16" s="492"/>
      <c r="E16" s="491"/>
      <c r="F16" s="492"/>
      <c r="G16" s="177"/>
    </row>
    <row r="17" spans="1:7">
      <c r="A17" s="337"/>
      <c r="B17" s="338"/>
      <c r="C17" s="491"/>
      <c r="D17" s="492"/>
      <c r="E17" s="491"/>
      <c r="F17" s="492"/>
      <c r="G17" s="177"/>
    </row>
    <row r="18" spans="1:7">
      <c r="A18" s="339"/>
      <c r="B18" s="338"/>
      <c r="C18" s="491"/>
      <c r="D18" s="492"/>
      <c r="E18" s="491"/>
      <c r="F18" s="492"/>
      <c r="G18" s="177"/>
    </row>
    <row r="19" spans="1:7">
      <c r="A19" s="339"/>
      <c r="B19" s="338"/>
      <c r="C19" s="491"/>
      <c r="D19" s="492"/>
      <c r="E19" s="491"/>
      <c r="F19" s="492"/>
      <c r="G19" s="177"/>
    </row>
    <row r="20" spans="1:7">
      <c r="A20" s="339"/>
      <c r="B20" s="338"/>
      <c r="C20" s="491"/>
      <c r="D20" s="492"/>
      <c r="E20" s="491"/>
      <c r="F20" s="492"/>
      <c r="G20" s="177"/>
    </row>
    <row r="21" spans="1:7">
      <c r="A21" s="337"/>
      <c r="B21" s="338"/>
      <c r="C21" s="491"/>
      <c r="D21" s="492"/>
      <c r="E21" s="491"/>
      <c r="F21" s="492"/>
      <c r="G21" s="177"/>
    </row>
    <row r="22" spans="1:7">
      <c r="A22" s="339" t="s">
        <v>140</v>
      </c>
      <c r="B22" s="338"/>
      <c r="C22" s="491"/>
      <c r="D22" s="492"/>
      <c r="E22" s="491"/>
      <c r="F22" s="492"/>
      <c r="G22" s="177"/>
    </row>
    <row r="23" spans="1:7">
      <c r="A23" s="340" t="s">
        <v>84</v>
      </c>
      <c r="B23" s="341"/>
      <c r="C23" s="491"/>
      <c r="D23" s="492"/>
      <c r="E23" s="491"/>
      <c r="F23" s="492"/>
      <c r="G23" s="333"/>
    </row>
    <row r="24" spans="1:7">
      <c r="A24" s="340" t="s">
        <v>85</v>
      </c>
      <c r="B24" s="341"/>
      <c r="C24" s="500" t="str">
        <f>IF(C25*0.1&lt;C23,"Exceed 10% Rule","")</f>
        <v/>
      </c>
      <c r="D24" s="501"/>
      <c r="E24" s="500" t="str">
        <f>IF(E25*0.1&lt;E23,"Exceed 10% Rule","")</f>
        <v/>
      </c>
      <c r="F24" s="501"/>
      <c r="G24" s="342" t="str">
        <f>IF(G25*0.1+G52&lt;G23,"Exceed 10% Rule","")</f>
        <v/>
      </c>
    </row>
    <row r="25" spans="1:7">
      <c r="A25" s="343" t="s">
        <v>141</v>
      </c>
      <c r="B25" s="85"/>
      <c r="C25" s="509">
        <f>SUM(C8:C23)</f>
        <v>6748</v>
      </c>
      <c r="D25" s="510"/>
      <c r="E25" s="509">
        <f>SUM(E8:E23)</f>
        <v>6997</v>
      </c>
      <c r="F25" s="510"/>
      <c r="G25" s="345">
        <f>SUM(G8:G23)</f>
        <v>134</v>
      </c>
    </row>
    <row r="26" spans="1:7">
      <c r="A26" s="102" t="s">
        <v>142</v>
      </c>
      <c r="B26" s="85"/>
      <c r="C26" s="509">
        <f>C25+C6</f>
        <v>6940</v>
      </c>
      <c r="D26" s="510"/>
      <c r="E26" s="509">
        <f>E25+E6</f>
        <v>7094</v>
      </c>
      <c r="F26" s="510"/>
      <c r="G26" s="345">
        <f>G25+G6</f>
        <v>228</v>
      </c>
    </row>
    <row r="27" spans="1:7">
      <c r="A27" s="84" t="s">
        <v>143</v>
      </c>
      <c r="B27" s="85"/>
      <c r="C27" s="493"/>
      <c r="D27" s="494"/>
      <c r="E27" s="493"/>
      <c r="F27" s="494"/>
      <c r="G27" s="272"/>
    </row>
    <row r="28" spans="1:7">
      <c r="A28" s="337"/>
      <c r="B28" s="338"/>
      <c r="C28" s="491"/>
      <c r="D28" s="492"/>
      <c r="E28" s="491"/>
      <c r="F28" s="492"/>
      <c r="G28" s="177"/>
    </row>
    <row r="29" spans="1:7">
      <c r="A29" s="339" t="s">
        <v>596</v>
      </c>
      <c r="B29" s="338"/>
      <c r="C29" s="491">
        <v>2340</v>
      </c>
      <c r="D29" s="492"/>
      <c r="E29" s="491">
        <v>2400</v>
      </c>
      <c r="F29" s="492"/>
      <c r="G29" s="177">
        <v>2400</v>
      </c>
    </row>
    <row r="30" spans="1:7">
      <c r="A30" s="339" t="s">
        <v>621</v>
      </c>
      <c r="B30" s="338"/>
      <c r="C30" s="491"/>
      <c r="D30" s="492"/>
      <c r="E30" s="491"/>
      <c r="F30" s="492"/>
      <c r="G30" s="177"/>
    </row>
    <row r="31" spans="1:7">
      <c r="A31" s="339" t="s">
        <v>597</v>
      </c>
      <c r="B31" s="338"/>
      <c r="C31" s="491">
        <v>2000</v>
      </c>
      <c r="D31" s="492"/>
      <c r="E31" s="491">
        <v>2000</v>
      </c>
      <c r="F31" s="492"/>
      <c r="G31" s="177">
        <v>3450</v>
      </c>
    </row>
    <row r="32" spans="1:7">
      <c r="A32" s="339" t="s">
        <v>154</v>
      </c>
      <c r="B32" s="338"/>
      <c r="C32" s="491">
        <v>1566</v>
      </c>
      <c r="D32" s="492"/>
      <c r="E32" s="491">
        <v>1600</v>
      </c>
      <c r="F32" s="492"/>
      <c r="G32" s="177">
        <v>1600</v>
      </c>
    </row>
    <row r="33" spans="1:8">
      <c r="A33" s="337" t="s">
        <v>598</v>
      </c>
      <c r="B33" s="338"/>
      <c r="C33" s="491"/>
      <c r="D33" s="492"/>
      <c r="E33" s="491"/>
      <c r="F33" s="492"/>
      <c r="G33" s="177"/>
    </row>
    <row r="34" spans="1:8">
      <c r="A34" s="337" t="s">
        <v>622</v>
      </c>
      <c r="B34" s="338"/>
      <c r="C34" s="491">
        <v>937</v>
      </c>
      <c r="D34" s="492"/>
      <c r="E34" s="491">
        <v>1000</v>
      </c>
      <c r="F34" s="492"/>
      <c r="G34" s="177">
        <v>1000</v>
      </c>
    </row>
    <row r="35" spans="1:8">
      <c r="A35" s="339" t="s">
        <v>624</v>
      </c>
      <c r="B35" s="338"/>
      <c r="C35" s="491"/>
      <c r="D35" s="492"/>
      <c r="E35" s="491"/>
      <c r="F35" s="492"/>
      <c r="G35" s="177"/>
    </row>
    <row r="36" spans="1:8">
      <c r="A36" s="339"/>
      <c r="B36" s="338"/>
      <c r="C36" s="491"/>
      <c r="D36" s="492"/>
      <c r="E36" s="491"/>
      <c r="F36" s="492"/>
      <c r="G36" s="177"/>
    </row>
    <row r="37" spans="1:8">
      <c r="A37" s="337"/>
      <c r="B37" s="338"/>
      <c r="C37" s="491"/>
      <c r="D37" s="492"/>
      <c r="E37" s="491"/>
      <c r="F37" s="492"/>
      <c r="G37" s="177"/>
    </row>
    <row r="38" spans="1:8">
      <c r="A38" s="339"/>
      <c r="B38" s="338"/>
      <c r="C38" s="491"/>
      <c r="D38" s="492"/>
      <c r="E38" s="491"/>
      <c r="F38" s="492"/>
      <c r="G38" s="177"/>
    </row>
    <row r="39" spans="1:8">
      <c r="A39" s="336" t="s">
        <v>41</v>
      </c>
      <c r="B39" s="346"/>
      <c r="C39" s="491"/>
      <c r="D39" s="492"/>
      <c r="E39" s="491"/>
      <c r="F39" s="492"/>
      <c r="G39" s="177"/>
    </row>
    <row r="40" spans="1:8">
      <c r="A40" s="336" t="s">
        <v>42</v>
      </c>
      <c r="B40" s="346"/>
      <c r="C40" s="500" t="str">
        <f>IF(AND($C$39&gt;0,$C$8&gt;0),"Not Authorized","")</f>
        <v/>
      </c>
      <c r="D40" s="501"/>
      <c r="E40" s="500" t="str">
        <f>IF(AND($E$39&gt;0,$E$8&gt;0),"Not Authorized","")</f>
        <v/>
      </c>
      <c r="F40" s="501"/>
      <c r="G40" s="347" t="str">
        <f>IF(AND(G52&gt;0,$G$39&gt;0),"Not Authorized","")</f>
        <v/>
      </c>
    </row>
    <row r="41" spans="1:8">
      <c r="A41" s="84" t="s">
        <v>43</v>
      </c>
      <c r="B41" s="346"/>
      <c r="C41" s="491"/>
      <c r="D41" s="492"/>
      <c r="E41" s="491"/>
      <c r="F41" s="492"/>
      <c r="G41" s="177"/>
    </row>
    <row r="42" spans="1:8">
      <c r="A42" s="84" t="s">
        <v>44</v>
      </c>
      <c r="B42" s="346"/>
      <c r="C42" s="500" t="str">
        <f>IF(C26*0.25&lt;C41,"Exceeds 25%","")</f>
        <v/>
      </c>
      <c r="D42" s="501"/>
      <c r="E42" s="500" t="str">
        <f>IF(E26*0.25&lt;E41,"Exceeds 25%","")</f>
        <v/>
      </c>
      <c r="F42" s="501"/>
      <c r="G42" s="347" t="str">
        <f>IF(G26*0.25+G52&lt;G41,"Exceeds 25%","")</f>
        <v/>
      </c>
    </row>
    <row r="43" spans="1:8">
      <c r="A43" s="336" t="s">
        <v>86</v>
      </c>
      <c r="B43" s="341"/>
      <c r="C43" s="491"/>
      <c r="D43" s="492"/>
      <c r="E43" s="491"/>
      <c r="F43" s="492"/>
      <c r="G43" s="189" t="str">
        <f ca="1">nhood!E6</f>
        <v/>
      </c>
    </row>
    <row r="44" spans="1:8">
      <c r="A44" s="336" t="s">
        <v>84</v>
      </c>
      <c r="B44" s="341"/>
      <c r="C44" s="491"/>
      <c r="D44" s="492"/>
      <c r="E44" s="491"/>
      <c r="F44" s="492"/>
      <c r="G44" s="333"/>
    </row>
    <row r="45" spans="1:8">
      <c r="A45" s="336" t="s">
        <v>87</v>
      </c>
      <c r="B45" s="341"/>
      <c r="C45" s="500" t="str">
        <f>IF(C46*0.1&lt;C44,"Exceed 10% Rule","")</f>
        <v/>
      </c>
      <c r="D45" s="501"/>
      <c r="E45" s="500" t="str">
        <f>IF(E46*0.1&lt;E44,"Exceed 10% Rule","")</f>
        <v/>
      </c>
      <c r="F45" s="501"/>
      <c r="G45" s="342" t="str">
        <f>IF(G46*0.1&lt;G44,"Exceed 10% Rule","")</f>
        <v/>
      </c>
    </row>
    <row r="46" spans="1:8">
      <c r="A46" s="102" t="s">
        <v>144</v>
      </c>
      <c r="B46" s="85"/>
      <c r="C46" s="509">
        <f>SUM(C28:D39,C41,C43:D44)</f>
        <v>6843</v>
      </c>
      <c r="D46" s="510"/>
      <c r="E46" s="509">
        <f>SUM(E28:F39,E41,E43:F44)</f>
        <v>7000</v>
      </c>
      <c r="F46" s="510"/>
      <c r="G46" s="345">
        <f>SUM(G28:G39,G43:G44,G41)</f>
        <v>8450</v>
      </c>
    </row>
    <row r="47" spans="1:8">
      <c r="A47" s="84" t="s">
        <v>614</v>
      </c>
      <c r="B47" s="85"/>
      <c r="C47" s="511">
        <f>C26-C46</f>
        <v>97</v>
      </c>
      <c r="D47" s="512"/>
      <c r="E47" s="511">
        <f>E26-E46</f>
        <v>94</v>
      </c>
      <c r="F47" s="512"/>
      <c r="G47" s="335" t="s">
        <v>112</v>
      </c>
    </row>
    <row r="48" spans="1:8">
      <c r="A48" s="123" t="str">
        <f>CONCATENATE("",G1-2,"/",G1-1," Budget Authority Amount:")</f>
        <v>2011/2012 Budget Authority Amount:</v>
      </c>
      <c r="B48" s="349">
        <f ca="1">inputOth!B83</f>
        <v>7000</v>
      </c>
      <c r="C48" s="70">
        <f ca="1">inputPrYr!D20</f>
        <v>7000</v>
      </c>
      <c r="D48" s="497" t="s">
        <v>38</v>
      </c>
      <c r="E48" s="498"/>
      <c r="F48" s="499"/>
      <c r="G48" s="177"/>
      <c r="H48" s="350" t="str">
        <f>IF(G46/0.95-G46&lt;G48,"Exceeds 5%","")</f>
        <v/>
      </c>
    </row>
    <row r="49" spans="1:7">
      <c r="A49" s="123"/>
      <c r="B49" s="421" t="str">
        <f>IF(C46&gt;B48,"See Tab A","")</f>
        <v/>
      </c>
      <c r="C49" s="351" t="str">
        <f>IF(E46&gt;C48,"See Tab C","")</f>
        <v/>
      </c>
      <c r="D49" s="67"/>
      <c r="E49" s="502" t="s">
        <v>39</v>
      </c>
      <c r="F49" s="503"/>
      <c r="G49" s="272">
        <f>G46+G48</f>
        <v>8450</v>
      </c>
    </row>
    <row r="50" spans="1:7">
      <c r="A50" s="123"/>
      <c r="B50" s="351" t="str">
        <f>IF(C47&lt;0,"See Tab B","")</f>
        <v/>
      </c>
      <c r="C50" s="351" t="str">
        <f>IF(E47&lt;0,"See Tab D","")</f>
        <v/>
      </c>
      <c r="D50" s="67"/>
      <c r="E50" s="502" t="s">
        <v>146</v>
      </c>
      <c r="F50" s="503"/>
      <c r="G50" s="189">
        <f>IF(G49-G26&gt;0,G49-G26,0)</f>
        <v>8222</v>
      </c>
    </row>
    <row r="51" spans="1:7">
      <c r="A51" s="221"/>
      <c r="B51" s="221"/>
      <c r="C51" s="221"/>
      <c r="D51" s="504" t="s">
        <v>40</v>
      </c>
      <c r="E51" s="505"/>
      <c r="F51" s="352">
        <f ca="1">inputOth!$E$77</f>
        <v>0</v>
      </c>
      <c r="G51" s="272">
        <f>ROUND(IF(F51&gt;0,(G50*F51),0),0)</f>
        <v>0</v>
      </c>
    </row>
    <row r="52" spans="1:7">
      <c r="A52" s="67"/>
      <c r="B52" s="67"/>
      <c r="C52" s="506" t="str">
        <f>CONCATENATE("Amount of  ",$G$1-1," Ad Valorem Tax")</f>
        <v>Amount of  2012 Ad Valorem Tax</v>
      </c>
      <c r="D52" s="507"/>
      <c r="E52" s="507"/>
      <c r="F52" s="508"/>
      <c r="G52" s="189">
        <f>G50+G51</f>
        <v>8222</v>
      </c>
    </row>
    <row r="53" spans="1:7">
      <c r="A53" s="67"/>
      <c r="B53" s="67"/>
      <c r="C53" s="67"/>
      <c r="D53" s="67"/>
      <c r="E53" s="67"/>
      <c r="F53" s="67"/>
      <c r="G53" s="67"/>
    </row>
    <row r="54" spans="1:7" s="353" customFormat="1">
      <c r="A54" s="75"/>
      <c r="B54" s="75"/>
      <c r="C54" s="75"/>
      <c r="D54" s="75"/>
      <c r="E54" s="279"/>
      <c r="F54" s="279"/>
      <c r="G54" s="75"/>
    </row>
    <row r="55" spans="1:7" s="354" customFormat="1">
      <c r="A55" s="67"/>
      <c r="B55" s="67"/>
      <c r="C55" s="67"/>
      <c r="D55" s="67"/>
      <c r="E55" s="197"/>
      <c r="F55" s="197"/>
      <c r="G55" s="67"/>
    </row>
    <row r="56" spans="1:7">
      <c r="A56" s="221" t="s">
        <v>127</v>
      </c>
      <c r="B56" s="355"/>
      <c r="C56" s="67"/>
      <c r="D56" s="67"/>
      <c r="E56" s="67"/>
      <c r="F56" s="67"/>
      <c r="G56" s="67"/>
    </row>
    <row r="58" spans="1:7">
      <c r="A58" s="114"/>
    </row>
  </sheetData>
  <sheetProtection sheet="1"/>
  <mergeCells count="93">
    <mergeCell ref="E30:F30"/>
    <mergeCell ref="E31:F31"/>
    <mergeCell ref="C38:D38"/>
    <mergeCell ref="C39:D39"/>
    <mergeCell ref="E32:F32"/>
    <mergeCell ref="C26:D26"/>
    <mergeCell ref="C40:D40"/>
    <mergeCell ref="E36:F36"/>
    <mergeCell ref="E39:F39"/>
    <mergeCell ref="E40:F40"/>
    <mergeCell ref="E37:F37"/>
    <mergeCell ref="E38:F38"/>
    <mergeCell ref="E21:F21"/>
    <mergeCell ref="E22:F22"/>
    <mergeCell ref="C28:D28"/>
    <mergeCell ref="C21:D21"/>
    <mergeCell ref="C22:D22"/>
    <mergeCell ref="C32:D32"/>
    <mergeCell ref="C29:D29"/>
    <mergeCell ref="C31:D31"/>
    <mergeCell ref="E28:F28"/>
    <mergeCell ref="E29:F29"/>
    <mergeCell ref="E26:F26"/>
    <mergeCell ref="C27:D27"/>
    <mergeCell ref="C24:D24"/>
    <mergeCell ref="C25:D25"/>
    <mergeCell ref="E27:F27"/>
    <mergeCell ref="E23:F23"/>
    <mergeCell ref="E24:F24"/>
    <mergeCell ref="E25:F25"/>
    <mergeCell ref="C23:D23"/>
    <mergeCell ref="C46:D46"/>
    <mergeCell ref="C47:D47"/>
    <mergeCell ref="C44:D44"/>
    <mergeCell ref="E44:F44"/>
    <mergeCell ref="E45:F45"/>
    <mergeCell ref="E46:F46"/>
    <mergeCell ref="E47:F47"/>
    <mergeCell ref="E41:F41"/>
    <mergeCell ref="E42:F42"/>
    <mergeCell ref="C30:D30"/>
    <mergeCell ref="C35:D35"/>
    <mergeCell ref="C36:D36"/>
    <mergeCell ref="C37:D37"/>
    <mergeCell ref="E34:F34"/>
    <mergeCell ref="E35:F35"/>
    <mergeCell ref="C34:D34"/>
    <mergeCell ref="C33:D33"/>
    <mergeCell ref="C16:D16"/>
    <mergeCell ref="E16:F16"/>
    <mergeCell ref="C20:D20"/>
    <mergeCell ref="C17:D17"/>
    <mergeCell ref="C18:D18"/>
    <mergeCell ref="C19:D19"/>
    <mergeCell ref="E18:F18"/>
    <mergeCell ref="E19:F19"/>
    <mergeCell ref="E20:F20"/>
    <mergeCell ref="E17:F17"/>
    <mergeCell ref="E49:F49"/>
    <mergeCell ref="E50:F50"/>
    <mergeCell ref="D51:E51"/>
    <mergeCell ref="C52:F52"/>
    <mergeCell ref="E43:F43"/>
    <mergeCell ref="C42:D42"/>
    <mergeCell ref="C43:D43"/>
    <mergeCell ref="E33:F33"/>
    <mergeCell ref="C41:D41"/>
    <mergeCell ref="C10:D10"/>
    <mergeCell ref="D48:F48"/>
    <mergeCell ref="C45:D45"/>
    <mergeCell ref="C11:D11"/>
    <mergeCell ref="C12:D12"/>
    <mergeCell ref="C13:D13"/>
    <mergeCell ref="C14:D14"/>
    <mergeCell ref="C15:D15"/>
    <mergeCell ref="E11:F11"/>
    <mergeCell ref="E12:F12"/>
    <mergeCell ref="E5:F5"/>
    <mergeCell ref="E6:F6"/>
    <mergeCell ref="E7:F7"/>
    <mergeCell ref="E13:F13"/>
    <mergeCell ref="E14:F14"/>
    <mergeCell ref="E15:F15"/>
    <mergeCell ref="C4:D4"/>
    <mergeCell ref="C5:D5"/>
    <mergeCell ref="E9:F9"/>
    <mergeCell ref="E10:F10"/>
    <mergeCell ref="C6:D6"/>
    <mergeCell ref="C7:D7"/>
    <mergeCell ref="E8:F8"/>
    <mergeCell ref="C8:D8"/>
    <mergeCell ref="C9:D9"/>
    <mergeCell ref="E4:F4"/>
  </mergeCells>
  <phoneticPr fontId="0" type="noConversion"/>
  <conditionalFormatting sqref="C23:D23">
    <cfRule type="cellIs" dxfId="169" priority="2" stopIfTrue="1" operator="greaterThan">
      <formula>$C$25*0.1</formula>
    </cfRule>
  </conditionalFormatting>
  <conditionalFormatting sqref="E23:F23">
    <cfRule type="cellIs" dxfId="168" priority="3" stopIfTrue="1" operator="greaterThan">
      <formula>$E$25*0.1</formula>
    </cfRule>
  </conditionalFormatting>
  <conditionalFormatting sqref="G48">
    <cfRule type="cellIs" dxfId="167" priority="4" stopIfTrue="1" operator="greaterThan">
      <formula>$G$46/0.95-$G$46</formula>
    </cfRule>
  </conditionalFormatting>
  <conditionalFormatting sqref="G44">
    <cfRule type="cellIs" dxfId="166" priority="5" stopIfTrue="1" operator="greaterThan">
      <formula>$G$46*0.1</formula>
    </cfRule>
  </conditionalFormatting>
  <conditionalFormatting sqref="E44:F44">
    <cfRule type="cellIs" dxfId="165" priority="6" stopIfTrue="1" operator="greaterThan">
      <formula>$E$46*0.1</formula>
    </cfRule>
  </conditionalFormatting>
  <conditionalFormatting sqref="C44:D44">
    <cfRule type="cellIs" dxfId="164" priority="7" stopIfTrue="1" operator="greaterThan">
      <formula>$C$46*0.1</formula>
    </cfRule>
  </conditionalFormatting>
  <conditionalFormatting sqref="C46:D46">
    <cfRule type="cellIs" dxfId="163" priority="8" stopIfTrue="1" operator="greaterThan">
      <formula>$B$48</formula>
    </cfRule>
  </conditionalFormatting>
  <conditionalFormatting sqref="C47:D47">
    <cfRule type="cellIs" dxfId="162" priority="9" stopIfTrue="1" operator="lessThan">
      <formula>0</formula>
    </cfRule>
  </conditionalFormatting>
  <conditionalFormatting sqref="E46:F46">
    <cfRule type="cellIs" dxfId="161" priority="10" stopIfTrue="1" operator="greaterThan">
      <formula>$C$48</formula>
    </cfRule>
  </conditionalFormatting>
  <conditionalFormatting sqref="C41:D41">
    <cfRule type="cellIs" dxfId="160" priority="11" stopIfTrue="1" operator="greaterThan">
      <formula>$C$26*0.25</formula>
    </cfRule>
  </conditionalFormatting>
  <conditionalFormatting sqref="E41:F41">
    <cfRule type="cellIs" dxfId="159" priority="12" stopIfTrue="1" operator="greaterThan">
      <formula>$E$26*0.25</formula>
    </cfRule>
  </conditionalFormatting>
  <conditionalFormatting sqref="E39:F39">
    <cfRule type="expression" dxfId="158" priority="13" stopIfTrue="1">
      <formula>$E$8&gt;0</formula>
    </cfRule>
  </conditionalFormatting>
  <conditionalFormatting sqref="G23">
    <cfRule type="cellIs" dxfId="157" priority="14" stopIfTrue="1" operator="greaterThan">
      <formula>$G$25*0.1+$G$52</formula>
    </cfRule>
  </conditionalFormatting>
  <conditionalFormatting sqref="C39:D39">
    <cfRule type="expression" dxfId="156" priority="15" stopIfTrue="1">
      <formula>$C$8&gt;0</formula>
    </cfRule>
  </conditionalFormatting>
  <conditionalFormatting sqref="G41">
    <cfRule type="cellIs" dxfId="155" priority="16" stopIfTrue="1" operator="greaterThan">
      <formula>$G$26*0.25+$G$52</formula>
    </cfRule>
  </conditionalFormatting>
  <conditionalFormatting sqref="G39">
    <cfRule type="expression" dxfId="154" priority="17" stopIfTrue="1">
      <formula>$G$52&gt;0</formula>
    </cfRule>
  </conditionalFormatting>
  <conditionalFormatting sqref="E47:F47">
    <cfRule type="cellIs" dxfId="153" priority="1" stopIfTrue="1" operator="lessThan">
      <formula>0</formula>
    </cfRule>
  </conditionalFormatting>
  <pageMargins left="0.9" right="0.9" top="0.96" bottom="0.5" header="0.41" footer="0.3"/>
  <pageSetup scale="80" orientation="portrait" blackAndWhite="1" horizontalDpi="4294967292" verticalDpi="96" r:id="rId1"/>
  <headerFooter alignWithMargins="0">
    <oddHeader xml:space="preserve">&amp;RState of Kansas
Township
</oddHeader>
    <oddFooter>&amp;Lrevised 8/21/09</oddFooter>
  </headerFooter>
</worksheet>
</file>

<file path=xl/worksheets/sheet9.xml><?xml version="1.0" encoding="utf-8"?>
<worksheet xmlns="http://schemas.openxmlformats.org/spreadsheetml/2006/main" xmlns:r="http://schemas.openxmlformats.org/officeDocument/2006/relationships">
  <sheetPr codeName="Sheet11">
    <pageSetUpPr fitToPage="1"/>
  </sheetPr>
  <dimension ref="A1:H66"/>
  <sheetViews>
    <sheetView topLeftCell="A16" workbookViewId="0">
      <selection activeCell="G33" sqref="G33"/>
    </sheetView>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Paradise Township</v>
      </c>
      <c r="B1" s="67"/>
      <c r="C1" s="67"/>
      <c r="D1" s="67"/>
      <c r="E1" s="67"/>
      <c r="F1" s="67"/>
      <c r="G1" s="236">
        <f ca="1">inputPrYr!D9</f>
        <v>2013</v>
      </c>
    </row>
    <row r="2" spans="1:7">
      <c r="A2" s="165" t="s">
        <v>564</v>
      </c>
      <c r="B2" s="67"/>
      <c r="C2" s="67"/>
      <c r="D2" s="67"/>
      <c r="E2" s="217"/>
      <c r="F2" s="217"/>
      <c r="G2" s="69"/>
    </row>
    <row r="3" spans="1:7">
      <c r="A3" s="76" t="s">
        <v>128</v>
      </c>
      <c r="B3" s="357"/>
      <c r="C3" s="74"/>
      <c r="D3" s="74"/>
      <c r="E3" s="74"/>
      <c r="F3" s="74"/>
      <c r="G3" s="74"/>
    </row>
    <row r="4" spans="1:7">
      <c r="A4" s="67"/>
      <c r="B4" s="75"/>
      <c r="C4" s="487" t="s">
        <v>129</v>
      </c>
      <c r="D4" s="488"/>
      <c r="E4" s="495" t="s">
        <v>130</v>
      </c>
      <c r="F4" s="496"/>
      <c r="G4" s="78" t="s">
        <v>131</v>
      </c>
    </row>
    <row r="5" spans="1:7">
      <c r="A5" s="185" t="str">
        <f ca="1">inputPrYr!B22</f>
        <v>Road</v>
      </c>
      <c r="B5" s="331"/>
      <c r="C5" s="489" t="str">
        <f ca="1">gen!C5</f>
        <v>Actual 2011</v>
      </c>
      <c r="D5" s="490"/>
      <c r="E5" s="489" t="str">
        <f ca="1">gen!E5</f>
        <v>Estimate 2012</v>
      </c>
      <c r="F5" s="490"/>
      <c r="G5" s="83" t="str">
        <f ca="1">gen!G5</f>
        <v>Year 2013</v>
      </c>
    </row>
    <row r="6" spans="1:7">
      <c r="A6" s="84" t="s">
        <v>613</v>
      </c>
      <c r="B6" s="85"/>
      <c r="C6" s="491">
        <v>36</v>
      </c>
      <c r="D6" s="492"/>
      <c r="E6" s="493">
        <f>C42</f>
        <v>18697</v>
      </c>
      <c r="F6" s="494"/>
      <c r="G6" s="272">
        <f>E42</f>
        <v>17386</v>
      </c>
    </row>
    <row r="7" spans="1:7">
      <c r="A7" s="84" t="s">
        <v>615</v>
      </c>
      <c r="B7" s="85"/>
      <c r="C7" s="493"/>
      <c r="D7" s="494"/>
      <c r="E7" s="493"/>
      <c r="F7" s="494"/>
      <c r="G7" s="335"/>
    </row>
    <row r="8" spans="1:7">
      <c r="A8" s="84" t="s">
        <v>134</v>
      </c>
      <c r="B8" s="85"/>
      <c r="C8" s="491">
        <v>109272</v>
      </c>
      <c r="D8" s="492"/>
      <c r="E8" s="493">
        <f ca="1">inputPrYr!E22</f>
        <v>119071</v>
      </c>
      <c r="F8" s="494"/>
      <c r="G8" s="335" t="s">
        <v>112</v>
      </c>
    </row>
    <row r="9" spans="1:7">
      <c r="A9" s="84" t="s">
        <v>135</v>
      </c>
      <c r="B9" s="85"/>
      <c r="C9" s="491">
        <v>1763</v>
      </c>
      <c r="D9" s="492"/>
      <c r="E9" s="491"/>
      <c r="F9" s="492"/>
      <c r="G9" s="177"/>
    </row>
    <row r="10" spans="1:7">
      <c r="A10" s="84" t="s">
        <v>136</v>
      </c>
      <c r="B10" s="85"/>
      <c r="C10" s="491">
        <v>1707</v>
      </c>
      <c r="D10" s="492"/>
      <c r="E10" s="491">
        <v>1663</v>
      </c>
      <c r="F10" s="492"/>
      <c r="G10" s="272">
        <f ca="1">mvalloc!G14</f>
        <v>1486</v>
      </c>
    </row>
    <row r="11" spans="1:7">
      <c r="A11" s="84" t="s">
        <v>137</v>
      </c>
      <c r="B11" s="85"/>
      <c r="C11" s="491">
        <v>50</v>
      </c>
      <c r="D11" s="492"/>
      <c r="E11" s="491">
        <v>76</v>
      </c>
      <c r="F11" s="492"/>
      <c r="G11" s="272">
        <f ca="1">mvalloc!I14</f>
        <v>41</v>
      </c>
    </row>
    <row r="12" spans="1:7">
      <c r="A12" s="84" t="s">
        <v>594</v>
      </c>
      <c r="B12" s="85"/>
      <c r="C12" s="491">
        <v>538</v>
      </c>
      <c r="D12" s="492"/>
      <c r="E12" s="491">
        <v>829</v>
      </c>
      <c r="F12" s="492"/>
      <c r="G12" s="272">
        <f ca="1">mvalloc!J14</f>
        <v>824</v>
      </c>
    </row>
    <row r="13" spans="1:7">
      <c r="A13" s="84" t="s">
        <v>659</v>
      </c>
      <c r="B13" s="85"/>
      <c r="C13" s="491"/>
      <c r="D13" s="492"/>
      <c r="E13" s="491"/>
      <c r="F13" s="492"/>
      <c r="G13" s="272">
        <f ca="1">mvalloc!K14</f>
        <v>0</v>
      </c>
    </row>
    <row r="14" spans="1:7">
      <c r="A14" s="84" t="s">
        <v>595</v>
      </c>
      <c r="B14" s="85"/>
      <c r="C14" s="491">
        <v>6305</v>
      </c>
      <c r="D14" s="492"/>
      <c r="E14" s="491">
        <v>5550</v>
      </c>
      <c r="F14" s="492"/>
      <c r="G14" s="272">
        <f ca="1">inputOth!E72</f>
        <v>5492</v>
      </c>
    </row>
    <row r="15" spans="1:7">
      <c r="A15" s="339"/>
      <c r="B15" s="338"/>
      <c r="C15" s="491"/>
      <c r="D15" s="492"/>
      <c r="E15" s="491"/>
      <c r="F15" s="492"/>
      <c r="G15" s="177"/>
    </row>
    <row r="16" spans="1:7">
      <c r="A16" s="339"/>
      <c r="B16" s="338"/>
      <c r="C16" s="491"/>
      <c r="D16" s="492"/>
      <c r="E16" s="491"/>
      <c r="F16" s="492"/>
      <c r="G16" s="177"/>
    </row>
    <row r="17" spans="1:7">
      <c r="A17" s="339"/>
      <c r="B17" s="338"/>
      <c r="C17" s="491"/>
      <c r="D17" s="492"/>
      <c r="E17" s="491"/>
      <c r="F17" s="492"/>
      <c r="G17" s="177"/>
    </row>
    <row r="18" spans="1:7">
      <c r="A18" s="339"/>
      <c r="B18" s="338"/>
      <c r="C18" s="491"/>
      <c r="D18" s="492"/>
      <c r="E18" s="491"/>
      <c r="F18" s="492"/>
      <c r="G18" s="177"/>
    </row>
    <row r="19" spans="1:7">
      <c r="A19" s="339"/>
      <c r="B19" s="338"/>
      <c r="C19" s="491"/>
      <c r="D19" s="492"/>
      <c r="E19" s="491"/>
      <c r="F19" s="492"/>
      <c r="G19" s="177"/>
    </row>
    <row r="20" spans="1:7">
      <c r="A20" s="339" t="s">
        <v>140</v>
      </c>
      <c r="B20" s="338"/>
      <c r="C20" s="491">
        <v>606</v>
      </c>
      <c r="D20" s="492"/>
      <c r="E20" s="491">
        <v>1500</v>
      </c>
      <c r="F20" s="492"/>
      <c r="G20" s="177">
        <v>1000</v>
      </c>
    </row>
    <row r="21" spans="1:7">
      <c r="A21" s="340" t="s">
        <v>84</v>
      </c>
      <c r="B21" s="341"/>
      <c r="C21" s="491"/>
      <c r="D21" s="492"/>
      <c r="E21" s="491"/>
      <c r="F21" s="492"/>
      <c r="G21" s="333"/>
    </row>
    <row r="22" spans="1:7">
      <c r="A22" s="340" t="s">
        <v>85</v>
      </c>
      <c r="B22" s="341"/>
      <c r="C22" s="500" t="str">
        <f>IF(C23*0.1&lt;C21,"Exceed 10% Rule","")</f>
        <v/>
      </c>
      <c r="D22" s="501"/>
      <c r="E22" s="500" t="str">
        <f>IF(E23*0.1&lt;E21,"Exceed 10% Rule","")</f>
        <v/>
      </c>
      <c r="F22" s="501"/>
      <c r="G22" s="342" t="str">
        <f>IF(G23*0.1+G47&lt;G21,"Exceed 10% Rule","")</f>
        <v/>
      </c>
    </row>
    <row r="23" spans="1:7">
      <c r="A23" s="343" t="s">
        <v>141</v>
      </c>
      <c r="B23" s="85"/>
      <c r="C23" s="509">
        <f>SUM(C8:C21)</f>
        <v>120241</v>
      </c>
      <c r="D23" s="510"/>
      <c r="E23" s="509">
        <f>SUM(E8:E21)</f>
        <v>128689</v>
      </c>
      <c r="F23" s="510"/>
      <c r="G23" s="345">
        <f>SUM(G8:G21)</f>
        <v>8843</v>
      </c>
    </row>
    <row r="24" spans="1:7">
      <c r="A24" s="102" t="s">
        <v>142</v>
      </c>
      <c r="B24" s="85"/>
      <c r="C24" s="509">
        <f>C23+C6</f>
        <v>120277</v>
      </c>
      <c r="D24" s="510"/>
      <c r="E24" s="509">
        <f>E23+E6</f>
        <v>147386</v>
      </c>
      <c r="F24" s="510"/>
      <c r="G24" s="345">
        <f>G23+G6</f>
        <v>26229</v>
      </c>
    </row>
    <row r="25" spans="1:7">
      <c r="A25" s="84" t="s">
        <v>143</v>
      </c>
      <c r="B25" s="85"/>
      <c r="C25" s="493"/>
      <c r="D25" s="494"/>
      <c r="E25" s="493"/>
      <c r="F25" s="494"/>
      <c r="G25" s="272"/>
    </row>
    <row r="26" spans="1:7">
      <c r="A26" s="339"/>
      <c r="B26" s="338"/>
      <c r="C26" s="491"/>
      <c r="D26" s="492"/>
      <c r="E26" s="491"/>
      <c r="F26" s="492"/>
      <c r="G26" s="177"/>
    </row>
    <row r="27" spans="1:7">
      <c r="A27" s="339" t="s">
        <v>596</v>
      </c>
      <c r="B27" s="338"/>
      <c r="C27" s="491"/>
      <c r="D27" s="492"/>
      <c r="E27" s="491">
        <v>3000</v>
      </c>
      <c r="F27" s="492"/>
      <c r="G27" s="177">
        <v>3000</v>
      </c>
    </row>
    <row r="28" spans="1:7">
      <c r="A28" s="339" t="s">
        <v>621</v>
      </c>
      <c r="B28" s="338"/>
      <c r="C28" s="491">
        <v>29022</v>
      </c>
      <c r="D28" s="492"/>
      <c r="E28" s="491">
        <v>41000</v>
      </c>
      <c r="F28" s="492"/>
      <c r="G28" s="177">
        <v>41000</v>
      </c>
    </row>
    <row r="29" spans="1:7">
      <c r="A29" s="337" t="s">
        <v>597</v>
      </c>
      <c r="B29" s="338"/>
      <c r="C29" s="491">
        <v>2429</v>
      </c>
      <c r="D29" s="492"/>
      <c r="E29" s="491">
        <v>12000</v>
      </c>
      <c r="F29" s="492"/>
      <c r="G29" s="177">
        <v>12000</v>
      </c>
    </row>
    <row r="30" spans="1:7">
      <c r="A30" s="339" t="s">
        <v>623</v>
      </c>
      <c r="B30" s="338"/>
      <c r="C30" s="491">
        <v>14223</v>
      </c>
      <c r="D30" s="492"/>
      <c r="E30" s="491">
        <v>25000</v>
      </c>
      <c r="F30" s="492"/>
      <c r="G30" s="177">
        <v>25000</v>
      </c>
    </row>
    <row r="31" spans="1:7">
      <c r="A31" s="339" t="s">
        <v>600</v>
      </c>
      <c r="B31" s="338"/>
      <c r="C31" s="491">
        <v>8549</v>
      </c>
      <c r="D31" s="492"/>
      <c r="E31" s="491">
        <v>9000</v>
      </c>
      <c r="F31" s="492"/>
      <c r="G31" s="177">
        <v>18000</v>
      </c>
    </row>
    <row r="32" spans="1:7">
      <c r="A32" s="339" t="s">
        <v>598</v>
      </c>
      <c r="B32" s="338"/>
      <c r="C32" s="491">
        <v>2870</v>
      </c>
      <c r="D32" s="492"/>
      <c r="E32" s="491">
        <v>25000</v>
      </c>
      <c r="F32" s="492"/>
      <c r="G32" s="177">
        <v>38000</v>
      </c>
    </row>
    <row r="33" spans="1:8">
      <c r="A33" s="339" t="s">
        <v>534</v>
      </c>
      <c r="B33" s="338"/>
      <c r="C33" s="491">
        <v>3868</v>
      </c>
      <c r="D33" s="492"/>
      <c r="E33" s="491">
        <v>4000</v>
      </c>
      <c r="F33" s="492"/>
      <c r="G33" s="177">
        <v>4000</v>
      </c>
    </row>
    <row r="34" spans="1:8">
      <c r="A34" s="337" t="s">
        <v>624</v>
      </c>
      <c r="B34" s="338"/>
      <c r="C34" s="491">
        <v>10619</v>
      </c>
      <c r="D34" s="492"/>
      <c r="E34" s="491">
        <v>11000</v>
      </c>
      <c r="F34" s="492"/>
      <c r="G34" s="177">
        <v>16000</v>
      </c>
    </row>
    <row r="35" spans="1:8">
      <c r="A35" s="337"/>
      <c r="B35" s="338"/>
      <c r="C35" s="491"/>
      <c r="D35" s="492"/>
      <c r="E35" s="491"/>
      <c r="F35" s="492"/>
      <c r="G35" s="177"/>
    </row>
    <row r="36" spans="1:8">
      <c r="A36" s="84" t="s">
        <v>599</v>
      </c>
      <c r="B36" s="85"/>
      <c r="C36" s="491">
        <v>30000</v>
      </c>
      <c r="D36" s="492"/>
      <c r="E36" s="491"/>
      <c r="F36" s="492"/>
      <c r="G36" s="177"/>
    </row>
    <row r="37" spans="1:8">
      <c r="A37" s="84" t="s">
        <v>46</v>
      </c>
      <c r="B37" s="85"/>
      <c r="C37" s="500" t="str">
        <f>IF(C24*0.25&lt;C36,"Exceeds 25%","")</f>
        <v/>
      </c>
      <c r="D37" s="501"/>
      <c r="E37" s="500" t="str">
        <f>IF(E24*0.25&lt;E36,"Exceeds 25%","")</f>
        <v/>
      </c>
      <c r="F37" s="501"/>
      <c r="G37" s="347" t="str">
        <f>IF(G24*0.25+G47&lt;G36,"Exceeds 25%","")</f>
        <v/>
      </c>
    </row>
    <row r="38" spans="1:8">
      <c r="A38" s="336" t="s">
        <v>86</v>
      </c>
      <c r="B38" s="341"/>
      <c r="C38" s="491"/>
      <c r="D38" s="492"/>
      <c r="E38" s="491"/>
      <c r="F38" s="492"/>
      <c r="G38" s="189" t="str">
        <f ca="1">nhood!E8</f>
        <v/>
      </c>
    </row>
    <row r="39" spans="1:8">
      <c r="A39" s="336" t="s">
        <v>84</v>
      </c>
      <c r="B39" s="341"/>
      <c r="C39" s="491"/>
      <c r="D39" s="492"/>
      <c r="E39" s="491"/>
      <c r="F39" s="492"/>
      <c r="G39" s="333"/>
    </row>
    <row r="40" spans="1:8">
      <c r="A40" s="336" t="s">
        <v>87</v>
      </c>
      <c r="B40" s="341"/>
      <c r="C40" s="500" t="str">
        <f>IF(C41*0.1&lt;C39,"Exceed 10% Rule","")</f>
        <v/>
      </c>
      <c r="D40" s="501"/>
      <c r="E40" s="500" t="str">
        <f>IF(E41*0.1&lt;E39,"Exceed 10% Rule","")</f>
        <v/>
      </c>
      <c r="F40" s="501"/>
      <c r="G40" s="342" t="str">
        <f>IF(G41*0.1&lt;G39,"Exceed 10% Rule","")</f>
        <v/>
      </c>
    </row>
    <row r="41" spans="1:8">
      <c r="A41" s="102" t="s">
        <v>144</v>
      </c>
      <c r="B41" s="85"/>
      <c r="C41" s="509">
        <f>SUM(C26:C39)</f>
        <v>101580</v>
      </c>
      <c r="D41" s="510"/>
      <c r="E41" s="509">
        <f>SUM(E26:E39)</f>
        <v>130000</v>
      </c>
      <c r="F41" s="510"/>
      <c r="G41" s="345">
        <f>SUM(G26:G36,G39)</f>
        <v>157000</v>
      </c>
    </row>
    <row r="42" spans="1:8">
      <c r="A42" s="84" t="s">
        <v>614</v>
      </c>
      <c r="B42" s="85"/>
      <c r="C42" s="511">
        <f>C24-C41</f>
        <v>18697</v>
      </c>
      <c r="D42" s="512"/>
      <c r="E42" s="511">
        <f>E24-E41</f>
        <v>17386</v>
      </c>
      <c r="F42" s="512"/>
      <c r="G42" s="335" t="s">
        <v>112</v>
      </c>
    </row>
    <row r="43" spans="1:8">
      <c r="A43" s="123" t="str">
        <f>CONCATENATE("",$G$1-2,"/",$G$1-1," Budget Authority Amount:")</f>
        <v>2011/2012 Budget Authority Amount:</v>
      </c>
      <c r="B43" s="349">
        <f ca="1">inputOth!B85</f>
        <v>120000</v>
      </c>
      <c r="C43" s="70">
        <f ca="1">inputPrYr!D22</f>
        <v>130000</v>
      </c>
      <c r="D43" s="497" t="s">
        <v>38</v>
      </c>
      <c r="E43" s="498"/>
      <c r="F43" s="499"/>
      <c r="G43" s="177"/>
      <c r="H43" s="350" t="str">
        <f>IF(G41/0.95-G41&lt;G43,"Exceeds 5%","")</f>
        <v/>
      </c>
    </row>
    <row r="44" spans="1:8">
      <c r="A44" s="123"/>
      <c r="B44" s="351" t="str">
        <f>IF(C41&gt;B43,"See Tab A","")</f>
        <v/>
      </c>
      <c r="C44" s="351" t="str">
        <f>IF(E41&gt;C43,"See Tab C","")</f>
        <v/>
      </c>
      <c r="D44" s="67"/>
      <c r="E44" s="502" t="s">
        <v>39</v>
      </c>
      <c r="F44" s="503"/>
      <c r="G44" s="272">
        <f>G41+G43</f>
        <v>157000</v>
      </c>
    </row>
    <row r="45" spans="1:8">
      <c r="A45" s="123"/>
      <c r="B45" s="351" t="str">
        <f>IF(C42&lt;0,"See Tab B","")</f>
        <v/>
      </c>
      <c r="C45" s="351" t="str">
        <f>IF(E42&lt;0,"See Tab D","")</f>
        <v/>
      </c>
      <c r="D45" s="67"/>
      <c r="E45" s="502" t="s">
        <v>146</v>
      </c>
      <c r="F45" s="503"/>
      <c r="G45" s="189">
        <f>IF(G44-G24&gt;0,G44-G24,0)</f>
        <v>130771</v>
      </c>
    </row>
    <row r="46" spans="1:8">
      <c r="A46" s="221"/>
      <c r="B46" s="221"/>
      <c r="C46" s="221"/>
      <c r="D46" s="504" t="s">
        <v>40</v>
      </c>
      <c r="E46" s="505"/>
      <c r="F46" s="352">
        <f ca="1">inputOth!$E$77</f>
        <v>0</v>
      </c>
      <c r="G46" s="272">
        <f>ROUND(IF(F46&gt;0,(G45*F46),0),0)</f>
        <v>0</v>
      </c>
    </row>
    <row r="47" spans="1:8">
      <c r="A47" s="67"/>
      <c r="B47" s="67"/>
      <c r="C47" s="506" t="str">
        <f>CONCATENATE("Amount of  ",$G$1-1," Ad Valorem Tax")</f>
        <v>Amount of  2012 Ad Valorem Tax</v>
      </c>
      <c r="D47" s="507"/>
      <c r="E47" s="507"/>
      <c r="F47" s="508"/>
      <c r="G47" s="189">
        <f>G45+G46</f>
        <v>130771</v>
      </c>
    </row>
    <row r="48" spans="1:8">
      <c r="A48" s="67"/>
      <c r="B48" s="67"/>
      <c r="C48" s="67"/>
      <c r="D48" s="67"/>
      <c r="E48" s="67"/>
      <c r="F48" s="67"/>
      <c r="G48" s="67"/>
    </row>
    <row r="49" spans="1:7">
      <c r="A49" s="67"/>
      <c r="B49" s="67"/>
      <c r="C49" s="67"/>
      <c r="D49" s="67"/>
      <c r="E49" s="67"/>
      <c r="F49" s="67"/>
      <c r="G49" s="67"/>
    </row>
    <row r="50" spans="1:7">
      <c r="A50" s="163" t="s">
        <v>148</v>
      </c>
      <c r="B50" s="212">
        <f>G1-2</f>
        <v>2011</v>
      </c>
      <c r="C50" s="369"/>
      <c r="D50" s="369"/>
      <c r="E50" s="67"/>
      <c r="F50" s="67"/>
      <c r="G50" s="67"/>
    </row>
    <row r="51" spans="1:7">
      <c r="A51" s="81" t="s">
        <v>149</v>
      </c>
      <c r="B51" s="83" t="s">
        <v>150</v>
      </c>
      <c r="C51" s="331"/>
      <c r="D51" s="331"/>
      <c r="E51" s="67"/>
      <c r="F51" s="67"/>
      <c r="G51" s="67"/>
    </row>
    <row r="52" spans="1:7">
      <c r="A52" s="110" t="s">
        <v>132</v>
      </c>
      <c r="B52" s="177">
        <v>163168</v>
      </c>
      <c r="C52" s="67"/>
      <c r="D52" s="67"/>
      <c r="E52" s="67"/>
      <c r="F52" s="67"/>
      <c r="G52" s="67"/>
    </row>
    <row r="53" spans="1:7">
      <c r="A53" s="110" t="s">
        <v>151</v>
      </c>
      <c r="B53" s="272"/>
      <c r="C53" s="67"/>
      <c r="D53" s="67"/>
      <c r="E53" s="67"/>
      <c r="F53" s="67"/>
      <c r="G53" s="67"/>
    </row>
    <row r="54" spans="1:7">
      <c r="A54" s="110" t="s">
        <v>152</v>
      </c>
      <c r="B54" s="189">
        <f>IF(C36&gt;0,C36,0)</f>
        <v>30000</v>
      </c>
      <c r="C54" s="370" t="str">
        <f>IF(C36&gt;(C24*0.25),"Exceeds 25% of Resources Available","")</f>
        <v/>
      </c>
      <c r="D54" s="67"/>
      <c r="E54" s="370"/>
      <c r="F54" s="370"/>
      <c r="G54" s="67"/>
    </row>
    <row r="55" spans="1:7">
      <c r="A55" s="110" t="s">
        <v>47</v>
      </c>
      <c r="B55" s="371">
        <f ca="1">IF(gen!C39&gt;0,gen!C39,0)</f>
        <v>0</v>
      </c>
      <c r="C55" s="513" t="str">
        <f>IF(AND(B55&gt;0,B56&gt;0),"Not Authorized Two Transfers - Only One","")</f>
        <v/>
      </c>
      <c r="D55" s="514"/>
      <c r="E55" s="67"/>
      <c r="F55" s="67"/>
      <c r="G55" s="67"/>
    </row>
    <row r="56" spans="1:7">
      <c r="A56" s="110" t="s">
        <v>48</v>
      </c>
      <c r="B56" s="189">
        <f ca="1">IF(gen!C41&gt;0,gen!C41,0)</f>
        <v>0</v>
      </c>
      <c r="C56" s="515"/>
      <c r="D56" s="514"/>
      <c r="E56" s="67"/>
      <c r="F56" s="67"/>
      <c r="G56" s="67"/>
    </row>
    <row r="57" spans="1:7">
      <c r="A57" s="179" t="s">
        <v>535</v>
      </c>
      <c r="B57" s="177">
        <v>16295</v>
      </c>
      <c r="C57" s="67"/>
      <c r="D57" s="67"/>
      <c r="E57" s="67"/>
      <c r="F57" s="67"/>
      <c r="G57" s="67"/>
    </row>
    <row r="58" spans="1:7">
      <c r="A58" s="179" t="s">
        <v>140</v>
      </c>
      <c r="B58" s="177"/>
      <c r="C58" s="67"/>
      <c r="D58" s="67"/>
      <c r="E58" s="67"/>
      <c r="F58" s="67"/>
      <c r="G58" s="67"/>
    </row>
    <row r="59" spans="1:7">
      <c r="A59" s="179" t="s">
        <v>139</v>
      </c>
      <c r="B59" s="177"/>
      <c r="C59" s="67"/>
      <c r="D59" s="67"/>
      <c r="E59" s="67"/>
      <c r="F59" s="67"/>
      <c r="G59" s="67"/>
    </row>
    <row r="60" spans="1:7">
      <c r="A60" s="372" t="s">
        <v>142</v>
      </c>
      <c r="B60" s="373">
        <f>SUM(B52,B54:B59)</f>
        <v>209463</v>
      </c>
      <c r="C60" s="67"/>
      <c r="D60" s="67"/>
      <c r="E60" s="67"/>
      <c r="F60" s="67"/>
      <c r="G60" s="67"/>
    </row>
    <row r="61" spans="1:7">
      <c r="A61" s="372" t="s">
        <v>144</v>
      </c>
      <c r="B61" s="177"/>
      <c r="C61" s="67"/>
      <c r="D61" s="67"/>
      <c r="E61" s="67"/>
      <c r="F61" s="67"/>
      <c r="G61" s="67"/>
    </row>
    <row r="62" spans="1:7">
      <c r="A62" s="372" t="s">
        <v>145</v>
      </c>
      <c r="B62" s="373">
        <f>B60-B61</f>
        <v>209463</v>
      </c>
      <c r="C62" s="374"/>
      <c r="D62" s="374"/>
      <c r="E62" s="67"/>
      <c r="F62" s="67"/>
      <c r="G62" s="67"/>
    </row>
    <row r="63" spans="1:7">
      <c r="A63" s="67"/>
      <c r="B63" s="67"/>
      <c r="C63" s="67"/>
      <c r="D63" s="67"/>
      <c r="E63" s="67"/>
      <c r="F63" s="67"/>
      <c r="G63" s="67"/>
    </row>
    <row r="64" spans="1:7">
      <c r="A64" s="221" t="s">
        <v>127</v>
      </c>
      <c r="B64" s="375"/>
      <c r="C64" s="67"/>
      <c r="D64" s="67"/>
      <c r="E64" s="67"/>
      <c r="F64" s="67"/>
      <c r="G64" s="67"/>
    </row>
    <row r="66" spans="1:1">
      <c r="A66" s="114"/>
    </row>
  </sheetData>
  <sheetProtection sheet="1" objects="1" scenarios="1"/>
  <mergeCells count="84">
    <mergeCell ref="E42:F42"/>
    <mergeCell ref="E34:F34"/>
    <mergeCell ref="C32:D32"/>
    <mergeCell ref="C40:D40"/>
    <mergeCell ref="E30:F30"/>
    <mergeCell ref="E39:F39"/>
    <mergeCell ref="E40:F40"/>
    <mergeCell ref="E41:F41"/>
    <mergeCell ref="E45:F45"/>
    <mergeCell ref="D46:E46"/>
    <mergeCell ref="D43:F43"/>
    <mergeCell ref="C31:D31"/>
    <mergeCell ref="C33:D33"/>
    <mergeCell ref="C34:D34"/>
    <mergeCell ref="E31:F31"/>
    <mergeCell ref="E32:F32"/>
    <mergeCell ref="E33:F33"/>
    <mergeCell ref="C36:D36"/>
    <mergeCell ref="C35:D35"/>
    <mergeCell ref="C39:D39"/>
    <mergeCell ref="C55:D56"/>
    <mergeCell ref="E35:F35"/>
    <mergeCell ref="E36:F36"/>
    <mergeCell ref="E37:F37"/>
    <mergeCell ref="E38:F38"/>
    <mergeCell ref="C37:D37"/>
    <mergeCell ref="E44:F44"/>
    <mergeCell ref="E23:F23"/>
    <mergeCell ref="E24:F24"/>
    <mergeCell ref="E25:F25"/>
    <mergeCell ref="C47:F47"/>
    <mergeCell ref="C13:D13"/>
    <mergeCell ref="C14:D14"/>
    <mergeCell ref="E19:F19"/>
    <mergeCell ref="E20:F20"/>
    <mergeCell ref="E13:F13"/>
    <mergeCell ref="E14:F14"/>
    <mergeCell ref="E9:F9"/>
    <mergeCell ref="E10:F10"/>
    <mergeCell ref="E11:F11"/>
    <mergeCell ref="E12:F12"/>
    <mergeCell ref="E27:F27"/>
    <mergeCell ref="E28:F28"/>
    <mergeCell ref="E15:F15"/>
    <mergeCell ref="E16:F16"/>
    <mergeCell ref="E26:F26"/>
    <mergeCell ref="E17:F17"/>
    <mergeCell ref="C15:D15"/>
    <mergeCell ref="C16:D16"/>
    <mergeCell ref="C20:D20"/>
    <mergeCell ref="C4:D4"/>
    <mergeCell ref="C5:D5"/>
    <mergeCell ref="C6:D6"/>
    <mergeCell ref="C7:D7"/>
    <mergeCell ref="E4:F4"/>
    <mergeCell ref="E5:F5"/>
    <mergeCell ref="E6:F6"/>
    <mergeCell ref="E7:F7"/>
    <mergeCell ref="C25:D25"/>
    <mergeCell ref="C8:D8"/>
    <mergeCell ref="C9:D9"/>
    <mergeCell ref="C10:D10"/>
    <mergeCell ref="C11:D11"/>
    <mergeCell ref="C12:D12"/>
    <mergeCell ref="E8:F8"/>
    <mergeCell ref="C41:D41"/>
    <mergeCell ref="C42:D42"/>
    <mergeCell ref="C18:D18"/>
    <mergeCell ref="C19:D19"/>
    <mergeCell ref="C30:D30"/>
    <mergeCell ref="C21:D21"/>
    <mergeCell ref="C22:D22"/>
    <mergeCell ref="C23:D23"/>
    <mergeCell ref="C27:D27"/>
    <mergeCell ref="C17:D17"/>
    <mergeCell ref="E18:F18"/>
    <mergeCell ref="E22:F22"/>
    <mergeCell ref="E21:F21"/>
    <mergeCell ref="C26:D26"/>
    <mergeCell ref="C38:D38"/>
    <mergeCell ref="C28:D28"/>
    <mergeCell ref="C29:D29"/>
    <mergeCell ref="C24:D24"/>
    <mergeCell ref="E29:F29"/>
  </mergeCells>
  <phoneticPr fontId="0" type="noConversion"/>
  <conditionalFormatting sqref="C39:D39">
    <cfRule type="cellIs" dxfId="152" priority="2" stopIfTrue="1" operator="greaterThan">
      <formula>$C$41*0.1</formula>
    </cfRule>
  </conditionalFormatting>
  <conditionalFormatting sqref="E39:F39">
    <cfRule type="cellIs" dxfId="151" priority="3" stopIfTrue="1" operator="greaterThan">
      <formula>$E$41*0.1</formula>
    </cfRule>
  </conditionalFormatting>
  <conditionalFormatting sqref="G39">
    <cfRule type="cellIs" dxfId="150" priority="4" stopIfTrue="1" operator="greaterThan">
      <formula>$G$41*0.1</formula>
    </cfRule>
  </conditionalFormatting>
  <conditionalFormatting sqref="C21:D21">
    <cfRule type="cellIs" dxfId="149" priority="5" stopIfTrue="1" operator="greaterThan">
      <formula>$C$23*0.1</formula>
    </cfRule>
  </conditionalFormatting>
  <conditionalFormatting sqref="E21:F21">
    <cfRule type="cellIs" dxfId="148" priority="6" stopIfTrue="1" operator="greaterThan">
      <formula>$E$23*0.1</formula>
    </cfRule>
  </conditionalFormatting>
  <conditionalFormatting sqref="C36:D36">
    <cfRule type="cellIs" dxfId="147" priority="7" stopIfTrue="1" operator="greaterThan">
      <formula>$C$24*0.25</formula>
    </cfRule>
  </conditionalFormatting>
  <conditionalFormatting sqref="G43">
    <cfRule type="cellIs" dxfId="146" priority="8" stopIfTrue="1" operator="greaterThan">
      <formula>$G$41/0.95-$G$41</formula>
    </cfRule>
  </conditionalFormatting>
  <conditionalFormatting sqref="C42:D42">
    <cfRule type="cellIs" dxfId="145" priority="9" stopIfTrue="1" operator="lessThan">
      <formula>0</formula>
    </cfRule>
  </conditionalFormatting>
  <conditionalFormatting sqref="C41:D41">
    <cfRule type="cellIs" dxfId="144" priority="10" stopIfTrue="1" operator="greaterThan">
      <formula>$B$43</formula>
    </cfRule>
  </conditionalFormatting>
  <conditionalFormatting sqref="E41:F41">
    <cfRule type="cellIs" dxfId="143" priority="11" stopIfTrue="1" operator="greaterThan">
      <formula>$C$43</formula>
    </cfRule>
  </conditionalFormatting>
  <conditionalFormatting sqref="E36:F36">
    <cfRule type="cellIs" dxfId="142" priority="12" stopIfTrue="1" operator="greaterThan">
      <formula>$E$24*0.25</formula>
    </cfRule>
  </conditionalFormatting>
  <conditionalFormatting sqref="G36">
    <cfRule type="cellIs" dxfId="141" priority="13" stopIfTrue="1" operator="greaterThan">
      <formula>$G$24*0.25+$G$47</formula>
    </cfRule>
  </conditionalFormatting>
  <conditionalFormatting sqref="G21">
    <cfRule type="cellIs" dxfId="140" priority="14" stopIfTrue="1" operator="greaterThan">
      <formula>$G$23*0.1+$G$47</formula>
    </cfRule>
  </conditionalFormatting>
  <conditionalFormatting sqref="E42:F42">
    <cfRule type="cellIs" dxfId="139" priority="1" stopIfTrue="1" operator="lessThan">
      <formula>0</formula>
    </cfRule>
  </conditionalFormatting>
  <pageMargins left="0.9" right="0.9" top="0.96" bottom="0.5" header="0.41" footer="0.3"/>
  <pageSetup scale="73" orientation="portrait" blackAndWhite="1" horizontalDpi="4294967292" verticalDpi="96" r:id="rId1"/>
  <headerFooter alignWithMargins="0">
    <oddHeader xml:space="preserve">&amp;RState of Kansas
Township
</oddHeader>
    <oddFooter>&amp;Lrevised 8/21/09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vt:i4>
      </vt:variant>
    </vt:vector>
  </HeadingPairs>
  <TitlesOfParts>
    <vt:vector size="32" baseType="lpstr">
      <vt:lpstr>instructions</vt:lpstr>
      <vt:lpstr>inputPrYr</vt:lpstr>
      <vt:lpstr>inputOth</vt:lpstr>
      <vt:lpstr>inputBudSum</vt:lpstr>
      <vt:lpstr>summ</vt:lpstr>
      <vt:lpstr>cert</vt:lpstr>
      <vt:lpstr>computation</vt:lpstr>
      <vt:lpstr>gen</vt:lpstr>
      <vt:lpstr>road</vt:lpstr>
      <vt:lpstr>SpecRoad&amp;Noxious</vt:lpstr>
      <vt:lpstr>levypage10</vt:lpstr>
      <vt:lpstr>levypage11</vt:lpstr>
      <vt:lpstr>levypage12</vt:lpstr>
      <vt:lpstr>nolevypage13</vt:lpstr>
      <vt:lpstr>nolevypage14</vt:lpstr>
      <vt:lpstr>mvalloc</vt:lpstr>
      <vt:lpstr>transfer</vt:lpstr>
      <vt:lpstr>TransferStatutes</vt:lpstr>
      <vt:lpstr>debt</vt:lpstr>
      <vt:lpstr>DebtService</vt:lpstr>
      <vt:lpstr>nonbud</vt:lpstr>
      <vt:lpstr>NonBudFunds</vt:lpstr>
      <vt:lpstr>nhood</vt:lpstr>
      <vt:lpstr>Resolution</vt:lpstr>
      <vt:lpstr>Tab A</vt:lpstr>
      <vt:lpstr>Tab B</vt:lpstr>
      <vt:lpstr>Tab C</vt:lpstr>
      <vt:lpstr>Tab D</vt:lpstr>
      <vt:lpstr>Tab E</vt:lpstr>
      <vt:lpstr>legend</vt:lpstr>
      <vt:lpstr>gen!Print_Area</vt:lpstr>
      <vt:lpstr>inputPrYr!Print_Area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mn</cp:lastModifiedBy>
  <cp:lastPrinted>2012-07-09T19:08:17Z</cp:lastPrinted>
  <dcterms:created xsi:type="dcterms:W3CDTF">1998-08-26T16:30:41Z</dcterms:created>
  <dcterms:modified xsi:type="dcterms:W3CDTF">2012-07-09T19:10:35Z</dcterms:modified>
</cp:coreProperties>
</file>