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9630" windowHeight="5160" tabRatio="850" firstSheet="4" activeTab="4"/>
  </bookViews>
  <sheets>
    <sheet name="instructions" sheetId="1" r:id="rId1"/>
    <sheet name="inputPrYr" sheetId="2" r:id="rId2"/>
    <sheet name="inputOth" sheetId="20" r:id="rId3"/>
    <sheet name="inputBudSum" sheetId="31" r:id="rId4"/>
    <sheet name="cert" sheetId="3" r:id="rId5"/>
    <sheet name="SCert" sheetId="37" r:id="rId6"/>
    <sheet name="Pub" sheetId="36" r:id="rId7"/>
    <sheet name="computation" sheetId="14" r:id="rId8"/>
    <sheet name="mvalloc" sheetId="4" r:id="rId9"/>
    <sheet name="transfer" sheetId="21" r:id="rId10"/>
    <sheet name="TransferStatutes" sheetId="23" r:id="rId11"/>
    <sheet name="debt-lease" sheetId="13" r:id="rId12"/>
    <sheet name="gen" sheetId="6" r:id="rId13"/>
    <sheet name="road" sheetId="7" r:id="rId14"/>
    <sheet name="PrDog-NoxWeed" sheetId="8" r:id="rId15"/>
    <sheet name="summ" sheetId="12" r:id="rId16"/>
    <sheet name="Library Grant" sheetId="34" r:id="rId17"/>
    <sheet name="levypage10" sheetId="9" r:id="rId18"/>
    <sheet name="levypage11" sheetId="10" r:id="rId19"/>
    <sheet name="nolevypage12" sheetId="17" r:id="rId20"/>
    <sheet name="nonbud" sheetId="24" r:id="rId21"/>
    <sheet name="NonBudFunds" sheetId="30" r:id="rId22"/>
    <sheet name="nhood" sheetId="22" r:id="rId23"/>
    <sheet name="Resolution" sheetId="16" r:id="rId24"/>
    <sheet name="Tab A" sheetId="25" r:id="rId25"/>
    <sheet name="Tab B" sheetId="26" r:id="rId26"/>
    <sheet name="Tab C" sheetId="27" r:id="rId27"/>
    <sheet name="Tab D" sheetId="28" r:id="rId28"/>
    <sheet name="Tab E" sheetId="29" r:id="rId29"/>
    <sheet name="Mill Rate Computation" sheetId="32" r:id="rId30"/>
    <sheet name="DebtSvs-Library" sheetId="35" r:id="rId31"/>
    <sheet name="Helpful Links" sheetId="33" r:id="rId32"/>
    <sheet name="legend" sheetId="15" r:id="rId33"/>
  </sheets>
  <definedNames>
    <definedName name="_xlnm.Print_Area" localSheetId="30">'DebtSvs-Library'!$B$1:$E$83</definedName>
    <definedName name="_xlnm.Print_Area" localSheetId="12">gen!$B$1:$E$51</definedName>
    <definedName name="_xlnm.Print_Area" localSheetId="1">inputPrYr!$A$1:$E$85</definedName>
    <definedName name="_xlnm.Print_Area" localSheetId="17">levypage10!$A$1:$E$86</definedName>
    <definedName name="_xlnm.Print_Area" localSheetId="18">levypage11!$A$1:$E$86</definedName>
    <definedName name="_xlnm.Print_Area" localSheetId="16">'Library Grant'!$A$1:$J$40</definedName>
    <definedName name="_xlnm.Print_Area" localSheetId="14">'PrDog-NoxWeed'!$A$1:$E$73</definedName>
    <definedName name="_xlnm.Print_Area" localSheetId="13">road!$B$1:$F$63</definedName>
    <definedName name="_xlnm.Print_Area" localSheetId="15">summ!$B$2:$I$35</definedName>
  </definedNames>
  <calcPr calcId="125725"/>
</workbook>
</file>

<file path=xl/calcChain.xml><?xml version="1.0" encoding="utf-8"?>
<calcChain xmlns="http://schemas.openxmlformats.org/spreadsheetml/2006/main">
  <c r="E26" i="7"/>
  <c r="C6"/>
  <c r="G28" i="6"/>
  <c r="G27"/>
  <c r="C28" i="7"/>
  <c r="C38"/>
  <c r="C26"/>
  <c r="C29" i="6"/>
  <c r="D48" i="10"/>
  <c r="D8"/>
  <c r="D48" i="9"/>
  <c r="D60" s="1"/>
  <c r="D8"/>
  <c r="D42" i="8"/>
  <c r="D51"/>
  <c r="D50" s="1"/>
  <c r="D8"/>
  <c r="D18" s="1"/>
  <c r="D8" i="7"/>
  <c r="D21"/>
  <c r="D20" s="1"/>
  <c r="D48" i="35"/>
  <c r="D8"/>
  <c r="D8" i="6"/>
  <c r="D34" s="1"/>
  <c r="G18" i="2"/>
  <c r="D79" i="35"/>
  <c r="D39"/>
  <c r="D19" i="3"/>
  <c r="C51" i="6"/>
  <c r="D21" i="3"/>
  <c r="D75" i="35"/>
  <c r="C75"/>
  <c r="C35"/>
  <c r="D35"/>
  <c r="D93" s="1"/>
  <c r="B45"/>
  <c r="B19" i="3"/>
  <c r="B32" i="12"/>
  <c r="B33"/>
  <c r="G21" i="31"/>
  <c r="G23"/>
  <c r="B19" i="34"/>
  <c r="B18"/>
  <c r="B17"/>
  <c r="B16"/>
  <c r="B15"/>
  <c r="D23" i="3"/>
  <c r="D22"/>
  <c r="C23"/>
  <c r="B23"/>
  <c r="E29" i="34"/>
  <c r="E8" i="22"/>
  <c r="E70" i="35" s="1"/>
  <c r="E73" s="1"/>
  <c r="D8" i="22"/>
  <c r="B8"/>
  <c r="D13" i="4"/>
  <c r="B13"/>
  <c r="A48" i="20"/>
  <c r="A19"/>
  <c r="B44" i="2"/>
  <c r="E19" i="34"/>
  <c r="E18"/>
  <c r="E17"/>
  <c r="E16"/>
  <c r="G16"/>
  <c r="G14"/>
  <c r="E14"/>
  <c r="B8"/>
  <c r="B7"/>
  <c r="B5"/>
  <c r="D60" i="35"/>
  <c r="D59"/>
  <c r="B5"/>
  <c r="E1"/>
  <c r="H79" s="1"/>
  <c r="B1"/>
  <c r="D73"/>
  <c r="C73"/>
  <c r="C60"/>
  <c r="C61"/>
  <c r="C74"/>
  <c r="C96"/>
  <c r="D33"/>
  <c r="C33"/>
  <c r="C34"/>
  <c r="C20"/>
  <c r="C21"/>
  <c r="D20"/>
  <c r="D19" s="1"/>
  <c r="B78" i="34"/>
  <c r="B89"/>
  <c r="B2" i="4"/>
  <c r="J148" i="32"/>
  <c r="H134"/>
  <c r="C137"/>
  <c r="J137"/>
  <c r="H120"/>
  <c r="C123"/>
  <c r="F117"/>
  <c r="H117"/>
  <c r="F123"/>
  <c r="J123"/>
  <c r="H114"/>
  <c r="C103"/>
  <c r="H100"/>
  <c r="H94"/>
  <c r="F97"/>
  <c r="H97"/>
  <c r="F103"/>
  <c r="H80"/>
  <c r="C83"/>
  <c r="F77"/>
  <c r="H77"/>
  <c r="F83"/>
  <c r="J83"/>
  <c r="H74"/>
  <c r="H48"/>
  <c r="F50"/>
  <c r="J50"/>
  <c r="H41"/>
  <c r="H28"/>
  <c r="B28"/>
  <c r="H25"/>
  <c r="C25"/>
  <c r="G25" i="2"/>
  <c r="G24"/>
  <c r="G23"/>
  <c r="G22"/>
  <c r="G21"/>
  <c r="G20"/>
  <c r="G19"/>
  <c r="G17"/>
  <c r="G16"/>
  <c r="C23" i="12"/>
  <c r="D34" i="3"/>
  <c r="D30"/>
  <c r="D29"/>
  <c r="D28"/>
  <c r="D27"/>
  <c r="D26"/>
  <c r="D25"/>
  <c r="D24"/>
  <c r="C54" i="7"/>
  <c r="D53"/>
  <c r="C53"/>
  <c r="C52"/>
  <c r="D39" i="10"/>
  <c r="D79"/>
  <c r="D39" i="9"/>
  <c r="D79"/>
  <c r="D33" i="8"/>
  <c r="D66"/>
  <c r="E66" s="1"/>
  <c r="D44" i="7"/>
  <c r="D46" i="6"/>
  <c r="C75" i="10"/>
  <c r="D75"/>
  <c r="C35"/>
  <c r="D35"/>
  <c r="C75" i="9"/>
  <c r="D75"/>
  <c r="C35"/>
  <c r="D35"/>
  <c r="C62" i="8"/>
  <c r="D62"/>
  <c r="C29"/>
  <c r="D29"/>
  <c r="C40" i="7"/>
  <c r="D40"/>
  <c r="C42" i="6"/>
  <c r="D42"/>
  <c r="D20"/>
  <c r="D19" s="1"/>
  <c r="A8" i="29"/>
  <c r="A46" i="28"/>
  <c r="A41"/>
  <c r="A6"/>
  <c r="A38" i="27"/>
  <c r="A33"/>
  <c r="A19"/>
  <c r="A6"/>
  <c r="A34" i="26"/>
  <c r="A33"/>
  <c r="A6"/>
  <c r="A77" i="25"/>
  <c r="A74"/>
  <c r="A33"/>
  <c r="A28"/>
  <c r="A25"/>
  <c r="A16"/>
  <c r="A6"/>
  <c r="B7" i="12"/>
  <c r="B9"/>
  <c r="D19" i="22"/>
  <c r="D21" s="1"/>
  <c r="B22" i="12"/>
  <c r="B33" i="3"/>
  <c r="D33"/>
  <c r="I5" i="24"/>
  <c r="G5"/>
  <c r="E5"/>
  <c r="C5"/>
  <c r="A5"/>
  <c r="K1"/>
  <c r="F2" s="1"/>
  <c r="A1"/>
  <c r="J28"/>
  <c r="H28"/>
  <c r="K28"/>
  <c r="F28"/>
  <c r="D28"/>
  <c r="B28"/>
  <c r="J17"/>
  <c r="J18"/>
  <c r="J29"/>
  <c r="J30"/>
  <c r="H17"/>
  <c r="H18"/>
  <c r="H29"/>
  <c r="H30"/>
  <c r="F17"/>
  <c r="F18"/>
  <c r="F29"/>
  <c r="F30"/>
  <c r="D17"/>
  <c r="D18"/>
  <c r="D29"/>
  <c r="D30"/>
  <c r="B17"/>
  <c r="K7"/>
  <c r="E14" i="2"/>
  <c r="G15"/>
  <c r="D14"/>
  <c r="D14" i="4"/>
  <c r="D20"/>
  <c r="D19"/>
  <c r="D18"/>
  <c r="D17"/>
  <c r="D16"/>
  <c r="D15"/>
  <c r="D12"/>
  <c r="E12" i="21"/>
  <c r="D12"/>
  <c r="C12"/>
  <c r="D11" i="4"/>
  <c r="J6" i="14"/>
  <c r="A26" i="2"/>
  <c r="D38" i="7"/>
  <c r="E13"/>
  <c r="C20" i="6"/>
  <c r="C21"/>
  <c r="C36"/>
  <c r="C34"/>
  <c r="E13"/>
  <c r="E14"/>
  <c r="E26" i="2"/>
  <c r="J5" i="14"/>
  <c r="J7"/>
  <c r="G23" i="4"/>
  <c r="I25"/>
  <c r="J27"/>
  <c r="D20" i="10"/>
  <c r="C20"/>
  <c r="C33"/>
  <c r="D33"/>
  <c r="D60"/>
  <c r="C60"/>
  <c r="C73"/>
  <c r="G78"/>
  <c r="D73"/>
  <c r="D20" i="9"/>
  <c r="C20"/>
  <c r="C33"/>
  <c r="D33"/>
  <c r="C73"/>
  <c r="G78"/>
  <c r="C60"/>
  <c r="C59"/>
  <c r="D73"/>
  <c r="D94"/>
  <c r="C18" i="8"/>
  <c r="C19"/>
  <c r="C27"/>
  <c r="G32"/>
  <c r="D27"/>
  <c r="E20" i="12"/>
  <c r="C60" i="8"/>
  <c r="C21" i="12"/>
  <c r="C51" i="8"/>
  <c r="D11" i="21"/>
  <c r="E13"/>
  <c r="D13"/>
  <c r="D27" s="1"/>
  <c r="D29" s="1"/>
  <c r="E25" i="12" s="1"/>
  <c r="C13" i="21"/>
  <c r="C11"/>
  <c r="C21" i="7"/>
  <c r="C20"/>
  <c r="C22"/>
  <c r="C34"/>
  <c r="D60" i="8"/>
  <c r="E21" i="12"/>
  <c r="E1" i="10"/>
  <c r="H38"/>
  <c r="B35"/>
  <c r="E1" i="9"/>
  <c r="C40" s="1"/>
  <c r="E1" i="8"/>
  <c r="C67" s="1"/>
  <c r="H32"/>
  <c r="E1" i="7"/>
  <c r="H50"/>
  <c r="E1" i="6"/>
  <c r="H41"/>
  <c r="D28" i="17"/>
  <c r="C28"/>
  <c r="C27"/>
  <c r="D59"/>
  <c r="C59"/>
  <c r="E1"/>
  <c r="B30" s="1"/>
  <c r="C30"/>
  <c r="D61"/>
  <c r="C61"/>
  <c r="C62" s="1"/>
  <c r="D30"/>
  <c r="D31" i="2"/>
  <c r="A31"/>
  <c r="A55"/>
  <c r="A54"/>
  <c r="D40"/>
  <c r="G11" i="14"/>
  <c r="E14"/>
  <c r="G16"/>
  <c r="E15"/>
  <c r="G18"/>
  <c r="E22"/>
  <c r="E1" i="20"/>
  <c r="D37" i="3"/>
  <c r="D38"/>
  <c r="D6" i="22"/>
  <c r="E6"/>
  <c r="E37" i="6" s="1"/>
  <c r="E40" s="1"/>
  <c r="D7" i="22"/>
  <c r="E7"/>
  <c r="E30" i="35" s="1"/>
  <c r="E33" s="1"/>
  <c r="D14" i="22"/>
  <c r="E14"/>
  <c r="E30" i="10" s="1"/>
  <c r="E33" s="1"/>
  <c r="D15" i="22"/>
  <c r="E15"/>
  <c r="E70" i="10" s="1"/>
  <c r="E73" s="1"/>
  <c r="D9" i="22"/>
  <c r="E9"/>
  <c r="D10"/>
  <c r="E10"/>
  <c r="E24" i="8" s="1"/>
  <c r="E27" s="1"/>
  <c r="D11" i="22"/>
  <c r="E11"/>
  <c r="E57" i="8" s="1"/>
  <c r="E60" s="1"/>
  <c r="D12" i="22"/>
  <c r="E12"/>
  <c r="E30" i="9" s="1"/>
  <c r="E33" s="1"/>
  <c r="D13" i="22"/>
  <c r="E13"/>
  <c r="E70" i="9" s="1"/>
  <c r="E73" s="1"/>
  <c r="J1" i="14"/>
  <c r="C14"/>
  <c r="D23" i="22"/>
  <c r="D25"/>
  <c r="E46" i="17"/>
  <c r="E45"/>
  <c r="D46"/>
  <c r="D45"/>
  <c r="C46"/>
  <c r="C47"/>
  <c r="C60"/>
  <c r="D37"/>
  <c r="D47"/>
  <c r="D60"/>
  <c r="C45"/>
  <c r="E59"/>
  <c r="E58"/>
  <c r="C72" i="10"/>
  <c r="C32"/>
  <c r="E28" i="17"/>
  <c r="E15"/>
  <c r="E14"/>
  <c r="D15"/>
  <c r="D14"/>
  <c r="C15"/>
  <c r="C14"/>
  <c r="F1" i="22"/>
  <c r="A1"/>
  <c r="B15"/>
  <c r="B14"/>
  <c r="B13"/>
  <c r="B12"/>
  <c r="B11"/>
  <c r="B10"/>
  <c r="B9"/>
  <c r="B7"/>
  <c r="B6"/>
  <c r="C16"/>
  <c r="E16" i="4"/>
  <c r="A57" i="20"/>
  <c r="A56"/>
  <c r="A55"/>
  <c r="A54"/>
  <c r="A53"/>
  <c r="A52"/>
  <c r="A51"/>
  <c r="A50"/>
  <c r="A49"/>
  <c r="A47"/>
  <c r="A46"/>
  <c r="E12" i="4"/>
  <c r="E14"/>
  <c r="E15"/>
  <c r="E17"/>
  <c r="E18"/>
  <c r="E19"/>
  <c r="E20"/>
  <c r="E11"/>
  <c r="J1"/>
  <c r="G29" i="12"/>
  <c r="N27" s="1"/>
  <c r="G27" i="34"/>
  <c r="D27" i="20"/>
  <c r="G84" i="10"/>
  <c r="G44"/>
  <c r="G84" i="9"/>
  <c r="G44"/>
  <c r="F21" i="12"/>
  <c r="G71" i="8"/>
  <c r="F20" i="12"/>
  <c r="G38" i="8"/>
  <c r="F19" i="12"/>
  <c r="G49" i="7"/>
  <c r="G44" i="35"/>
  <c r="F18" i="12"/>
  <c r="C29"/>
  <c r="A26" i="20"/>
  <c r="A25"/>
  <c r="A24"/>
  <c r="A23"/>
  <c r="A22"/>
  <c r="A21"/>
  <c r="A20"/>
  <c r="A18"/>
  <c r="A17"/>
  <c r="H25" i="4"/>
  <c r="F15" i="13"/>
  <c r="F1" i="21"/>
  <c r="D9"/>
  <c r="A2"/>
  <c r="E29" i="12"/>
  <c r="E27" i="34" s="1"/>
  <c r="H1" i="3"/>
  <c r="A52" i="2"/>
  <c r="E58"/>
  <c r="D58"/>
  <c r="A2" i="20"/>
  <c r="A1"/>
  <c r="A41" i="2"/>
  <c r="A13"/>
  <c r="A7" i="16"/>
  <c r="A11"/>
  <c r="A26"/>
  <c r="A30"/>
  <c r="F11" i="13"/>
  <c r="L15"/>
  <c r="K15"/>
  <c r="J15"/>
  <c r="I15"/>
  <c r="L11"/>
  <c r="L16"/>
  <c r="K11"/>
  <c r="K16"/>
  <c r="J11"/>
  <c r="J16"/>
  <c r="I11"/>
  <c r="I16"/>
  <c r="I1" i="12"/>
  <c r="E14"/>
  <c r="B12" i="4"/>
  <c r="L1" i="13"/>
  <c r="G23" s="1"/>
  <c r="B43" i="2"/>
  <c r="C22" i="3"/>
  <c r="B3"/>
  <c r="A36" i="14"/>
  <c r="B22"/>
  <c r="B6"/>
  <c r="A3"/>
  <c r="D33" i="16"/>
  <c r="A21"/>
  <c r="A6"/>
  <c r="D32" i="3"/>
  <c r="D31"/>
  <c r="B32"/>
  <c r="B31"/>
  <c r="B1" i="17"/>
  <c r="B36"/>
  <c r="B5"/>
  <c r="A12" i="16"/>
  <c r="I6"/>
  <c r="C30" i="3"/>
  <c r="C29"/>
  <c r="C28"/>
  <c r="C27"/>
  <c r="C26"/>
  <c r="C25"/>
  <c r="C24"/>
  <c r="B30"/>
  <c r="B29"/>
  <c r="B28"/>
  <c r="B27"/>
  <c r="B26"/>
  <c r="B25"/>
  <c r="B24"/>
  <c r="D36"/>
  <c r="C21"/>
  <c r="B21"/>
  <c r="B5"/>
  <c r="C1" i="14"/>
  <c r="I36" i="13"/>
  <c r="H36"/>
  <c r="G36"/>
  <c r="B2"/>
  <c r="B1"/>
  <c r="B5" i="6"/>
  <c r="B1"/>
  <c r="D52" i="2"/>
  <c r="B51"/>
  <c r="B50"/>
  <c r="B49"/>
  <c r="B48"/>
  <c r="B47"/>
  <c r="B46"/>
  <c r="B45"/>
  <c r="B42"/>
  <c r="B20" i="4"/>
  <c r="B19"/>
  <c r="B18"/>
  <c r="B17"/>
  <c r="B16"/>
  <c r="B15"/>
  <c r="B14"/>
  <c r="B11"/>
  <c r="B1"/>
  <c r="B1" i="7"/>
  <c r="B5"/>
  <c r="B21" i="12"/>
  <c r="B20"/>
  <c r="B19"/>
  <c r="D21"/>
  <c r="D20"/>
  <c r="D19"/>
  <c r="D18"/>
  <c r="D24" s="1"/>
  <c r="C27"/>
  <c r="B18"/>
  <c r="B6"/>
  <c r="B5"/>
  <c r="B1" i="8"/>
  <c r="B39"/>
  <c r="B5"/>
  <c r="B45" i="9"/>
  <c r="B5"/>
  <c r="B1"/>
  <c r="B45" i="10"/>
  <c r="B5"/>
  <c r="B1"/>
  <c r="A11" i="20"/>
  <c r="A29"/>
  <c r="B61" i="17"/>
  <c r="C40" i="10"/>
  <c r="B75"/>
  <c r="E27" i="12"/>
  <c r="B62" i="8"/>
  <c r="C61" i="9"/>
  <c r="C74"/>
  <c r="D32" i="10"/>
  <c r="I6" i="13"/>
  <c r="I23"/>
  <c r="A9" i="20"/>
  <c r="C80" i="10"/>
  <c r="E9" i="21"/>
  <c r="F7" i="13"/>
  <c r="C9" i="21"/>
  <c r="B13" i="14"/>
  <c r="K6" i="13"/>
  <c r="B35" i="9"/>
  <c r="E32" i="3"/>
  <c r="C22" i="12"/>
  <c r="H23" i="13"/>
  <c r="B11" i="12"/>
  <c r="D58" i="17"/>
  <c r="E31" i="3"/>
  <c r="D27" i="17"/>
  <c r="E11" i="21"/>
  <c r="E27" s="1"/>
  <c r="E29" s="1"/>
  <c r="G25" i="12" s="1"/>
  <c r="F11" i="21"/>
  <c r="D62" i="17"/>
  <c r="D31"/>
  <c r="C31"/>
  <c r="C63"/>
  <c r="C72" i="9"/>
  <c r="C80"/>
  <c r="C94" i="10"/>
  <c r="D92"/>
  <c r="C94" i="9"/>
  <c r="B77" s="1"/>
  <c r="D92"/>
  <c r="G13" i="4"/>
  <c r="E50" i="35"/>
  <c r="G17" i="34" s="1"/>
  <c r="G18" i="4"/>
  <c r="E50" i="9" s="1"/>
  <c r="G20" i="4"/>
  <c r="E50" i="10" s="1"/>
  <c r="G19" i="4"/>
  <c r="E10" i="10" s="1"/>
  <c r="G15" i="4"/>
  <c r="E10" i="8" s="1"/>
  <c r="G17" i="4"/>
  <c r="E10" i="9" s="1"/>
  <c r="G16" i="4"/>
  <c r="E44" i="8" s="1"/>
  <c r="A43" i="20"/>
  <c r="G24" i="31"/>
  <c r="B9" i="3"/>
  <c r="D19" i="10"/>
  <c r="C95" i="35"/>
  <c r="D59" i="10"/>
  <c r="E15" i="34"/>
  <c r="E22" s="1"/>
  <c r="D19" i="9"/>
  <c r="D5" i="35"/>
  <c r="C19"/>
  <c r="B35"/>
  <c r="H35"/>
  <c r="H36"/>
  <c r="H38"/>
  <c r="H39"/>
  <c r="H43"/>
  <c r="H44"/>
  <c r="C45"/>
  <c r="E45"/>
  <c r="H45"/>
  <c r="H46"/>
  <c r="G64"/>
  <c r="G68"/>
  <c r="G71"/>
  <c r="D72"/>
  <c r="H73"/>
  <c r="H74"/>
  <c r="G78"/>
  <c r="C80"/>
  <c r="H83"/>
  <c r="H84"/>
  <c r="H85"/>
  <c r="H86"/>
  <c r="C5"/>
  <c r="E5"/>
  <c r="G24"/>
  <c r="G28"/>
  <c r="G31"/>
  <c r="H33"/>
  <c r="H34"/>
  <c r="C40"/>
  <c r="D45"/>
  <c r="B75"/>
  <c r="H75"/>
  <c r="H76"/>
  <c r="H78"/>
  <c r="B47" i="34"/>
  <c r="B84"/>
  <c r="B91"/>
  <c r="B46"/>
  <c r="J19" i="4"/>
  <c r="E12" i="10" s="1"/>
  <c r="G9" i="4"/>
  <c r="D10"/>
  <c r="I13"/>
  <c r="E51" i="35" s="1"/>
  <c r="J103" i="32"/>
  <c r="I19" i="4"/>
  <c r="E11" i="10" s="1"/>
  <c r="I20" i="4"/>
  <c r="E51" i="10" s="1"/>
  <c r="I17" i="4"/>
  <c r="E11" i="9" s="1"/>
  <c r="I18" i="4"/>
  <c r="E51" i="9" s="1"/>
  <c r="I15" i="4"/>
  <c r="E11" i="8" s="1"/>
  <c r="I16" i="4"/>
  <c r="E45" i="8" s="1"/>
  <c r="I12" i="4"/>
  <c r="E11" i="35" s="1"/>
  <c r="E20" s="1"/>
  <c r="B5" i="22"/>
  <c r="G25" i="8"/>
  <c r="H28"/>
  <c r="H30"/>
  <c r="H39"/>
  <c r="G55"/>
  <c r="G58"/>
  <c r="H63"/>
  <c r="H66"/>
  <c r="H71"/>
  <c r="G28" i="9"/>
  <c r="H33"/>
  <c r="H35"/>
  <c r="H39"/>
  <c r="H44"/>
  <c r="H46"/>
  <c r="G68"/>
  <c r="H73"/>
  <c r="H75"/>
  <c r="H78"/>
  <c r="H83"/>
  <c r="H85"/>
  <c r="G24" i="10"/>
  <c r="G31"/>
  <c r="H34"/>
  <c r="H36"/>
  <c r="H43"/>
  <c r="H45"/>
  <c r="G64"/>
  <c r="G71"/>
  <c r="H74"/>
  <c r="H76"/>
  <c r="H79"/>
  <c r="H84"/>
  <c r="H86"/>
  <c r="H38" i="9"/>
  <c r="H29" i="8"/>
  <c r="H33"/>
  <c r="H38"/>
  <c r="H60"/>
  <c r="H62"/>
  <c r="H70"/>
  <c r="H72"/>
  <c r="G24" i="9"/>
  <c r="G31"/>
  <c r="H34"/>
  <c r="H36"/>
  <c r="H43"/>
  <c r="H45"/>
  <c r="G64"/>
  <c r="G71"/>
  <c r="H74"/>
  <c r="H76"/>
  <c r="H79"/>
  <c r="H84"/>
  <c r="G28" i="10"/>
  <c r="H33"/>
  <c r="H35"/>
  <c r="H39"/>
  <c r="H44"/>
  <c r="H46"/>
  <c r="G68"/>
  <c r="H73"/>
  <c r="H75"/>
  <c r="H78"/>
  <c r="H83"/>
  <c r="H85"/>
  <c r="G12" i="4"/>
  <c r="E10" i="35"/>
  <c r="I11" i="4"/>
  <c r="E11" i="6"/>
  <c r="G11" i="4"/>
  <c r="J13"/>
  <c r="E52" i="35" s="1"/>
  <c r="G19" i="34" s="1"/>
  <c r="J12" i="4"/>
  <c r="J16"/>
  <c r="E46" i="8" s="1"/>
  <c r="J15" i="4"/>
  <c r="E12" i="8" s="1"/>
  <c r="J18" i="4"/>
  <c r="E52" i="9" s="1"/>
  <c r="J17" i="4"/>
  <c r="E12" i="9" s="1"/>
  <c r="J20" i="4"/>
  <c r="E52" i="10" s="1"/>
  <c r="D32" i="35"/>
  <c r="C72"/>
  <c r="C17" i="8"/>
  <c r="E35" i="7"/>
  <c r="E38" s="1"/>
  <c r="G14" i="12"/>
  <c r="H15"/>
  <c r="N21"/>
  <c r="G84" i="35"/>
  <c r="D46" i="9"/>
  <c r="C95"/>
  <c r="D95" i="35"/>
  <c r="D46"/>
  <c r="D61"/>
  <c r="D74"/>
  <c r="C59"/>
  <c r="J11" i="4"/>
  <c r="E12" i="6" s="1"/>
  <c r="E12" i="35"/>
  <c r="E39" i="10"/>
  <c r="E39" i="9"/>
  <c r="E39" i="35"/>
  <c r="E79" i="10"/>
  <c r="E79" i="9"/>
  <c r="E33" i="8"/>
  <c r="J27" i="9"/>
  <c r="J28"/>
  <c r="J29"/>
  <c r="J68" i="35"/>
  <c r="J69"/>
  <c r="J67"/>
  <c r="J28"/>
  <c r="J29"/>
  <c r="J27"/>
  <c r="J68" i="9"/>
  <c r="J69"/>
  <c r="J27" i="10"/>
  <c r="J28"/>
  <c r="J29"/>
  <c r="J67" i="9"/>
  <c r="E44" i="7"/>
  <c r="J35" i="6"/>
  <c r="J36"/>
  <c r="E46"/>
  <c r="J68" i="10"/>
  <c r="J69"/>
  <c r="J67"/>
  <c r="J34" i="6"/>
  <c r="J33" i="7"/>
  <c r="J34"/>
  <c r="J32"/>
  <c r="D96" i="35"/>
  <c r="E37" i="17"/>
  <c r="E47"/>
  <c r="E60"/>
  <c r="E61"/>
  <c r="D63"/>
  <c r="C41" i="3"/>
  <c r="E11"/>
  <c r="C16" i="17"/>
  <c r="C29"/>
  <c r="C32"/>
  <c r="A29" i="22"/>
  <c r="D5"/>
  <c r="A19"/>
  <c r="E27" i="17"/>
  <c r="B18" i="14"/>
  <c r="B32"/>
  <c r="C15"/>
  <c r="B9"/>
  <c r="B5"/>
  <c r="B11"/>
  <c r="D72" i="9"/>
  <c r="D32"/>
  <c r="C21"/>
  <c r="C34"/>
  <c r="C93"/>
  <c r="C19"/>
  <c r="B10" i="4"/>
  <c r="E9"/>
  <c r="C58" i="17"/>
  <c r="H86" i="9"/>
  <c r="B75"/>
  <c r="C21" i="10"/>
  <c r="C34"/>
  <c r="D6"/>
  <c r="D21"/>
  <c r="D34"/>
  <c r="G33" s="1"/>
  <c r="C19"/>
  <c r="C93"/>
  <c r="G22" i="31"/>
  <c r="G20"/>
  <c r="K19" i="12"/>
  <c r="C14"/>
  <c r="K26"/>
  <c r="K24"/>
  <c r="B12"/>
  <c r="K27"/>
  <c r="C59" i="8"/>
  <c r="H65"/>
  <c r="H40"/>
  <c r="H27"/>
  <c r="H73"/>
  <c r="H61"/>
  <c r="H37"/>
  <c r="G22"/>
  <c r="B29"/>
  <c r="C34"/>
  <c r="G65"/>
  <c r="C81"/>
  <c r="D26"/>
  <c r="D79"/>
  <c r="C69" i="7"/>
  <c r="C37"/>
  <c r="G43"/>
  <c r="C39"/>
  <c r="C70"/>
  <c r="D6"/>
  <c r="C49"/>
  <c r="H44"/>
  <c r="H48"/>
  <c r="C45"/>
  <c r="C19" i="12"/>
  <c r="B40" i="7"/>
  <c r="H39"/>
  <c r="F13" i="21"/>
  <c r="C19" i="6"/>
  <c r="C40"/>
  <c r="C41"/>
  <c r="D21" i="4"/>
  <c r="I32" s="1"/>
  <c r="I14" s="1"/>
  <c r="D6" i="35"/>
  <c r="D21"/>
  <c r="D34" s="1"/>
  <c r="C94"/>
  <c r="F16" i="13"/>
  <c r="G51" i="6"/>
  <c r="F24" i="12"/>
  <c r="E21" i="4"/>
  <c r="C59" i="10"/>
  <c r="C61"/>
  <c r="C74"/>
  <c r="G30" i="4"/>
  <c r="G14" s="1"/>
  <c r="D6" i="9"/>
  <c r="D21"/>
  <c r="D34" s="1"/>
  <c r="E6" i="10"/>
  <c r="D93"/>
  <c r="B38"/>
  <c r="H46" i="6"/>
  <c r="C5"/>
  <c r="H42"/>
  <c r="B42"/>
  <c r="C47"/>
  <c r="G38"/>
  <c r="H51"/>
  <c r="H52"/>
  <c r="D5"/>
  <c r="H43"/>
  <c r="H45"/>
  <c r="H53"/>
  <c r="H40"/>
  <c r="E5"/>
  <c r="H50"/>
  <c r="E19" i="12"/>
  <c r="D69" i="7"/>
  <c r="D37"/>
  <c r="F12" i="21"/>
  <c r="C27"/>
  <c r="C29"/>
  <c r="C25" i="12" s="1"/>
  <c r="G38" i="35"/>
  <c r="C93"/>
  <c r="B37" s="1"/>
  <c r="C32"/>
  <c r="E46"/>
  <c r="G73"/>
  <c r="E10" i="6"/>
  <c r="E20" s="1"/>
  <c r="G35"/>
  <c r="D59" i="8"/>
  <c r="D81"/>
  <c r="C52"/>
  <c r="C61"/>
  <c r="C50"/>
  <c r="D94" i="10"/>
  <c r="D72"/>
  <c r="C51" i="3"/>
  <c r="B15"/>
  <c r="B8"/>
  <c r="F12"/>
  <c r="B32" i="21"/>
  <c r="B3" i="22"/>
  <c r="C5"/>
  <c r="E5"/>
  <c r="C92" i="9"/>
  <c r="B37" s="1"/>
  <c r="G38"/>
  <c r="C32"/>
  <c r="B78" i="35"/>
  <c r="C20" i="12"/>
  <c r="C79" i="8"/>
  <c r="C26"/>
  <c r="D6" i="17"/>
  <c r="D16"/>
  <c r="D29"/>
  <c r="C28" i="8"/>
  <c r="B77" i="35"/>
  <c r="A12" i="20"/>
  <c r="A7"/>
  <c r="A13"/>
  <c r="A8"/>
  <c r="A6"/>
  <c r="A15"/>
  <c r="C44"/>
  <c r="A39"/>
  <c r="B44"/>
  <c r="A10"/>
  <c r="A31"/>
  <c r="C92" i="10"/>
  <c r="B37" s="1"/>
  <c r="G38"/>
  <c r="K17" i="24"/>
  <c r="K30"/>
  <c r="B18"/>
  <c r="B31" i="8"/>
  <c r="B64"/>
  <c r="B42" i="7"/>
  <c r="G45" i="6"/>
  <c r="C39"/>
  <c r="C62"/>
  <c r="C18" i="12"/>
  <c r="C24" s="1"/>
  <c r="C26" s="1"/>
  <c r="H32" i="4"/>
  <c r="K18" i="24"/>
  <c r="B29"/>
  <c r="E5" i="7"/>
  <c r="E5" i="17"/>
  <c r="E36" s="1"/>
  <c r="E5" i="10"/>
  <c r="E45" s="1"/>
  <c r="E5" i="9"/>
  <c r="E45" s="1"/>
  <c r="E5" i="8"/>
  <c r="E39" s="1"/>
  <c r="C5" i="17"/>
  <c r="C36" s="1"/>
  <c r="C5" i="9"/>
  <c r="C45" s="1"/>
  <c r="C5" i="7"/>
  <c r="C5" i="8"/>
  <c r="C39"/>
  <c r="C5" i="10"/>
  <c r="C45"/>
  <c r="D6" i="8"/>
  <c r="C80"/>
  <c r="D5"/>
  <c r="D39"/>
  <c r="D5" i="7"/>
  <c r="D5" i="9"/>
  <c r="D45" s="1"/>
  <c r="D5" i="10"/>
  <c r="D45" s="1"/>
  <c r="D5" i="17"/>
  <c r="D36" s="1"/>
  <c r="E6"/>
  <c r="E16"/>
  <c r="E29"/>
  <c r="E30"/>
  <c r="D32"/>
  <c r="G46" i="9"/>
  <c r="G86"/>
  <c r="G73" i="8"/>
  <c r="G51" i="7"/>
  <c r="G86" i="35"/>
  <c r="G53" i="6"/>
  <c r="G46" i="35"/>
  <c r="G46" i="10"/>
  <c r="G86"/>
  <c r="G40" i="8"/>
  <c r="G83" i="9"/>
  <c r="C63" i="6"/>
  <c r="D6"/>
  <c r="D21"/>
  <c r="D36" s="1"/>
  <c r="C82" i="8"/>
  <c r="D40"/>
  <c r="D52"/>
  <c r="D61"/>
  <c r="G60" s="1"/>
  <c r="D46" i="10"/>
  <c r="D61"/>
  <c r="D74" s="1"/>
  <c r="C95"/>
  <c r="G43" i="9"/>
  <c r="G43" i="10"/>
  <c r="K29" i="24"/>
  <c r="B30"/>
  <c r="G43" i="35"/>
  <c r="E40" i="8"/>
  <c r="G83" i="10"/>
  <c r="G29" i="34"/>
  <c r="E30" s="1"/>
  <c r="D31" s="1"/>
  <c r="G83" i="35"/>
  <c r="D22" i="7"/>
  <c r="D34" s="1"/>
  <c r="C58"/>
  <c r="C60" s="1"/>
  <c r="G33"/>
  <c r="H38"/>
  <c r="H51"/>
  <c r="H43"/>
  <c r="H41"/>
  <c r="H49"/>
  <c r="G36"/>
  <c r="H40"/>
  <c r="D39"/>
  <c r="G38" s="1"/>
  <c r="E6"/>
  <c r="E16" i="22"/>
  <c r="G20" i="14"/>
  <c r="G24" s="1"/>
  <c r="G26" s="1"/>
  <c r="J28" s="1"/>
  <c r="J30" s="1"/>
  <c r="D16" i="22"/>
  <c r="G19" i="31"/>
  <c r="G41" i="6" l="1"/>
  <c r="G33" i="9"/>
  <c r="D93"/>
  <c r="B38" s="1"/>
  <c r="E6"/>
  <c r="E10" i="7"/>
  <c r="G21" i="4"/>
  <c r="G34" i="35"/>
  <c r="E19"/>
  <c r="G18" i="34"/>
  <c r="E60" i="35"/>
  <c r="E77"/>
  <c r="E23" i="3"/>
  <c r="F76" i="35"/>
  <c r="E72"/>
  <c r="D17" i="8"/>
  <c r="D19"/>
  <c r="D28" s="1"/>
  <c r="D59" i="9"/>
  <c r="D61"/>
  <c r="D74" s="1"/>
  <c r="E51" i="8"/>
  <c r="E18"/>
  <c r="E60" i="10"/>
  <c r="E28" i="34"/>
  <c r="G73" i="10"/>
  <c r="D95"/>
  <c r="E46"/>
  <c r="E6" i="35"/>
  <c r="E21" s="1"/>
  <c r="G33"/>
  <c r="D94"/>
  <c r="B38" s="1"/>
  <c r="E11" i="7"/>
  <c r="I21" i="4"/>
  <c r="E37" i="7"/>
  <c r="F41"/>
  <c r="G19" i="12"/>
  <c r="E42" i="7"/>
  <c r="E24" i="3"/>
  <c r="F76" i="9"/>
  <c r="E77"/>
  <c r="E72"/>
  <c r="E28" i="3"/>
  <c r="F36" i="9"/>
  <c r="E37"/>
  <c r="E27" i="3"/>
  <c r="E32" i="9"/>
  <c r="E26" i="3"/>
  <c r="E64" i="8"/>
  <c r="F63"/>
  <c r="E59"/>
  <c r="G21" i="12"/>
  <c r="E26" i="8"/>
  <c r="E31"/>
  <c r="E25" i="3"/>
  <c r="G20" i="12"/>
  <c r="F30" i="8"/>
  <c r="E72" i="10"/>
  <c r="E30" i="3"/>
  <c r="E77" i="10"/>
  <c r="F76"/>
  <c r="E37"/>
  <c r="E29" i="3"/>
  <c r="E32" i="10"/>
  <c r="F36"/>
  <c r="E22" i="3"/>
  <c r="F36" i="35"/>
  <c r="E37"/>
  <c r="E38" s="1"/>
  <c r="E40" s="1"/>
  <c r="E32"/>
  <c r="E21" i="3"/>
  <c r="E35" s="1"/>
  <c r="E44" i="6"/>
  <c r="E39"/>
  <c r="G18" i="12"/>
  <c r="G24" s="1"/>
  <c r="G26" s="1"/>
  <c r="F43" i="6"/>
  <c r="E20" i="9"/>
  <c r="E20" i="10"/>
  <c r="E60" i="9"/>
  <c r="D40" i="6"/>
  <c r="J34" i="4"/>
  <c r="J14" s="1"/>
  <c r="D70" i="7"/>
  <c r="B43" s="1"/>
  <c r="D82" i="8"/>
  <c r="B65" s="1"/>
  <c r="D41" i="6"/>
  <c r="D9" i="31"/>
  <c r="D63" i="6" l="1"/>
  <c r="B45" s="1"/>
  <c r="G40"/>
  <c r="E6"/>
  <c r="E21" s="1"/>
  <c r="E18" i="12"/>
  <c r="E24" s="1"/>
  <c r="E26" s="1"/>
  <c r="D62" i="6"/>
  <c r="B44" s="1"/>
  <c r="D39"/>
  <c r="G74" i="9"/>
  <c r="E21"/>
  <c r="G34"/>
  <c r="G22" i="3"/>
  <c r="G35" i="35"/>
  <c r="K35" s="1"/>
  <c r="J32" i="14"/>
  <c r="J34" s="1"/>
  <c r="F22" i="3"/>
  <c r="G28" i="8"/>
  <c r="J21" i="4"/>
  <c r="E12" i="7"/>
  <c r="E21" s="1"/>
  <c r="E21" i="10"/>
  <c r="E38" s="1"/>
  <c r="E40" s="1"/>
  <c r="G34"/>
  <c r="E61"/>
  <c r="E78" s="1"/>
  <c r="E80" s="1"/>
  <c r="G74"/>
  <c r="E52" i="8"/>
  <c r="G61"/>
  <c r="D95" i="9"/>
  <c r="B78" s="1"/>
  <c r="E46"/>
  <c r="E61" s="1"/>
  <c r="E78" s="1"/>
  <c r="E80" s="1"/>
  <c r="G73"/>
  <c r="G27" i="8"/>
  <c r="E6"/>
  <c r="E19" s="1"/>
  <c r="E32" s="1"/>
  <c r="E34" s="1"/>
  <c r="D80"/>
  <c r="B32" s="1"/>
  <c r="G74" i="35"/>
  <c r="E59"/>
  <c r="E61"/>
  <c r="E78" s="1"/>
  <c r="E45" i="6"/>
  <c r="E47" s="1"/>
  <c r="E65" i="8"/>
  <c r="E67" s="1"/>
  <c r="E38" i="9"/>
  <c r="E40" s="1"/>
  <c r="E19" s="1"/>
  <c r="G36" i="35"/>
  <c r="G39" s="1"/>
  <c r="E79" l="1"/>
  <c r="E80" s="1"/>
  <c r="G29" i="8"/>
  <c r="K29" s="1"/>
  <c r="I20" i="12"/>
  <c r="G37" i="8" s="1"/>
  <c r="H20" i="12"/>
  <c r="F25" i="3"/>
  <c r="G25"/>
  <c r="E17" i="8"/>
  <c r="G30" i="3"/>
  <c r="F30"/>
  <c r="G75" i="10"/>
  <c r="E59"/>
  <c r="G29" i="3"/>
  <c r="F29"/>
  <c r="G35" i="10"/>
  <c r="K35" s="1"/>
  <c r="E19"/>
  <c r="G28" i="3"/>
  <c r="G75" i="9"/>
  <c r="K75" s="1"/>
  <c r="F28" i="3"/>
  <c r="E59" i="9"/>
  <c r="G39" i="7"/>
  <c r="E22"/>
  <c r="I21" i="12"/>
  <c r="G70" i="8" s="1"/>
  <c r="H21" i="12"/>
  <c r="G26" i="3"/>
  <c r="F26"/>
  <c r="G62" i="8"/>
  <c r="K62" s="1"/>
  <c r="G76" i="9"/>
  <c r="G79" s="1"/>
  <c r="E36" i="6"/>
  <c r="G35" i="9"/>
  <c r="G27" i="3"/>
  <c r="F27"/>
  <c r="G21"/>
  <c r="H18" i="12"/>
  <c r="G42" i="6"/>
  <c r="K42" s="1"/>
  <c r="I18" i="12"/>
  <c r="F21" i="3"/>
  <c r="E19" i="6"/>
  <c r="G30" i="8"/>
  <c r="G33" s="1"/>
  <c r="G63"/>
  <c r="G66" s="1"/>
  <c r="E50"/>
  <c r="G36" i="10"/>
  <c r="G39" s="1"/>
  <c r="G43" i="6"/>
  <c r="G46" s="1"/>
  <c r="G23" i="3" l="1"/>
  <c r="G15" i="34"/>
  <c r="G22" s="1"/>
  <c r="F23" i="3"/>
  <c r="E34" i="6"/>
  <c r="K75" i="10"/>
  <c r="G76"/>
  <c r="G79" s="1"/>
  <c r="G50" i="6"/>
  <c r="K35" i="9"/>
  <c r="G36"/>
  <c r="G39" s="1"/>
  <c r="E43" i="7"/>
  <c r="E45" s="1"/>
  <c r="G75" i="35"/>
  <c r="G40" i="7" l="1"/>
  <c r="H19" i="12"/>
  <c r="H24" s="1"/>
  <c r="N26" s="1"/>
  <c r="N28" s="1"/>
  <c r="N22" s="1"/>
  <c r="K22" s="1"/>
  <c r="F24" i="3"/>
  <c r="G24" s="1"/>
  <c r="G35" s="1"/>
  <c r="E20" i="7"/>
  <c r="K75" i="35"/>
  <c r="G76"/>
  <c r="G79" s="1"/>
  <c r="E23" i="34"/>
  <c r="D24"/>
  <c r="F33" s="1"/>
  <c r="F80" i="35" s="1"/>
  <c r="E34" i="7"/>
  <c r="K40" l="1"/>
  <c r="G41"/>
  <c r="G44" s="1"/>
  <c r="F35" i="3"/>
  <c r="F37" s="1"/>
  <c r="I19" i="12"/>
  <c r="G48" i="7" l="1"/>
  <c r="I24" i="12"/>
  <c r="G52" i="6" l="1"/>
  <c r="G85" i="10"/>
  <c r="G85" i="35"/>
  <c r="G39" i="8"/>
  <c r="G45" i="10"/>
  <c r="G72" i="8"/>
  <c r="G45" i="35"/>
  <c r="G50" i="7"/>
  <c r="G85" i="9"/>
  <c r="G45"/>
</calcChain>
</file>

<file path=xl/sharedStrings.xml><?xml version="1.0" encoding="utf-8"?>
<sst xmlns="http://schemas.openxmlformats.org/spreadsheetml/2006/main" count="1567" uniqueCount="953">
  <si>
    <t>Special Road Election held ___________ for ___Mills for ___ years.</t>
  </si>
  <si>
    <t>First levy in ______.</t>
  </si>
  <si>
    <t>$</t>
  </si>
  <si>
    <t>Rate</t>
  </si>
  <si>
    <t>Amount</t>
  </si>
  <si>
    <t>County Treasurer's Motor Vehicle Estimate</t>
  </si>
  <si>
    <t>County Treasurer's Recreational Vehicle Estimate</t>
  </si>
  <si>
    <t>Motor Vehicle Factor</t>
  </si>
  <si>
    <t>Recreational Vehicle Factor</t>
  </si>
  <si>
    <t>Page No.</t>
  </si>
  <si>
    <t>Adopted Budget</t>
  </si>
  <si>
    <t>Prior Year</t>
  </si>
  <si>
    <t>Current Year</t>
  </si>
  <si>
    <t>Proposed Budget</t>
  </si>
  <si>
    <t>Unencumbered Cash Balance, Jan 1</t>
  </si>
  <si>
    <t>+</t>
  </si>
  <si>
    <t>Ad Valorem Tax</t>
  </si>
  <si>
    <t>Delinquent Tax</t>
  </si>
  <si>
    <t>Motor Vehicle Tax</t>
  </si>
  <si>
    <t>Recreational Vehicle Tax</t>
  </si>
  <si>
    <t>Gross Earnings (Intangibles) Tax</t>
  </si>
  <si>
    <t>Other</t>
  </si>
  <si>
    <t>Interest on Idle Funds</t>
  </si>
  <si>
    <t>Total Receipts</t>
  </si>
  <si>
    <t>Resources Available:</t>
  </si>
  <si>
    <t>Expenditures:</t>
  </si>
  <si>
    <t>Total Expenditures</t>
  </si>
  <si>
    <t>Unencumbered Cash Balance, Dec 31</t>
  </si>
  <si>
    <t>Tax Required</t>
  </si>
  <si>
    <t>%</t>
  </si>
  <si>
    <t xml:space="preserve">Special Machinery </t>
  </si>
  <si>
    <t xml:space="preserve">     K.S.A. 68-141g</t>
  </si>
  <si>
    <t>Actual</t>
  </si>
  <si>
    <t>Transfers from:</t>
  </si>
  <si>
    <t xml:space="preserve">  Road Fund</t>
  </si>
  <si>
    <t xml:space="preserve">        </t>
  </si>
  <si>
    <t>Supplies</t>
  </si>
  <si>
    <t xml:space="preserve">       </t>
  </si>
  <si>
    <t xml:space="preserve">     </t>
  </si>
  <si>
    <t>The governing body of</t>
  </si>
  <si>
    <t>Est.</t>
  </si>
  <si>
    <t>Tax</t>
  </si>
  <si>
    <t>Expenditures</t>
  </si>
  <si>
    <t>Rate*</t>
  </si>
  <si>
    <t>Less: Transfers</t>
  </si>
  <si>
    <t>Net Expenditure</t>
  </si>
  <si>
    <t>Total Tax Levied</t>
  </si>
  <si>
    <t>Assessed Valuation:</t>
  </si>
  <si>
    <t xml:space="preserve">  Township</t>
  </si>
  <si>
    <t>G.O. Bonds</t>
  </si>
  <si>
    <t xml:space="preserve">  *Tax rates are expressed in mills.</t>
  </si>
  <si>
    <t>Date</t>
  </si>
  <si>
    <t xml:space="preserve">   Amount Due</t>
  </si>
  <si>
    <t>of</t>
  </si>
  <si>
    <t xml:space="preserve">  Date Due</t>
  </si>
  <si>
    <t>Issue</t>
  </si>
  <si>
    <t>Issued</t>
  </si>
  <si>
    <t>Term</t>
  </si>
  <si>
    <t>Interest</t>
  </si>
  <si>
    <t>Principal</t>
  </si>
  <si>
    <t>Payments</t>
  </si>
  <si>
    <t xml:space="preserve">  Contract</t>
  </si>
  <si>
    <t>Contract</t>
  </si>
  <si>
    <t>Financed</t>
  </si>
  <si>
    <t>Due</t>
  </si>
  <si>
    <t>(Months)</t>
  </si>
  <si>
    <t>16/20 M Vehicle Tax</t>
  </si>
  <si>
    <t>CERTIFICATE</t>
  </si>
  <si>
    <t>NOTICE OF BUDGET HEARING</t>
  </si>
  <si>
    <t>BUDGET SUMMARY</t>
  </si>
  <si>
    <t>STATEMENT OF CONDITIONAL LEASE-PURCHASE AND CERTIFICATE OF PARTICIPATION*</t>
  </si>
  <si>
    <t>STATEMENT OF INDEBTEDNESS</t>
  </si>
  <si>
    <t>County Treasurer's 16/20M Vehicle Estimate</t>
  </si>
  <si>
    <t>16/20M Vehicle Factor</t>
  </si>
  <si>
    <t>MVT</t>
  </si>
  <si>
    <t>RVT</t>
  </si>
  <si>
    <t>Amount of Levy</t>
  </si>
  <si>
    <t xml:space="preserve"> 1.</t>
  </si>
  <si>
    <t xml:space="preserve"> 2.</t>
  </si>
  <si>
    <t>-</t>
  </si>
  <si>
    <t xml:space="preserve"> 3.</t>
  </si>
  <si>
    <t xml:space="preserve"> 4.</t>
  </si>
  <si>
    <t xml:space="preserve"> 5.</t>
  </si>
  <si>
    <t>5a.</t>
  </si>
  <si>
    <t>5b.</t>
  </si>
  <si>
    <t>5c.</t>
  </si>
  <si>
    <t>6.</t>
  </si>
  <si>
    <t>7.</t>
  </si>
  <si>
    <t>8.</t>
  </si>
  <si>
    <t>9.</t>
  </si>
  <si>
    <t>10.</t>
  </si>
  <si>
    <t>11.</t>
  </si>
  <si>
    <t>12.</t>
  </si>
  <si>
    <t>(Use Only if &gt; 0)</t>
  </si>
  <si>
    <t>Final Assessed Valuation:</t>
  </si>
  <si>
    <t xml:space="preserve">     Township</t>
  </si>
  <si>
    <t>16/20M Vehicle Tax</t>
  </si>
  <si>
    <t>Special Highway/Gasoline Tax</t>
  </si>
  <si>
    <t>Officers Pay</t>
  </si>
  <si>
    <t>Employee Benefits</t>
  </si>
  <si>
    <t>Equipment</t>
  </si>
  <si>
    <t>Transfer to Special Machinery</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</si>
  <si>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</si>
  <si>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</si>
  <si>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</si>
  <si>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</si>
  <si>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</si>
  <si>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</si>
  <si>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</si>
  <si>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</si>
  <si>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</si>
  <si>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</si>
  <si>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</si>
  <si>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</si>
  <si>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January 1</t>
  </si>
  <si>
    <t>Unencumbered Cash Balance Dec 31</t>
  </si>
  <si>
    <t>Receipts:</t>
  </si>
  <si>
    <t>16/20M Veh</t>
  </si>
  <si>
    <t>Outstanding</t>
  </si>
  <si>
    <t>(Beginning Principal)</t>
  </si>
  <si>
    <t>County Clerk's Use Only</t>
  </si>
  <si>
    <t>Salaries &amp; Wages</t>
  </si>
  <si>
    <t>Insurance</t>
  </si>
  <si>
    <t>TOWNSHIP RESOLUTION</t>
  </si>
  <si>
    <t>RESOLUTION NO.__________________</t>
  </si>
  <si>
    <r>
      <t>Whereas,</t>
    </r>
    <r>
      <rPr>
        <sz val="11"/>
        <rFont val="Times New Roman"/>
        <family val="1"/>
      </rPr>
      <t xml:space="preserve"> K.S.A. 79-2925b provides that a resolution be adopted if property taxes levied</t>
    </r>
  </si>
  <si>
    <r>
      <t xml:space="preserve">Whereas, </t>
    </r>
    <r>
      <rPr>
        <sz val="11"/>
        <rFont val="Times New Roman"/>
        <family val="1"/>
      </rPr>
      <t>budgeting, taxing and service level decisions for all township services are the responsibility of the township board; and</t>
    </r>
  </si>
  <si>
    <r>
      <t>Whereas,</t>
    </r>
    <r>
      <rPr>
        <sz val="11"/>
        <rFont val="Times New Roman"/>
        <family val="1"/>
      </rPr>
      <t xml:space="preserve"> the cost of provision of these services continues to increase.</t>
    </r>
  </si>
  <si>
    <t>___________________________________.</t>
  </si>
  <si>
    <t>(Attach a signed copy to the budget)</t>
  </si>
  <si>
    <t>valuation of oil and gas leaseholds and mobile homes; and 3) property which has changed in use during the past year, or with regard to revenue produced for the purpose of repaying the principal of and interest upon bonded indebtedness, temporary notes, or no-fund warrants; and</t>
  </si>
  <si>
    <t xml:space="preserve"> ___________________________________.</t>
  </si>
  <si>
    <t>, Trustee</t>
  </si>
  <si>
    <t>, Treasurer</t>
  </si>
  <si>
    <t>, Clerk</t>
  </si>
  <si>
    <t>Statement of Indebt. &amp; Lease/Purchase</t>
  </si>
  <si>
    <t>Other Fund Names:</t>
  </si>
  <si>
    <t>FUND PAGE FOR FUNDS WITH NO TAX LEVY</t>
  </si>
  <si>
    <t>Unencumbered Cash Balance Jan 1</t>
  </si>
  <si>
    <t>Address:</t>
  </si>
  <si>
    <t>Enter year being budgeted (YYYY)</t>
  </si>
  <si>
    <t xml:space="preserve">The input for the following comes directly from </t>
  </si>
  <si>
    <t xml:space="preserve">Enter the following information from the sources shown.  This information will be entered on the budget </t>
  </si>
  <si>
    <t>Attest: ____________________,</t>
  </si>
  <si>
    <t xml:space="preserve">certify that:  (1) the hearing mentioned in the attached publication was held; </t>
  </si>
  <si>
    <t>(2) after the Budget Hearing this budget was approved and adopted as the</t>
  </si>
  <si>
    <t>We, the undersigned, officers of</t>
  </si>
  <si>
    <t>10-113</t>
  </si>
  <si>
    <t>Total G.O. Bonds</t>
  </si>
  <si>
    <t>Total Other</t>
  </si>
  <si>
    <t>Resolution</t>
  </si>
  <si>
    <t>Is a Resolution required?</t>
  </si>
  <si>
    <t>Note:  All amounts are to be entered in as whole numbers only.</t>
  </si>
  <si>
    <t>Motor Vehicle Tax Estimate</t>
  </si>
  <si>
    <t>16\20 M Vehicle Tax</t>
  </si>
  <si>
    <t>LAVTR</t>
  </si>
  <si>
    <t xml:space="preserve">   </t>
  </si>
  <si>
    <t>Computation of Delinquency</t>
  </si>
  <si>
    <r>
      <t>**</t>
    </r>
    <r>
      <rPr>
        <b/>
        <u/>
        <sz val="12"/>
        <rFont val="Times New Roman"/>
        <family val="1"/>
      </rPr>
      <t>Note</t>
    </r>
    <r>
      <rPr>
        <sz val="12"/>
        <rFont val="Times New Roman"/>
        <family val="1"/>
      </rPr>
      <t>: The delinquency rate can be up to 5% more than the actual delinquency rate from the previous year.</t>
    </r>
  </si>
  <si>
    <t xml:space="preserve">  G.O. Bonds</t>
  </si>
  <si>
    <t xml:space="preserve">  No-Fund Warrant</t>
  </si>
  <si>
    <t xml:space="preserve">  Lease Purchase Principal</t>
  </si>
  <si>
    <t>Budget Summary</t>
  </si>
  <si>
    <t>Schedule of Transfers</t>
  </si>
  <si>
    <t>Current</t>
  </si>
  <si>
    <t>Proposed</t>
  </si>
  <si>
    <t>Transfers</t>
  </si>
  <si>
    <t>Amount for</t>
  </si>
  <si>
    <t xml:space="preserve">Authorized by </t>
  </si>
  <si>
    <t>From:</t>
  </si>
  <si>
    <t xml:space="preserve">  To:</t>
  </si>
  <si>
    <t>Adjusted Totals</t>
  </si>
  <si>
    <t>Read these instructions carefully.  If after reviewing them you still have questions, call Municipal Services at 785-296-2311 or e-mail : armunis@da.ks.gov</t>
  </si>
  <si>
    <t>When the page numbers are changed on the fund pages, the Certificate page will also be changed.</t>
  </si>
  <si>
    <t xml:space="preserve">General Instructions </t>
  </si>
  <si>
    <t>All dollar amounts should be rounded to whole dollars (do not record cents).</t>
  </si>
  <si>
    <t xml:space="preserve">Enter information  in all areas that are green if they apply to the budget you are preparing. </t>
  </si>
  <si>
    <t>The blue areas indicated where the information comes from to complete the section input.</t>
  </si>
  <si>
    <t>To print the spreadsheets, you can either print one sheet at a time or all of the sheets at once.</t>
  </si>
  <si>
    <t>Computer Spreadsheet Preparation</t>
  </si>
  <si>
    <t>2a.  Enter the Computation of Delinquency information. Please note that K.S.A. 79-2930 states that such allowance shall not exceed by more than 5% the percentage of delinquency for the preceding tax year.  Such allowance is not mandatory, but may be used if the municipality wishes.</t>
  </si>
  <si>
    <t>Township Spreadsheet Instructions</t>
  </si>
  <si>
    <t>The following were changed to this spreadsheet on 8/06/2007</t>
  </si>
  <si>
    <t>2. All pages have a revision date.</t>
  </si>
  <si>
    <t>5. Computation to Determine Limit now has the debts amounts link within the spreadsheet.</t>
  </si>
  <si>
    <t>6. Schedule of Transfers have the transfers totaled and link to the budget summary page.</t>
  </si>
  <si>
    <t xml:space="preserve">7. Now have the indebtedness prior year added to the input page and link with the budget summary page. </t>
  </si>
  <si>
    <t xml:space="preserve">3. Hard coded the Bond &amp; Interest, and Road on Certificate and Summary pages. </t>
  </si>
  <si>
    <t xml:space="preserve">4.  All dates on the spreadsheet are controlled from input on the input Prior Year page. </t>
  </si>
  <si>
    <t>8. Added  LAVTR and Slider to the input page and to the General Fund page.</t>
  </si>
  <si>
    <t>9. Changed the Budget Summary Heading to include Actual/Estimate/Proposed with the budget year.</t>
  </si>
  <si>
    <t>10. Changed the delinquency rate formula for all levy funds.</t>
  </si>
  <si>
    <t>12. Using the actual ad valorem rates from the Clerk's information versus from the Certificate page.</t>
  </si>
  <si>
    <t>14. Added column to show when debt retired on the Indebtedness page.</t>
  </si>
  <si>
    <t>16. Resolution page has a space for a page number.</t>
  </si>
  <si>
    <t>forms in the appropriate locations.  If any of the numbers are wrong, change them on this input sheet.</t>
  </si>
  <si>
    <t>Outstanding Indebtedness, January 1:</t>
  </si>
  <si>
    <t xml:space="preserve">The yellowed shaded areas of the budget worksheets contain formulas or links which should not be changed, and are protected.  Most errors occur because of information entered on the input pages.  If you are experiencing a problem with a protected cell, first check to see how the information was entered on the input pages.  If the information was entered correctly, and you still continue to experience problems, please contact us for assistance. </t>
  </si>
  <si>
    <t>17. Added to instructions about non-appropriated funds limit of 5%.</t>
  </si>
  <si>
    <t>22. Added Slider to the Vehicle Allocation table and linked to fund pages.</t>
  </si>
  <si>
    <t>23. Added to all budgeted fund pages the budget authority for the actual year, budget violation, and cash violation.</t>
  </si>
  <si>
    <t>24. Added instruction on the addition for item 23.</t>
  </si>
  <si>
    <t>Funds</t>
  </si>
  <si>
    <t>Budget Authority</t>
  </si>
  <si>
    <t xml:space="preserve">expenditure amounts should reflect the amended </t>
  </si>
  <si>
    <t>expenditure amounts.</t>
  </si>
  <si>
    <t>TOTAL</t>
  </si>
  <si>
    <t>Miscellaneous</t>
  </si>
  <si>
    <t>Does miscellaneous exceed 10% of Total Receipts</t>
  </si>
  <si>
    <t>Neighborhood Revitalization Rebate</t>
  </si>
  <si>
    <t>25. Link the Road fund transfer to Special Machinery fund and check for exceeding 25%.</t>
  </si>
  <si>
    <t>26. Added 'miscellaneous' category to the receipt/expenditure for all fund pages and set error message.</t>
  </si>
  <si>
    <t>27. Added to the instruction about correct the error message for the miscellaneous.</t>
  </si>
  <si>
    <t>19. Added Neighborhood Revitalization table and linked the tax levy fund pages.</t>
  </si>
  <si>
    <t>20. Added Neighborhood Revitalization expenditures to all the tax levy fund pages.</t>
  </si>
  <si>
    <t>21. Added Neighborhood Revitalization page number to the Certificate page table of content.</t>
  </si>
  <si>
    <t xml:space="preserve">Submitting the Budget </t>
  </si>
  <si>
    <t>Red areas are for notes or indicate a problem area that will need possible corrective action taken.</t>
  </si>
  <si>
    <r>
      <t xml:space="preserve">Budgets are required to be sent to the County Clerk </t>
    </r>
    <r>
      <rPr>
        <b/>
        <sz val="12"/>
        <rFont val="Times New Roman"/>
        <family val="1"/>
      </rPr>
      <t>by August 25</t>
    </r>
    <r>
      <rPr>
        <sz val="12"/>
        <rFont val="Times New Roman"/>
        <family val="1"/>
      </rPr>
      <t xml:space="preserve"> of each year. </t>
    </r>
  </si>
  <si>
    <t xml:space="preserve">The worksheets are named (see the tab) in each budget workbook.  We will identify the worksheet by referencing the tab in parentheses (i.e. General Fund reference would be (gen). </t>
  </si>
  <si>
    <t>Enter County Name followed by 'County"</t>
  </si>
  <si>
    <t>Enter Township Name followed by 'Township'</t>
  </si>
  <si>
    <t>28. Added 9a to the instruction to explain about County Treasurers Jan 1 and Dec 31 balances.</t>
  </si>
  <si>
    <t>14. If road transfer funds to special machinery, the transfers are linked and to the Schedule of Transfers.</t>
  </si>
  <si>
    <r>
      <t>14b. Special Machinery also has error message '</t>
    </r>
    <r>
      <rPr>
        <sz val="12"/>
        <color indexed="10"/>
        <rFont val="Times New Roman"/>
        <family val="1"/>
      </rPr>
      <t>Exceeds 25% of Resources Available</t>
    </r>
    <r>
      <rPr>
        <sz val="12"/>
        <rFont val="Times New Roman"/>
        <family val="1"/>
      </rPr>
      <t>'.</t>
    </r>
  </si>
  <si>
    <t>14c. Schedule of Transfer has the transfers link and will show statute allowing for the transfer for actual year only.</t>
  </si>
  <si>
    <t>15. Added transfers on the general fund page and questions pertaining to the transfers.</t>
  </si>
  <si>
    <r>
      <t xml:space="preserve">15a. The first transfer checks for if ad valorem taxes were levied. If so, then transfer block turns </t>
    </r>
    <r>
      <rPr>
        <sz val="12"/>
        <color indexed="10"/>
        <rFont val="Times New Roman"/>
        <family val="1"/>
      </rPr>
      <t>red</t>
    </r>
    <r>
      <rPr>
        <sz val="12"/>
        <rFont val="Times New Roman"/>
        <family val="1"/>
      </rPr>
      <t xml:space="preserve"> and error message '</t>
    </r>
    <r>
      <rPr>
        <sz val="12"/>
        <color indexed="10"/>
        <rFont val="Times New Roman"/>
        <family val="1"/>
      </rPr>
      <t>Not Authorized</t>
    </r>
    <r>
      <rPr>
        <sz val="12"/>
        <rFont val="Times New Roman"/>
        <family val="1"/>
      </rPr>
      <t>' appears.</t>
    </r>
  </si>
  <si>
    <t>15c. Transfers are linked from general fund to special machinery and to Schedule of Transfers. Transfers for actual year will also have the statute reference shown.</t>
  </si>
  <si>
    <t>4. All tax levy fund pages abbreviated the non-appropriated, total expenditures/non-appropriated, and delinquency computation rate.</t>
  </si>
  <si>
    <r>
      <t xml:space="preserve">14a. Road transfer is checked to see if exceeds 25%, if so, then block turns </t>
    </r>
    <r>
      <rPr>
        <sz val="12"/>
        <color indexed="10"/>
        <rFont val="Times New Roman"/>
        <family val="1"/>
      </rPr>
      <t>red</t>
    </r>
    <r>
      <rPr>
        <sz val="12"/>
        <rFont val="Times New Roman"/>
        <family val="1"/>
      </rPr>
      <t xml:space="preserve"> and below statement will appear '</t>
    </r>
    <r>
      <rPr>
        <sz val="12"/>
        <color indexed="10"/>
        <rFont val="Times New Roman"/>
        <family val="1"/>
      </rPr>
      <t>Exceeds 25%</t>
    </r>
    <r>
      <rPr>
        <sz val="12"/>
        <rFont val="Times New Roman"/>
        <family val="1"/>
      </rPr>
      <t xml:space="preserve">'. </t>
    </r>
  </si>
  <si>
    <r>
      <t xml:space="preserve">15b. Second transfer checks to see if exceeds 25% limitation. If so, then transfer block turns </t>
    </r>
    <r>
      <rPr>
        <sz val="12"/>
        <color indexed="10"/>
        <rFont val="Times New Roman"/>
        <family val="1"/>
      </rPr>
      <t xml:space="preserve">red </t>
    </r>
    <r>
      <rPr>
        <sz val="12"/>
        <rFont val="Times New Roman"/>
        <family val="1"/>
      </rPr>
      <t>and error message '</t>
    </r>
    <r>
      <rPr>
        <sz val="12"/>
        <color indexed="10"/>
        <rFont val="Times New Roman"/>
        <family val="1"/>
      </rPr>
      <t>Exceeds 25%</t>
    </r>
    <r>
      <rPr>
        <sz val="12"/>
        <rFont val="Times New Roman"/>
        <family val="1"/>
      </rPr>
      <t>' appears.</t>
    </r>
  </si>
  <si>
    <r>
      <t>16. Error messages will appear next to transfers for the special machinery transfers from the general fund if both transfer blocks indicate a transfer. A error message will appear '</t>
    </r>
    <r>
      <rPr>
        <sz val="12"/>
        <color indexed="10"/>
        <rFont val="Times New Roman"/>
        <family val="1"/>
      </rPr>
      <t>Not Authorized Two Transfers - Only One</t>
    </r>
    <r>
      <rPr>
        <sz val="12"/>
        <rFont val="Times New Roman"/>
        <family val="1"/>
      </rPr>
      <t>'</t>
    </r>
  </si>
  <si>
    <t>1. instruction were changed: POC change from Roger to armunis, got rid about us providing disk, took the input page and split to input prior budget information and input other, with more in-depth of forms and fund page, and more in-depth on the budget summary page.</t>
  </si>
  <si>
    <t>11. Changed the Certificate page so the county name flows instead of having unneeded spaces.</t>
  </si>
  <si>
    <t>13. Delinquency rate for actual for 3 decimal and note that rate can be up to 5% over the actual rate.</t>
  </si>
  <si>
    <t>15. Budget Summary changed the sentence "will meet…" so the year automatically changes.</t>
  </si>
  <si>
    <t>18. Added warning "Exceeds 5%" on all fund pages for the non-appropriated balance.</t>
  </si>
  <si>
    <t>17. Deleted lines pertaining to the beginning and ending balance for the County Treasurer.</t>
  </si>
  <si>
    <t>29. Added 'excluding oil, gas, and mobile homes' to lines 9 and 11 on Clerks budget info on tab inputoth.</t>
  </si>
  <si>
    <t>***If you are merely leasing/renting with no intent to purchase, do not list--such transactions are not lease-purchases.</t>
  </si>
  <si>
    <t xml:space="preserve">  General Fund(No Levy)</t>
  </si>
  <si>
    <t xml:space="preserve">  General Fund(Gen has Levy)</t>
  </si>
  <si>
    <t xml:space="preserve">General </t>
  </si>
  <si>
    <t>The following were changed to this spreadsheet on 10/14/2008</t>
  </si>
  <si>
    <t>1. Input tab (inputPrYr) added column for the current year expenditures.</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</si>
  <si>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</si>
  <si>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</si>
  <si>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</si>
  <si>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</si>
  <si>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</si>
  <si>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</si>
  <si>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</si>
  <si>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</si>
  <si>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</si>
  <si>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</si>
  <si>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2b. If the township chooses not to use the delinquency rate for all tax levy funds, then the township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</si>
  <si>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</si>
  <si>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13. Allow the General Fund transfer of 25% to Special Machinery to include ad valorem taxes into the computation of the 25% limitation in the proposed column.</t>
  </si>
  <si>
    <t>Does the General Fund have a tax levy</t>
  </si>
  <si>
    <t>12. Added instruction lines 9g to 9l for additional edits for budget authority.</t>
  </si>
  <si>
    <t>2. Added to all tax levy fund pages the miscellaneous receipt for the proposed year comparison takes into account the ad valorem taxes for the 10% Rule.</t>
  </si>
  <si>
    <t>Transfer to Spec. Mach.(No Levy)</t>
  </si>
  <si>
    <t>Transfer to Spec. Mach.(Gen has Levy)</t>
  </si>
  <si>
    <t>Input sheet for Township budget form</t>
  </si>
  <si>
    <t>Statute</t>
  </si>
  <si>
    <t>Fund name for all funds with a tax levy:</t>
  </si>
  <si>
    <t>General</t>
  </si>
  <si>
    <t>79-1962</t>
  </si>
  <si>
    <t>Road</t>
  </si>
  <si>
    <t>Total</t>
  </si>
  <si>
    <t>Recreational Vehicle Tax Estimate</t>
  </si>
  <si>
    <t xml:space="preserve"> </t>
  </si>
  <si>
    <t>County</t>
  </si>
  <si>
    <t>Page</t>
  </si>
  <si>
    <t>Clerk's</t>
  </si>
  <si>
    <t>Table of Contents:</t>
  </si>
  <si>
    <t>No.</t>
  </si>
  <si>
    <t>Expenditure</t>
  </si>
  <si>
    <t>Use Only</t>
  </si>
  <si>
    <t>Fund</t>
  </si>
  <si>
    <t>K.S.A.</t>
  </si>
  <si>
    <t>Special Machinery</t>
  </si>
  <si>
    <t>Totals</t>
  </si>
  <si>
    <t>x</t>
  </si>
  <si>
    <t xml:space="preserve">         </t>
  </si>
  <si>
    <t>Assisted by:</t>
  </si>
  <si>
    <t xml:space="preserve">    Governing Body</t>
  </si>
  <si>
    <t>County Clerk</t>
  </si>
  <si>
    <t>The following were changed to this spreadsheet on 2/02/09</t>
  </si>
  <si>
    <t>1. General fund cell c51formula changed to calulate the Unecumber Cash Balance correctly.</t>
  </si>
  <si>
    <t>The following were changed to this spreadsheet on 2/23/09</t>
  </si>
  <si>
    <t>1. Instruction under Submitting of Budget ….required electronic submission.</t>
  </si>
  <si>
    <t>2. Input other tab line 45 change from Budget Summary to Budget Certificate.</t>
  </si>
  <si>
    <t>Debt Service</t>
  </si>
  <si>
    <t>The following were changed to this spreadsheet on 3/19/09</t>
  </si>
  <si>
    <t>1. Certificat page changed fund name from Bond &amp; Interest to Debt Service</t>
  </si>
  <si>
    <t>2. Debt Service fund page name from Bond &amp; Interest to Debt Service</t>
  </si>
  <si>
    <t>3.Budget Summary changed fund name from Bond &amp; Interest to Debt Service</t>
  </si>
  <si>
    <t>The following were changed to this spreadsheet on 4/3/09</t>
  </si>
  <si>
    <t>1. Corrected mvalloc column d for ad valorem tax as was picking up expenditures instead</t>
  </si>
  <si>
    <t>2. Corrected gen unencumbered cash balances for both actual and current columns</t>
  </si>
  <si>
    <t>The following were changed to this spreadsheet on 5/5/09</t>
  </si>
  <si>
    <t>1. Summ tab, the special machinery's expenditure block B34 link was changed from C63 to B63</t>
  </si>
  <si>
    <t>The following were changed to this spreadsheet on 5/13/09</t>
  </si>
  <si>
    <t>1. Transfer tab, changed cells c12, d12, and e12 to reflect link on the gen tab transfer from 43 to 45</t>
  </si>
  <si>
    <t>The following were changed to this spreadsheet on 5/14/09</t>
  </si>
  <si>
    <t>1. Mvalloc tab, changed cell d10  to -2 vs -1 to reflect correct year to tax</t>
  </si>
  <si>
    <t xml:space="preserve">2. Mvalloc tab, changed cells d12-21 to add = in formula to prevent VALUE error - affects very few townships </t>
  </si>
  <si>
    <t>68-518c</t>
  </si>
  <si>
    <r>
      <rPr>
        <b/>
        <sz val="12"/>
        <color indexed="10"/>
        <rFont val="Times New Roman"/>
        <family val="1"/>
      </rPr>
      <t>*</t>
    </r>
    <r>
      <rPr>
        <b/>
        <sz val="12"/>
        <rFont val="Times New Roman"/>
        <family val="1"/>
      </rPr>
      <t>If amended, then use the amended figures.</t>
    </r>
    <r>
      <rPr>
        <b/>
        <sz val="12"/>
        <color indexed="10"/>
        <rFont val="Times New Roman"/>
        <family val="1"/>
      </rPr>
      <t>*</t>
    </r>
  </si>
  <si>
    <t>The following were changed to this spreadsheet on 8/25/09</t>
  </si>
  <si>
    <t>Transfers - Townships</t>
  </si>
  <si>
    <t>1. Cert tab line 14, added 'If amended….'</t>
  </si>
  <si>
    <t>2. Mvalloc tab changed reference from 'D' to 'E'  in each cell of table</t>
  </si>
  <si>
    <t>3. Transfer tab line 13, changed General/Road to Road/Special Machinery</t>
  </si>
  <si>
    <t>4. Transfer tab changed second statute reference from 80-1406b to 80-122</t>
  </si>
  <si>
    <t>5. TransferStatute tab created</t>
  </si>
  <si>
    <t>6. Instructions tab added 6c for the TransferStatute tab</t>
  </si>
  <si>
    <t xml:space="preserve">Townships can use the township.xls,  township1.xls, township2 or township3.xls files.   You must choose a form that meets the needs for the number of funds.  If you don't need all the funds, just leave the pages blank and number the completed pages sequentially. </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</si>
  <si>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</si>
  <si>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</si>
  <si>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</si>
  <si>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</si>
  <si>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</si>
  <si>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</si>
  <si>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</si>
  <si>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</si>
  <si>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</si>
  <si>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</si>
  <si>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</si>
  <si>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</si>
  <si>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</si>
  <si>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7. Instruction tab added 9m to explain about Non-Budgeted Form</t>
  </si>
  <si>
    <t>8. Cert tab added Non-Budgeted Funds line A35</t>
  </si>
  <si>
    <t>9. Added nonbud tab for the Non-Budgeted Funds</t>
  </si>
  <si>
    <t>10. Summ tab added A34 for Non-Budgeted Funds</t>
  </si>
  <si>
    <r>
      <rPr>
        <sz val="12"/>
        <color indexed="10"/>
        <rFont val="Times New Roman"/>
        <family val="1"/>
      </rPr>
      <t>*</t>
    </r>
    <r>
      <rPr>
        <sz val="12"/>
        <rFont val="Times New Roman"/>
        <family val="1"/>
      </rPr>
      <t>Expenditures</t>
    </r>
    <r>
      <rPr>
        <sz val="12"/>
        <color indexed="10"/>
        <rFont val="Times New Roman"/>
        <family val="1"/>
      </rPr>
      <t>*</t>
    </r>
  </si>
  <si>
    <t>Non-Budgeted Funds - Townships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</si>
  <si>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</si>
  <si>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</si>
  <si>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</si>
  <si>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</si>
  <si>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</si>
  <si>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68-141g.</t>
    </r>
    <r>
      <rPr>
        <sz val="12"/>
        <color indexed="8"/>
        <rFont val="Times New Roman"/>
        <family val="1"/>
      </rPr>
      <t xml:space="preserve">  </t>
    </r>
    <r>
      <rPr>
        <b/>
        <sz val="12"/>
        <color indexed="8"/>
        <rFont val="Times New Roman"/>
        <family val="1"/>
      </rPr>
      <t>Special road, bridge or street building machinery, equipment and bridge building fund.</t>
    </r>
    <r>
      <rPr>
        <sz val="12"/>
        <color indexed="8"/>
        <rFont val="Times New Roman"/>
        <family val="1"/>
      </rPr>
      <t xml:space="preserve">  Authorizes a special road, bridge or street building machinery, equipment and bridge building fund and the annual transfer of not to exceed 25% of the budgeted amount of the corresponding operating fund.</t>
    </r>
  </si>
  <si>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</si>
  <si>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</si>
  <si>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townships in counties having the county road unit system which have an annual expenditure of less than $200, and to any money received as a gift or bequest.</t>
    </r>
  </si>
  <si>
    <r>
      <t xml:space="preserve">K.S.A. </t>
    </r>
    <r>
      <rPr>
        <b/>
        <sz val="12"/>
        <color indexed="8"/>
        <rFont val="Times New Roman"/>
        <family val="1"/>
      </rPr>
      <t>80-122.</t>
    </r>
    <r>
      <rPr>
        <sz val="12"/>
        <color indexed="8"/>
        <rFont val="Times New Roman"/>
        <family val="1"/>
      </rPr>
      <t xml:space="preserve">  </t>
    </r>
    <r>
      <rPr>
        <b/>
        <sz val="12"/>
        <color indexed="8"/>
        <rFont val="Times New Roman"/>
        <family val="1"/>
      </rPr>
      <t>Township equipment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equipment reserve fund to finance the acquisition of equipment and to budget and transfer each year to such fund up to 25% of the general fund.</t>
    </r>
  </si>
  <si>
    <r>
      <t xml:space="preserve">K.S.A. </t>
    </r>
    <r>
      <rPr>
        <b/>
        <sz val="12"/>
        <color indexed="8"/>
        <rFont val="Times New Roman"/>
        <family val="1"/>
      </rPr>
      <t>80-1558.</t>
    </r>
    <r>
      <rPr>
        <sz val="12"/>
        <color indexed="8"/>
        <rFont val="Times New Roman"/>
        <family val="1"/>
      </rPr>
      <t xml:space="preserve">  </t>
    </r>
    <r>
      <rPr>
        <b/>
        <sz val="12"/>
        <color indexed="8"/>
        <rFont val="Times New Roman"/>
        <family val="1"/>
      </rPr>
      <t>Township special fire protection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special fire protection reserve fund to finance the acquisition of fire-fighting equipment, land, and buildings, and to transfer each year to such fund up to 25% of the money credited to the fire fund.</t>
    </r>
  </si>
  <si>
    <t xml:space="preserve">K.S.A. 79-2926 requires budgets to be submitted by electronic means. Contact your County Clerk for the specify instruction as to submission of the budget.  </t>
  </si>
  <si>
    <t>11. Added Tabs A to E for violations</t>
  </si>
  <si>
    <t>12. Changed each fund page taking out the 'Yes' and 'No' and replacing them with See Tab when a possible violation occurrs</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</si>
  <si>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</si>
  <si>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May transfer annually any funds received from a tax levy specifically authorized to be made for ambulance or emergency medical service, to a special reserve fund for replacement of ambulance or emergency medical service equipment.</t>
    </r>
  </si>
  <si>
    <r>
      <t>K.S.A. 68-141g</t>
    </r>
    <r>
      <rPr>
        <sz val="12"/>
        <color indexed="8"/>
        <rFont val="Times New Roman"/>
        <family val="1"/>
      </rPr>
      <t>.</t>
    </r>
    <r>
      <rPr>
        <b/>
        <sz val="12"/>
        <color indexed="8"/>
        <rFont val="Times New Roman"/>
        <family val="1"/>
      </rPr>
      <t xml:space="preserve">  Transfer to special machinery or equipment fund.</t>
    </r>
    <r>
      <rPr>
        <sz val="12"/>
        <color indexed="8"/>
        <rFont val="Times New Roman"/>
        <family val="1"/>
      </rPr>
      <t xml:space="preserve">  Authorizes an annual transfer, not to exceed 25%, from the road, bridge or street fund to a special road, bridge or street building machinery, equipment and bridge building fund. </t>
    </r>
  </si>
  <si>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</si>
  <si>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80-122</t>
    </r>
    <r>
      <rPr>
        <sz val="12"/>
        <rFont val="Times New Roman"/>
        <family val="1"/>
      </rPr>
      <t>.</t>
    </r>
    <r>
      <rPr>
        <b/>
        <sz val="12"/>
        <rFont val="Times New Roman"/>
        <family val="1"/>
      </rPr>
      <t xml:space="preserve">  Transfer from general fund to equipment reserve fund.</t>
    </r>
    <r>
      <rPr>
        <sz val="12"/>
        <rFont val="Times New Roman"/>
        <family val="1"/>
      </rPr>
      <t xml:space="preserve">  Authorizes and annual budgeted transfer of up to </t>
    </r>
    <r>
      <rPr>
        <sz val="12"/>
        <color indexed="8"/>
        <rFont val="Times New Roman"/>
        <family val="1"/>
      </rPr>
      <t>25% of the general fund to an equipment reserve fund to finance the acquisition of equipment</t>
    </r>
  </si>
  <si>
    <r>
      <t>K.S.A. 80-1406b</t>
    </r>
    <r>
      <rPr>
        <sz val="12"/>
        <rFont val="Times New Roman"/>
        <family val="1"/>
      </rPr>
      <t>.</t>
    </r>
    <r>
      <rPr>
        <b/>
        <sz val="12"/>
        <rFont val="Times New Roman"/>
        <family val="1"/>
      </rPr>
      <t xml:space="preserve">  Transfer from general fund.</t>
    </r>
    <r>
      <rPr>
        <sz val="12"/>
        <rFont val="Times New Roman"/>
        <family val="1"/>
      </rPr>
      <t xml:space="preserve">  </t>
    </r>
    <r>
      <rPr>
        <sz val="12"/>
        <color indexed="8"/>
        <rFont val="Times New Roman"/>
        <family val="1"/>
      </rPr>
      <t>The township board of any township which did not make a tax levy for the township general fund in the year next preceding and which has a surplus of moneys in the general fund may transfer all or any part of such surplus to any other fund.</t>
    </r>
  </si>
  <si>
    <r>
      <t>K.S.A. 80-1558</t>
    </r>
    <r>
      <rPr>
        <sz val="11"/>
        <rFont val="Times New Roman"/>
        <family val="1"/>
      </rPr>
      <t>.</t>
    </r>
    <r>
      <rPr>
        <b/>
        <sz val="11"/>
        <rFont val="Times New Roman"/>
        <family val="1"/>
      </rPr>
      <t xml:space="preserve">  Transfer to special fire protection reserve fund.</t>
    </r>
    <r>
      <rPr>
        <sz val="11"/>
        <rFont val="Times New Roman"/>
        <family val="1"/>
      </rPr>
      <t xml:space="preserve">  A</t>
    </r>
    <r>
      <rPr>
        <sz val="11"/>
        <color indexed="8"/>
        <rFont val="Times New Roman"/>
        <family val="1"/>
      </rPr>
      <t>uthorizes an annual transfer of up to 25% from the fire fund to a special fire protection reserve fund.</t>
    </r>
    <r>
      <rPr>
        <b/>
        <sz val="11"/>
        <color indexed="8"/>
        <rFont val="Times New Roman"/>
        <family val="1"/>
      </rPr>
      <t xml:space="preserve"> </t>
    </r>
  </si>
  <si>
    <t>Valuation Factor:</t>
  </si>
  <si>
    <t>13. NonBud tab changed Net Vaulation to July 1</t>
  </si>
  <si>
    <t>Neighborhood Revitalization Subj to Rebate:</t>
  </si>
  <si>
    <t>Neighborhood Revitalization factor:</t>
  </si>
  <si>
    <t>14. Certificate tab moved the Assisted By: and added more lines for governing body signatures</t>
  </si>
  <si>
    <t>15. Created NonBudFunds tab</t>
  </si>
  <si>
    <t>This tab will put the date and time and location of the budget hearing on the Budget Summary page.  Also, provide the location where as the budget can be reveiwed.  Please input information in the green areas.</t>
  </si>
  <si>
    <t>Date:</t>
  </si>
  <si>
    <t>Time:</t>
  </si>
  <si>
    <t>Location:</t>
  </si>
  <si>
    <t>Available at:</t>
  </si>
  <si>
    <t>Examples</t>
  </si>
  <si>
    <t>August 12, 2010</t>
  </si>
  <si>
    <t>7:00 PM or 7:00 AM</t>
  </si>
  <si>
    <t>Shawnee County Clerk's Office</t>
  </si>
  <si>
    <t>John Boy's residence 2310 S Highway, Ike City</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</si>
  <si>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</si>
  <si>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</si>
  <si>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</si>
  <si>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</si>
  <si>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</si>
  <si>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</si>
  <si>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</si>
  <si>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</si>
  <si>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</si>
  <si>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</si>
  <si>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</si>
  <si>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</si>
  <si>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</si>
  <si>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</si>
  <si>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</si>
  <si>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</si>
  <si>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</si>
  <si>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</si>
  <si>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</si>
  <si>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Another option is to consider whether your fund shares</t>
  </si>
  <si>
    <t>one of those funds is in trouble, you might be able to allocate</t>
  </si>
  <si>
    <t>a little more in salaries to the healthy fund in order to</t>
  </si>
  <si>
    <t>eliminate the violation (be sure, though, that the</t>
  </si>
  <si>
    <t>healthy fund has sufficient budget authority and cash</t>
  </si>
  <si>
    <t>available).</t>
  </si>
  <si>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</si>
  <si>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</si>
  <si>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</si>
  <si>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</si>
  <si>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</si>
  <si>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</si>
  <si>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</si>
  <si>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</si>
  <si>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</si>
  <si>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</si>
  <si>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</si>
  <si>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</si>
  <si>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</si>
  <si>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</si>
  <si>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</si>
  <si>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</si>
  <si>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</si>
  <si>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</si>
  <si>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</si>
  <si>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</si>
  <si>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</si>
  <si>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</si>
  <si>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</si>
  <si>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</si>
  <si>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</si>
  <si>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</si>
  <si>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</si>
  <si>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</si>
  <si>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</si>
  <si>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</si>
  <si>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</si>
  <si>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</si>
  <si>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</si>
  <si>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</si>
  <si>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</si>
  <si>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</si>
  <si>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</si>
  <si>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</si>
  <si>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</si>
  <si>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</si>
  <si>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</si>
  <si>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</si>
  <si>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</si>
  <si>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</si>
  <si>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</si>
  <si>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</si>
  <si>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</si>
  <si>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</si>
  <si>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</si>
  <si>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</si>
  <si>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</si>
  <si>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</si>
  <si>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</si>
  <si>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</si>
  <si>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</si>
  <si>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</si>
  <si>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</si>
  <si>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</si>
  <si>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</si>
  <si>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</si>
  <si>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</si>
  <si>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</si>
  <si>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</si>
  <si>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</si>
  <si>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</si>
  <si>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</si>
  <si>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</si>
  <si>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</si>
  <si>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</si>
  <si>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</si>
  <si>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</si>
  <si>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</si>
  <si>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</si>
  <si>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</si>
  <si>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</si>
  <si>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</si>
  <si>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</si>
  <si>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</si>
  <si>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</si>
  <si>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</si>
  <si>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</si>
  <si>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</si>
  <si>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</si>
  <si>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</si>
  <si>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</si>
  <si>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</si>
  <si>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</si>
  <si>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</si>
  <si>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</si>
  <si>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</si>
  <si>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</si>
  <si>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</si>
  <si>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</si>
  <si>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</si>
  <si>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</si>
  <si>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</si>
  <si>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</si>
  <si>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</si>
  <si>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</si>
  <si>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</si>
  <si>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</si>
  <si>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</si>
  <si>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</si>
  <si>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</si>
  <si>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</si>
  <si>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one of those funds is in trouble you might be able to allocate</t>
  </si>
  <si>
    <t>eliminate the potential violation (be sure, though, that</t>
  </si>
  <si>
    <t>the healthy fund has sufficient budget authority and cash</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</si>
  <si>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</si>
  <si>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</si>
  <si>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</si>
  <si>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</si>
  <si>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</si>
  <si>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</si>
  <si>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</si>
  <si>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</si>
  <si>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</si>
  <si>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</si>
  <si>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</si>
  <si>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</si>
  <si>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</si>
  <si>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</si>
  <si>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</si>
  <si>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</si>
  <si>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</si>
  <si>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</si>
  <si>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</si>
  <si>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</si>
  <si>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</si>
  <si>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</si>
  <si>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</si>
  <si>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</si>
  <si>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</si>
  <si>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</si>
  <si>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</si>
  <si>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</si>
  <si>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</si>
  <si>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</si>
  <si>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</si>
  <si>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</si>
  <si>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</si>
  <si>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</si>
  <si>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</si>
  <si>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</si>
  <si>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</si>
  <si>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</si>
  <si>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</si>
  <si>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</si>
  <si>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</si>
  <si>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</si>
  <si>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</si>
  <si>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</si>
  <si>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</si>
  <si>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</si>
  <si>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</si>
  <si>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</si>
  <si>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</si>
  <si>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</si>
  <si>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</si>
  <si>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</si>
  <si>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</si>
  <si>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</si>
  <si>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</si>
  <si>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</si>
  <si>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</si>
  <si>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</si>
  <si>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</si>
  <si>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</si>
  <si>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</si>
  <si>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</si>
  <si>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</si>
  <si>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</si>
  <si>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</si>
  <si>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</si>
  <si>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</si>
  <si>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</si>
  <si>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</si>
  <si>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</si>
  <si>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</si>
  <si>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</si>
  <si>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t>expenditures with another fund.  For example, your road</t>
  </si>
  <si>
    <t>and noxious weed funds may split salaries between the two funds.  If</t>
  </si>
  <si>
    <t>The following were changed to this spreadsheet on 12/08/09</t>
  </si>
  <si>
    <t>1. Instruction tab, added step 3 for 'inputBudSum'</t>
  </si>
  <si>
    <t>2. Added tab 'inputBudSum'</t>
  </si>
  <si>
    <t>3. Changed Budget Summary replacing the green areas for date/time/location so info comes from inputBudSum tab</t>
  </si>
  <si>
    <t>4. Bud Summary delete a space and combine sentences 'Detail…' and 'and will' for where budget infor located at</t>
  </si>
  <si>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</si>
  <si>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t xml:space="preserve">4.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</si>
  <si>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r>
      <t>4a.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No</t>
    </r>
    <r>
      <rPr>
        <sz val="12"/>
        <rFont val="Times New Roman"/>
        <family val="1"/>
      </rPr>
      <t>'.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</si>
  <si>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5.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</si>
  <si>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5a. The information for Computation to Determine Limit page (computationSpecial) comes from data on the input pages (inputpryr and inputoth). If a error is found, please correct the information from the input pages.</t>
  </si>
  <si>
    <t>5b. Print the Resolution page (resolution) if the max levy is exceeded.  Complete the printed resolution and ensure to attached it the budget.</t>
  </si>
  <si>
    <t>7. The Schedule of Transfers (transfer) is completed from the individual completed fund pages. Be sure to provide the statute that authorizes the transfer.</t>
  </si>
  <si>
    <r>
      <t xml:space="preserve">8.  Statement of Indebtedness (debt) must show all the debt owed or proposed to be issued.  The general obligation and other bond totals for budget year is linked to the Budget Summary and prior years are linked by the input page (inputpryr). </t>
    </r>
    <r>
      <rPr>
        <b/>
        <sz val="12"/>
        <rFont val="Times New Roman"/>
        <family val="1"/>
      </rPr>
      <t>If the township does not have any debt, then on the first line enter 'none'.</t>
    </r>
  </si>
  <si>
    <r>
      <t xml:space="preserve">9.  Statement of Conditional Lease, Lease-Purchases and Certificate of Participation (debt) must be completed for all transactions which will be owned by the township at the end of lease period.  Principal Balance Due for the actual year is linked to the Budget Summary page and prior year linked by the input page (inputpryr). </t>
    </r>
    <r>
      <rPr>
        <b/>
        <sz val="12"/>
        <rFont val="Times New Roman"/>
        <family val="1"/>
      </rPr>
      <t>If the township does not have any leases, then on the first line enter 'none'.</t>
    </r>
  </si>
  <si>
    <t>answering objections of taxpayers relating to the proposed use of all funds and the amount of ad valorem tax.</t>
  </si>
  <si>
    <t>the Neighborhood Revitalization Rebate table.</t>
  </si>
  <si>
    <t>The following were changed to this spreadsheet on 12/28/09</t>
  </si>
  <si>
    <t xml:space="preserve">7c. If the General Fund (gen) and Road Fund (road) has transfers to the Special Machinery Fund (road), the Schedule of Transfers now has links for the transfers and provides the statute reference.  </t>
  </si>
  <si>
    <t>7d. TransferStatutes tab provides statute reference for transfers which are not already identified.</t>
  </si>
  <si>
    <t xml:space="preserve">7a. The totals are now linked to the Budget Summary page. </t>
  </si>
  <si>
    <t xml:space="preserve">7b.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</si>
  <si>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</si>
  <si>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</si>
  <si>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</si>
  <si>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</si>
  <si>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</si>
  <si>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</si>
  <si>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</si>
  <si>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1. Instruction tab added line 7b concerning schedule of transfers adjustments</t>
  </si>
  <si>
    <t>2. Transfers tab changed note so to identify current and proposed columns for non-budgeted funds transfers</t>
  </si>
  <si>
    <t>3. Transfers tab changed first two column heading adding 'expenditures' and 'receipts'</t>
  </si>
  <si>
    <t>The following were changed to this spreadsheet on 4/15/10</t>
  </si>
  <si>
    <t>1. Changed schedule of transfers statute column to allow for statute to pop-up if transfers are shown in current/proposed columns</t>
  </si>
  <si>
    <t>Does misc. exceed 10% of Total Expenditures</t>
  </si>
  <si>
    <t>Non-Appropriated Balance</t>
  </si>
  <si>
    <t>Total Expenditure/Non-Appr Balance</t>
  </si>
  <si>
    <t>Delinquent Comp Rate:</t>
  </si>
  <si>
    <t>Does transfer exceed 25% of Resources Available</t>
  </si>
  <si>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</si>
  <si>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</si>
  <si>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</si>
  <si>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</si>
  <si>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</si>
  <si>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</si>
  <si>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</si>
  <si>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</si>
  <si>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</si>
  <si>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</si>
  <si>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</si>
  <si>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</si>
  <si>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</si>
  <si>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</si>
  <si>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</si>
  <si>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</si>
  <si>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</si>
  <si>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</si>
  <si>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</si>
  <si>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</si>
  <si>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</si>
  <si>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</si>
  <si>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</si>
  <si>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</si>
  <si>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</si>
  <si>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</si>
  <si>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</si>
  <si>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</si>
  <si>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</si>
  <si>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</si>
  <si>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</si>
  <si>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</si>
  <si>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</si>
  <si>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</si>
  <si>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</si>
  <si>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</si>
  <si>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</si>
  <si>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</si>
  <si>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</si>
  <si>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</si>
  <si>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</si>
  <si>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</si>
  <si>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</si>
  <si>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</si>
  <si>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</si>
  <si>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</si>
  <si>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</si>
  <si>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</si>
  <si>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</si>
  <si>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</si>
  <si>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</si>
  <si>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</si>
  <si>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</si>
  <si>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</si>
  <si>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</si>
  <si>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</si>
  <si>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</si>
  <si>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</si>
  <si>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</si>
  <si>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</si>
  <si>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</si>
  <si>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</si>
  <si>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</si>
  <si>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</si>
  <si>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</si>
  <si>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</si>
  <si>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</si>
  <si>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</si>
  <si>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</si>
  <si>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</si>
  <si>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</si>
  <si>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</si>
  <si>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</si>
  <si>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</si>
  <si>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</si>
  <si>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</si>
  <si>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</si>
  <si>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</si>
  <si>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</si>
  <si>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</si>
  <si>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</si>
  <si>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</si>
  <si>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</si>
  <si>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</si>
  <si>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r>
      <t>K.S.A. 2-1318.  Transfer to noxious weed capital outlay fund.</t>
    </r>
    <r>
      <rPr>
        <sz val="11"/>
        <rFont val="Times New Roman"/>
        <family val="1"/>
      </rPr>
      <t xml:space="preserve">  </t>
    </r>
    <r>
      <rPr>
        <sz val="11"/>
        <color indexed="8"/>
        <rFont val="Times New Roman"/>
        <family val="1"/>
      </rPr>
      <t>Any moneys remaining in the noxious weed eradication fund at the end of any year for which a levy is made may be transferred to the noxious weed capital outlay fund.</t>
    </r>
  </si>
  <si>
    <r>
      <t>K.S.A. 12-16,102.  Transfer to employee benefits contribution trust fund.</t>
    </r>
    <r>
      <rPr>
        <sz val="12"/>
        <color indexed="8"/>
        <rFont val="Times New Roman"/>
        <family val="1"/>
      </rPr>
      <t xml:space="preserve">  May transfer to employee benefits trust fund from any source that may be lawfully utilized for the purposes stated in the ordinance or resolution creating such trust funds, including transfers from employee benefit funds established for other postemployment benefits.</t>
    </r>
  </si>
  <si>
    <r>
      <t>K.S.A. 12-17,118</t>
    </r>
    <r>
      <rPr>
        <sz val="12"/>
        <color indexed="8"/>
        <rFont val="Times New Roman"/>
        <family val="1"/>
      </rPr>
      <t xml:space="preserve">.  </t>
    </r>
    <r>
      <rPr>
        <b/>
        <sz val="12"/>
        <color indexed="8"/>
        <rFont val="Times New Roman"/>
        <family val="1"/>
      </rPr>
      <t xml:space="preserve">Transfer to and from neighborhood revitalization fund. </t>
    </r>
    <r>
      <rPr>
        <sz val="12"/>
        <color indexed="8"/>
        <rFont val="Times New Roman"/>
        <family val="1"/>
      </rPr>
      <t xml:space="preserve"> Authorizes transfers to a neighborhood revitalization fund from any source which may be lawfully utilized to finance redevelopment of designated revitalization areas and dilapidated structures and to provide rebates such purposes.</t>
    </r>
  </si>
  <si>
    <r>
      <t>K.S.A. 12-16,102.</t>
    </r>
    <r>
      <rPr>
        <sz val="12"/>
        <color indexed="8"/>
        <rFont val="Times New Roman"/>
        <family val="1"/>
      </rPr>
      <t xml:space="preserve">  </t>
    </r>
    <r>
      <rPr>
        <b/>
        <sz val="12"/>
        <color indexed="8"/>
        <rFont val="Times New Roman"/>
        <family val="1"/>
      </rPr>
      <t>Employee benefits trust funds.</t>
    </r>
    <r>
      <rPr>
        <sz val="12"/>
        <color indexed="8"/>
        <rFont val="Times New Roman"/>
        <family val="1"/>
      </rPr>
      <t xml:space="preserve">  For the purpose of holding and investing the assets of other postemployment benefits funds any taxing subdivision may establish one or more trust funds.</t>
    </r>
  </si>
  <si>
    <t>Desired Carryover Amount:</t>
  </si>
  <si>
    <t>Estimated Mill Rate Impact:</t>
  </si>
  <si>
    <t>The estimated value of one mill would be:</t>
  </si>
  <si>
    <t>Change in Ad Valorem Tax Revenue:</t>
  </si>
  <si>
    <t>for Expenditures</t>
  </si>
  <si>
    <t>FUND PAGE FOR FUNDS WITH A TAX LEVY</t>
  </si>
  <si>
    <t xml:space="preserve">2. The information entered into the Input Other (inputOth) worksheet is obtained from the County Clerk County Treasurer, and the budget from two years ago(the year for actual column of current budget).  After the information has been entered, please verify the data is correct. </t>
  </si>
  <si>
    <t>The following were changed to this spreadsheet on 10/13/10</t>
  </si>
  <si>
    <t>1. All pages removed the revision date</t>
  </si>
  <si>
    <t>2. All tax levy fund pages reduced the columns and revised the bottom of pages for see tabs</t>
  </si>
  <si>
    <t>3. Instruction tab added lines 11c (last year mill rate), 11d (desired mill rate), 10a(project carryover), 10b (Desired Carryover), 10g (project carryover Debt/road, and 14 (protection)</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</si>
  <si>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</si>
  <si>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</si>
  <si>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</si>
  <si>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</si>
  <si>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</si>
  <si>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</si>
  <si>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</si>
  <si>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</si>
  <si>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</si>
  <si>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</si>
  <si>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</si>
  <si>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</si>
  <si>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</si>
  <si>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</si>
  <si>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</si>
  <si>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</si>
  <si>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</si>
  <si>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</si>
  <si>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t>13. Summ tab merged cells above the 'Township Officer' and center a name if used</t>
  </si>
  <si>
    <t>23. Remove w-2 infro from certificate page</t>
  </si>
  <si>
    <t>The following were changed to this spreadsheet on 3/21/11</t>
  </si>
  <si>
    <t>1. General tab corrected cell G52 from E22 to E26</t>
  </si>
  <si>
    <t>2. Debt Service tab corrected cell G55 from E42 to E29</t>
  </si>
  <si>
    <t>The following were changed to this spreadsheet on 4/19/11</t>
  </si>
  <si>
    <t>1. Summ tab changed proposed year expenditure column to 'Budget Authority for Expenditures'</t>
  </si>
  <si>
    <t>Transfer can not exceed 25% Resources Available</t>
  </si>
  <si>
    <t>The following were changed to this spreadsheet on 5/4/11</t>
  </si>
  <si>
    <t>1. Gen tab cell B46 corrected the spelling of Resources</t>
  </si>
  <si>
    <t>The following were changed to this spreadsheet on 5/13/11</t>
  </si>
  <si>
    <t>1. Road tab cell c54 change ref from h1 to e1 so the Special Machinery date will reflect correctly</t>
  </si>
  <si>
    <r>
      <rPr>
        <sz val="12"/>
        <color indexed="10"/>
        <rFont val="Times New Roman"/>
        <family val="1"/>
      </rPr>
      <t>Note:</t>
    </r>
    <r>
      <rPr>
        <sz val="12"/>
        <rFont val="Times New Roman"/>
        <family val="1"/>
      </rPr>
      <t xml:space="preserve"> The </t>
    </r>
    <r>
      <rPr>
        <u/>
        <sz val="12"/>
        <rFont val="Times New Roman"/>
        <family val="1"/>
      </rPr>
      <t>below amounts</t>
    </r>
    <r>
      <rPr>
        <sz val="12"/>
        <rFont val="Times New Roman"/>
        <family val="1"/>
      </rPr>
      <t xml:space="preserve"> are used to reflect actual taxes received due to delinquent taxes.  Put a percentage in the green box to compute the amount and link to the fund pages. This </t>
    </r>
    <r>
      <rPr>
        <sz val="12"/>
        <color indexed="10"/>
        <rFont val="Times New Roman"/>
        <family val="1"/>
      </rPr>
      <t>is not mandatory</t>
    </r>
    <r>
      <rPr>
        <sz val="12"/>
        <rFont val="Times New Roman"/>
        <family val="1"/>
      </rPr>
      <t xml:space="preserve"> and can be left blank.            </t>
    </r>
  </si>
  <si>
    <t xml:space="preserve">Amounts used in lieu of </t>
  </si>
  <si>
    <r>
      <t xml:space="preserve">Computation of Example:  </t>
    </r>
    <r>
      <rPr>
        <sz val="11"/>
        <rFont val="Cambria"/>
        <family val="1"/>
      </rPr>
      <t>$312,000,000 (assessed valuation) / 1000 = $312,000 (value of one mill)</t>
    </r>
  </si>
  <si>
    <t>In this example, one mill for the municipality will generate $312,000 in taxes.</t>
  </si>
  <si>
    <t>$312,000,000 / 1000 = $312,000 (example #1)</t>
  </si>
  <si>
    <t>$50,000 / $312,000 = .160 mills (example #2)</t>
  </si>
  <si>
    <t>$11,500 (assessed value) x .160 (mill rate) / 1000 = $1.84</t>
  </si>
  <si>
    <t>The increase in property tax for a $100,000 home will be $1.84</t>
  </si>
  <si>
    <r>
      <t xml:space="preserve">K.S.A. 80-1406c.  Transfer from general fund to cemetery fund by certain townships.  </t>
    </r>
    <r>
      <rPr>
        <sz val="12"/>
        <rFont val="Times New Roman"/>
        <family val="1"/>
      </rPr>
      <t>Townships in counties with a population less than 3,100, assessed taxable tangible valuation of the county between $14,000,000 and $20,000,000, and operating under the county road unit system may, by unanimous resolution, declare a surplus of monies in the general fund and transfer such surplus or any part therof to the cemetery fund.</t>
    </r>
  </si>
  <si>
    <t>Budgeted Funds</t>
  </si>
  <si>
    <t xml:space="preserve">Budget Tax Levy </t>
  </si>
  <si>
    <t xml:space="preserve">Allocation of Motor, Recreational, and 16/20M Vehicle Tax </t>
  </si>
  <si>
    <t>WORKSHEET FOR STATE GRANT-IN-AID TO PUBLIC LIBRARIES AND</t>
  </si>
  <si>
    <t>REGIONAL LIBRARY SYSTEMS</t>
  </si>
  <si>
    <t>Two tests are used to determine eligibility for State Library Grant.  If the grant is approved, then the municipality's library will be paid the grant on February 15 of  each year.</t>
  </si>
  <si>
    <t>First test:</t>
  </si>
  <si>
    <t>Proposed Year</t>
  </si>
  <si>
    <t>TOTAL TAXES</t>
  </si>
  <si>
    <t>Difference in Total Taxes:</t>
  </si>
  <si>
    <t>Qualify for grant:</t>
  </si>
  <si>
    <t>Second test:</t>
  </si>
  <si>
    <t>Assessed Valuation</t>
  </si>
  <si>
    <t>Did Assessed Valuation Decrease?</t>
  </si>
  <si>
    <t>Levy Rate</t>
  </si>
  <si>
    <t>Difference in Levy Rate:</t>
  </si>
  <si>
    <t>Overall does the municipality qualify for a grant?</t>
  </si>
  <si>
    <t>If the municipality would not have qualified for a grant, please see the below narrative for assistance from the State Library.</t>
  </si>
  <si>
    <t xml:space="preserve">Page No. </t>
  </si>
  <si>
    <t>Proposed Budget Year – Possible Loss of Library State Aid</t>
  </si>
  <si>
    <t xml:space="preserve">Welcome. You have been directed to this section because the amount of revenue from qualifying </t>
  </si>
  <si>
    <t xml:space="preserve">In municipalities supporting a library the municipality must budget as much or more for the </t>
  </si>
  <si>
    <t xml:space="preserve">budget year as received in the current year for its library to be eligible for a state grant-in-aid </t>
  </si>
  <si>
    <t>through the State Library of Kansas.</t>
  </si>
  <si>
    <t>Is this a violation?</t>
  </si>
  <si>
    <t>No. However, it may cost the library valuable supplemental state—and in some cases, regional—</t>
  </si>
  <si>
    <t>revenue.</t>
  </si>
  <si>
    <t>Why did this happen?</t>
  </si>
  <si>
    <r>
      <t xml:space="preserve">To answer this question, review K.S.A. 75-2556 </t>
    </r>
    <r>
      <rPr>
        <i/>
        <sz val="12"/>
        <rFont val="Times New Roman"/>
        <family val="1"/>
      </rPr>
      <t>et seq.</t>
    </r>
    <r>
      <rPr>
        <sz val="12"/>
        <rFont val="Times New Roman"/>
        <family val="1"/>
      </rPr>
      <t xml:space="preserve"> to see how it applies to your library fund. </t>
    </r>
  </si>
  <si>
    <t xml:space="preserve">No public library is eligible for a grant-in-aid if the total amount of current year ad valorem </t>
  </si>
  <si>
    <t xml:space="preserve">property tax, delinquent tax, and MV, recreational vehicle, and 16/20M tax is less than the total </t>
  </si>
  <si>
    <t>amount produced from such sources for the previous year.</t>
  </si>
  <si>
    <t xml:space="preserve">The statute only includes the library fund. If a separate library employee fund exists, it is not </t>
  </si>
  <si>
    <t>included in the calculation.</t>
  </si>
  <si>
    <t xml:space="preserve">Note also that although you are eligible to expend carryover from the previous year, the statute </t>
  </si>
  <si>
    <t>does not include carryover and it is not considered for determination of eligibility.</t>
  </si>
  <si>
    <t>Who determines eligibility?</t>
  </si>
  <si>
    <r>
      <t xml:space="preserve">K.S.A. 75-2556 </t>
    </r>
    <r>
      <rPr>
        <i/>
        <sz val="12"/>
        <rFont val="Times New Roman"/>
        <family val="1"/>
      </rPr>
      <t>et seq.</t>
    </r>
    <r>
      <rPr>
        <sz val="12"/>
        <rFont val="Times New Roman"/>
        <family val="1"/>
      </rPr>
      <t xml:space="preserve"> makes the State Library of Kansas responsible for determining eligibility </t>
    </r>
  </si>
  <si>
    <t>and distribution of library grants-in-aid.</t>
  </si>
  <si>
    <t>Can this issue be corrected at this time?</t>
  </si>
  <si>
    <t>Clerk the library fund can be fixed before the submission of the budget to the County Clerk.</t>
  </si>
  <si>
    <t xml:space="preserve">First, review the budget summary page to ensure that the ad valorem tax mill rate for Proposed </t>
  </si>
  <si>
    <t xml:space="preserve">If the mill rate is lower, check to see if the lesser amount is due to a decline in the assessed valuation. </t>
  </si>
  <si>
    <t xml:space="preserve">K.S.A. 75-2556(c) says that if the assessed valuation decreases the library will remain eligible as </t>
  </si>
  <si>
    <t xml:space="preserve">long as the ad valorem tax mill rate has not been reduced below the mill rate imposed for such </t>
  </si>
  <si>
    <t xml:space="preserve">blank. If an amount is budgeted for the Proposed Budget Year it may improve the total to help </t>
  </si>
  <si>
    <t xml:space="preserve">the library’s eligibility as well as provide the library with authority under the cash basis law to </t>
  </si>
  <si>
    <t>spend any delinquent taxes it receives.</t>
  </si>
  <si>
    <t>Further options</t>
  </si>
  <si>
    <t xml:space="preserve">The State Library can continue eligibility if after evaluation of all circumstances it is determined </t>
  </si>
  <si>
    <t>that the maintenance of local tax support for the operations of the library is being met.</t>
  </si>
  <si>
    <t xml:space="preserve">These circumstances might include authorized transfer from the other funds, additional tax funds spent </t>
  </si>
  <si>
    <t xml:space="preserve">for support of the library that do not appear in the library fund, or special circumstances in this </t>
  </si>
  <si>
    <t xml:space="preserve">budget year. The State Library requires a letter of certification from the municipality to continue </t>
  </si>
  <si>
    <t>eligibility. For more information contact the State Library of Kansas at 785.296.3296, or e-mail:</t>
  </si>
  <si>
    <t xml:space="preserve">Prior Year </t>
  </si>
  <si>
    <t xml:space="preserve">Current Year </t>
  </si>
  <si>
    <t xml:space="preserve">Proposed Budget </t>
  </si>
  <si>
    <t>Expenditures Must Be Changed by:</t>
  </si>
  <si>
    <t>Mill Rate Comparison</t>
  </si>
  <si>
    <t/>
  </si>
  <si>
    <t>Does misc. exceed 10% of Total Receipts</t>
  </si>
  <si>
    <t>Library</t>
  </si>
  <si>
    <t>12-1220</t>
  </si>
  <si>
    <t>Type</t>
  </si>
  <si>
    <t>Debt</t>
  </si>
  <si>
    <t>Total Indebtedness</t>
  </si>
  <si>
    <t>Items</t>
  </si>
  <si>
    <t>Purchased</t>
  </si>
  <si>
    <t>Alloc of MVT, RVT, and 16/20M Vehicles Tax</t>
  </si>
  <si>
    <t>Email:</t>
  </si>
  <si>
    <t>Must be at least 10 days between date published and hearing held.</t>
  </si>
  <si>
    <t>Official Name:</t>
  </si>
  <si>
    <t>Official Title:</t>
  </si>
  <si>
    <t>January</t>
  </si>
  <si>
    <t>February</t>
  </si>
  <si>
    <t>March</t>
  </si>
  <si>
    <t>April</t>
  </si>
  <si>
    <t>May</t>
  </si>
  <si>
    <t>June</t>
  </si>
  <si>
    <t>July</t>
  </si>
  <si>
    <t>August</t>
  </si>
  <si>
    <t>September</t>
  </si>
  <si>
    <t>October</t>
  </si>
  <si>
    <t>November</t>
  </si>
  <si>
    <t>December</t>
  </si>
  <si>
    <t>________________________  _______________________</t>
  </si>
  <si>
    <t xml:space="preserve">Township.xls spreadsheet has General Fund, Debt Service, Library, Road Bridge, 4 levy fund pages, 2 no levy fund pages, and one Non-Budgeted fund page which holds 5 non- budgeted funds. </t>
  </si>
  <si>
    <t xml:space="preserve">1a. On line 2- 'Enter Township Name' - In the green area. The green area will expand and accommodate the township name. </t>
  </si>
  <si>
    <t>1b. Dates for the entire budget workbook is controlled by the year entered into the "Enter year being budgeted (YYYY)" field.  If you find a date that is not correct for the budget being submitted, please contact us for assistance.</t>
  </si>
  <si>
    <t>Delinquency % used in this budget will be shown on all fund pages with a tax levy**</t>
  </si>
  <si>
    <r>
      <t xml:space="preserve">1c. Next to the last year Ad Valorem Taxes column, column added, 'Amounts used in lieu of last year ad valorem taxes'. If you would like to adjust the previous year ad valorem due to delinquency in taxes to show a more actual amount of taxes received, you can key in the percentage </t>
    </r>
    <r>
      <rPr>
        <u/>
        <sz val="12"/>
        <rFont val="Times New Roman"/>
        <family val="1"/>
      </rPr>
      <t>in the green box</t>
    </r>
    <r>
      <rPr>
        <sz val="12"/>
        <rFont val="Times New Roman"/>
        <family val="1"/>
      </rPr>
      <t xml:space="preserve"> which will calculate new ad valorem taxes to be used for the current budgeted year.  The new amounts will be </t>
    </r>
    <r>
      <rPr>
        <u/>
        <sz val="12"/>
        <rFont val="Times New Roman"/>
        <family val="1"/>
      </rPr>
      <t>linked</t>
    </r>
    <r>
      <rPr>
        <sz val="12"/>
        <rFont val="Times New Roman"/>
        <family val="1"/>
      </rPr>
      <t xml:space="preserve"> to the applicable tax levy fund pages. This is </t>
    </r>
    <r>
      <rPr>
        <sz val="12"/>
        <color indexed="10"/>
        <rFont val="Times New Roman"/>
        <family val="1"/>
      </rPr>
      <t>not required</t>
    </r>
    <r>
      <rPr>
        <sz val="12"/>
        <rFont val="Times New Roman"/>
        <family val="1"/>
      </rPr>
      <t xml:space="preserve"> to be used and the original ad valorem taxes will be linked to the applicable fund pages. </t>
    </r>
  </si>
  <si>
    <t xml:space="preserve">3. The 'inputBudSum' tab is used to place information on the Budget Summary. On this tab you will need to key in the following information: Name of Person presenting the budget, Title of Person, date the budget hearing will be held, time of the hearing, location of the budget hearing, and a place whereas the taxpayers can obtain a copy of the budget.  </t>
  </si>
  <si>
    <t>3b. Once a date has been entered in the Date block, the following statement will appear: 'Latest date for notice to be published in your newspaper'.  Please ensure to take into consideration as to when your newspaper is published when arriving at the hearing date.</t>
  </si>
  <si>
    <t xml:space="preserve">4b.  If someone other than a municipal employee assists in preparing the budget, please enter the person's or firm's name and address or email address in the area provided. </t>
  </si>
  <si>
    <r>
      <t xml:space="preserve">4c. If the city has a library, then in the Certificate page will show under the 'Table of Contents:' a new table is required.  The new table is named: 'Computation to Determine State Library Grant' which found on the "Library Grant" tab.  The State Library will use the "Library Grant" tab to authorize a grant to the library.  This tab </t>
    </r>
    <r>
      <rPr>
        <u/>
        <sz val="12"/>
        <rFont val="Times New Roman"/>
        <family val="1"/>
      </rPr>
      <t>must be printed</t>
    </r>
    <r>
      <rPr>
        <sz val="12"/>
        <rFont val="Times New Roman"/>
        <family val="1"/>
      </rPr>
      <t xml:space="preserve"> and attached to the budget that is submitted to the County Clerk.  No action is taken if the city does not have a library and will not appear on the Certificate page.</t>
    </r>
  </si>
  <si>
    <t xml:space="preserve">6.  Motor Vehicle Allocation (Mvalloc) information comes from the input pages (inputPrYr and inputOth).  Once calculated, the motor allocation information are linked to the applicable fund pages. If information concerning the table are not correct, please do not change the table, but rather correct the information on the input worksheets.  </t>
  </si>
  <si>
    <r>
      <t>10. Library Grant tab is linked with the Library fund page.  This table information comes directly off the Library fund page and Budget Summary page which is used to determine if the municipality qualifies for a State grant. If qualify, then the Library fund page will indicate '</t>
    </r>
    <r>
      <rPr>
        <sz val="12"/>
        <color indexed="10"/>
        <rFont val="Times New Roman"/>
        <family val="1"/>
      </rPr>
      <t>Qualifies for State Library Grant</t>
    </r>
    <r>
      <rPr>
        <sz val="12"/>
        <rFont val="Times New Roman"/>
        <family val="1"/>
      </rPr>
      <t>' and if not, then indicates to '</t>
    </r>
    <r>
      <rPr>
        <sz val="12"/>
        <color indexed="10"/>
        <rFont val="Times New Roman"/>
        <family val="1"/>
      </rPr>
      <t>See 'Library Grant' tab</t>
    </r>
    <r>
      <rPr>
        <sz val="12"/>
        <rFont val="Times New Roman"/>
        <family val="1"/>
      </rPr>
      <t xml:space="preserve"> for further assistance.  If the Library fund page is used, then the Certificate page will reflect in the Table of Contents the requirement of 'Computation to Determine State Library Grant' which </t>
    </r>
    <r>
      <rPr>
        <b/>
        <u/>
        <sz val="12"/>
        <rFont val="Times New Roman"/>
        <family val="1"/>
      </rPr>
      <t>is required</t>
    </r>
    <r>
      <rPr>
        <sz val="12"/>
        <rFont val="Times New Roman"/>
        <family val="1"/>
      </rPr>
      <t xml:space="preserve"> to be attached to the budget. For those printing paper copies of the budget, only the table will be printed off.  Please note:  For those you do not have a Library fund page, </t>
    </r>
    <r>
      <rPr>
        <sz val="12"/>
        <color indexed="10"/>
        <rFont val="Times New Roman"/>
        <family val="1"/>
      </rPr>
      <t>no action is required</t>
    </r>
    <r>
      <rPr>
        <sz val="12"/>
        <rFont val="Times New Roman"/>
        <family val="1"/>
      </rPr>
      <t xml:space="preserve"> and the table does not become part of the budget.</t>
    </r>
  </si>
  <si>
    <t>11.  The spreadsheet has individual fund sheets for General Fund (general), Debt Service and Library (DebtSvs-Library), Road (road),  8 levy pages (levy page9 to levy page12), and 2 no levy fund pages (nolevypage12),   Only complete the fund pages needed.  When the fund pages are completed, the totals will be shown on the Certificate and Budget Summary pages.</t>
  </si>
  <si>
    <t>11a. General Fund page and General Fund Detail page number is no longer set.  Once the number is entered on the General Fund, then the page number is linked to the General Fund Detail page. If the municipality has a Library Fund, the Library Grant page becomes number 6 and the General Fund page would be numbered 7 otherwise the General would be 6.</t>
  </si>
  <si>
    <r>
      <t>11b. On all tax levy fund pages, we have placed '</t>
    </r>
    <r>
      <rPr>
        <i/>
        <sz val="12"/>
        <rFont val="Times New Roman"/>
        <family val="1"/>
      </rPr>
      <t>Projected Carryover</t>
    </r>
    <r>
      <rPr>
        <sz val="12"/>
        <rFont val="Times New Roman"/>
        <family val="1"/>
      </rPr>
      <t>' for the proposed budgeted year.   The carryover table provides a little insight as what the projected cash might be using figures from the budget being submitted.  Please keep in mind that the figures used are only estimates and if the actual receipts or expenditures vary, then the project cash carryover will be affected.  Be advised that the delinquent taxes are not included in the projected carryover as they have a major impact on the  'Desired Carryover' table.</t>
    </r>
  </si>
  <si>
    <r>
      <t>11c. On all tax levy fund page, we have placed '</t>
    </r>
    <r>
      <rPr>
        <i/>
        <sz val="12"/>
        <rFont val="Times New Roman"/>
        <family val="1"/>
      </rPr>
      <t>Desired Carryover</t>
    </r>
    <r>
      <rPr>
        <sz val="12"/>
        <rFont val="Times New Roman"/>
        <family val="1"/>
      </rPr>
      <t xml:space="preserve">' which you can place a desired carryover amount and the table will show the mill rate impact along with the expenditure adjustments required to reach the desired carryover.  </t>
    </r>
    <r>
      <rPr>
        <b/>
        <sz val="12"/>
        <color indexed="10"/>
        <rFont val="Times New Roman"/>
        <family val="1"/>
      </rPr>
      <t>Note:</t>
    </r>
    <r>
      <rPr>
        <sz val="12"/>
        <rFont val="Times New Roman"/>
        <family val="1"/>
      </rPr>
      <t xml:space="preserve"> if a </t>
    </r>
    <r>
      <rPr>
        <u/>
        <sz val="12"/>
        <color indexed="10"/>
        <rFont val="Times New Roman"/>
        <family val="1"/>
      </rPr>
      <t>delinquency rate is used</t>
    </r>
    <r>
      <rPr>
        <sz val="12"/>
        <rFont val="Times New Roman"/>
        <family val="1"/>
      </rPr>
      <t>, the table might have you do several adjustments to get the desired result or close to the desire amount.</t>
    </r>
  </si>
  <si>
    <r>
      <t>11d. On all tax levy fund pages, we have placed '</t>
    </r>
    <r>
      <rPr>
        <i/>
        <sz val="12"/>
        <rFont val="Times New Roman"/>
        <family val="1"/>
      </rPr>
      <t>Mill Rate Comparison</t>
    </r>
    <r>
      <rPr>
        <sz val="12"/>
        <rFont val="Times New Roman"/>
        <family val="1"/>
      </rPr>
      <t>' table so you can compare the propose fund mill rate to the current fund mill rate and compare the total proposed mill rate to the total current mill rate. These figures are provided to assist with the determining appropriate mill rate for the proposed budgeted year.</t>
    </r>
  </si>
  <si>
    <r>
      <t xml:space="preserve">11f.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xml:space="preserve">'.  In order to remove the statement and return the block to normal, you must reduce the amount to either 10% or less. </t>
    </r>
    <r>
      <rPr>
        <b/>
        <sz val="12"/>
        <rFont val="Times New Roman"/>
        <family val="1"/>
      </rPr>
      <t>Note:</t>
    </r>
    <r>
      <rPr>
        <sz val="12"/>
        <rFont val="Times New Roman"/>
        <family val="1"/>
      </rPr>
      <t xml:space="preserve"> the proposed column miscellaneous receipt also takes into consideration the amount of ad valorem taxes in determining the 10% Rule.</t>
    </r>
  </si>
  <si>
    <t>11g. The Debt Service  (DebtSvs-Library) fund page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</si>
  <si>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12 for instructions for the neighborhood revitalization rebate for the proposed budget year. </t>
    </r>
  </si>
  <si>
    <r>
      <t xml:space="preserve">11h All levy fund pages have a Non-Appropriated Balance block. K.S.A. 79-2927 allows the township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In order to remove this warning message, you </t>
    </r>
    <r>
      <rPr>
        <u/>
        <sz val="12"/>
        <rFont val="Times New Roman"/>
        <family val="1"/>
      </rPr>
      <t>must reduce</t>
    </r>
    <r>
      <rPr>
        <sz val="12"/>
        <rFont val="Times New Roman"/>
        <family val="1"/>
      </rPr>
      <t xml:space="preserve"> the non-appropriate figure.</t>
    </r>
  </si>
  <si>
    <r>
      <t>11i.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</si>
  <si>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11j.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</si>
  <si>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11k.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</si>
  <si>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11m. If a transfer from the Road fund to Special Machinery is made for the current and proposed budgeted years, the transfers has been link to the Special Machinery and Schedule of Transfers. If the transfer exceeds 25% of Resources Available, then a red error message will appear (</t>
    </r>
    <r>
      <rPr>
        <sz val="12"/>
        <color indexed="10"/>
        <rFont val="Times New Roman"/>
        <family val="1"/>
      </rPr>
      <t>Exceeds 25%</t>
    </r>
    <r>
      <rPr>
        <sz val="12"/>
        <rFont val="Times New Roman"/>
        <family val="1"/>
      </rPr>
      <t xml:space="preserve">) and the block turns red.  To remove the error message, you should reduce the amount of the transfer for both Road and Special Machinery.  </t>
    </r>
  </si>
  <si>
    <r>
      <t xml:space="preserve">11o. When the General Fund has ad valorem taxes for the actual, current, and proposed budgeted year, then the block for 'Transfer to Spec. Mach.(No Levied) will turn </t>
    </r>
    <r>
      <rPr>
        <sz val="12"/>
        <color indexed="10"/>
        <rFont val="Times New Roman"/>
        <family val="1"/>
      </rPr>
      <t>red</t>
    </r>
    <r>
      <rPr>
        <sz val="12"/>
        <rFont val="Times New Roman"/>
        <family val="1"/>
      </rPr>
      <t>. If a transfer amount is shown in the block, then in the yellow area a message will appear '</t>
    </r>
    <r>
      <rPr>
        <sz val="12"/>
        <color indexed="10"/>
        <rFont val="Times New Roman"/>
        <family val="1"/>
      </rPr>
      <t>Not Auth</t>
    </r>
    <r>
      <rPr>
        <sz val="12"/>
        <rFont val="Times New Roman"/>
        <family val="1"/>
      </rPr>
      <t xml:space="preserve">', the transfer should be moved to the next expenditure line 'Transfer to Spec. Mach. (Gen has levy) or deleted if the transferred money has not been spent in the Special Machinery Fund. The transfer is linked to the Schedule of Transfers and Special Machinery Fund. </t>
    </r>
    <r>
      <rPr>
        <b/>
        <u/>
        <sz val="12"/>
        <rFont val="Times New Roman"/>
        <family val="1"/>
      </rPr>
      <t>Note:</t>
    </r>
    <r>
      <rPr>
        <sz val="12"/>
        <rFont val="Times New Roman"/>
        <family val="1"/>
      </rPr>
      <t xml:space="preserve"> Transfers for the current or proposed budgeted year and a violation occurs, then the amount should be reduced.</t>
    </r>
  </si>
  <si>
    <r>
      <t xml:space="preserve">11p. The General Fund has expenditure line item 'Transfer to Spec. Mach.(Gen has levy) which can be used to transfer up to 25% of the General Fund Resources Available (if the fund has enough cash) to the Special Machinery Fund. If the transfer exceeds the 25% limitation, the </t>
    </r>
    <r>
      <rPr>
        <sz val="12"/>
        <color indexed="10"/>
        <rFont val="Times New Roman"/>
        <family val="1"/>
      </rPr>
      <t>block will turn red</t>
    </r>
    <r>
      <rPr>
        <sz val="12"/>
        <rFont val="Times New Roman"/>
        <family val="1"/>
      </rPr>
      <t xml:space="preserve"> and a message will appear in yellow box below the transfer in red '</t>
    </r>
    <r>
      <rPr>
        <sz val="12"/>
        <color indexed="10"/>
        <rFont val="Times New Roman"/>
        <family val="1"/>
      </rPr>
      <t>Exceeds 25%</t>
    </r>
    <r>
      <rPr>
        <sz val="12"/>
        <rFont val="Times New Roman"/>
        <family val="1"/>
      </rPr>
      <t xml:space="preserve">'. The violation can be fixed for the actual budgeted year by reducing the transfer amount to 25% or below and the message will go away and the block will turn back to green. But, if the transfer amount has already been spent, then the violation can not be fix. If violation occurs for transfers in the current and proposed budget years, the violation should be fixed by reducing the amount. All transfers are linked to the Schedule of Transfers and Special Machinery Fund.  </t>
    </r>
  </si>
  <si>
    <r>
      <t>11q.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</si>
  <si>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</si>
  <si>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</si>
  <si>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</si>
  <si>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</si>
  <si>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</si>
  <si>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13a. At the bottom of the page, in the green shaded area, enter the page number.</t>
  </si>
  <si>
    <r>
      <t>13b. The table '</t>
    </r>
    <r>
      <rPr>
        <i/>
        <sz val="12"/>
        <rFont val="Times New Roman"/>
        <family val="1"/>
      </rPr>
      <t>Estimated Value Of One Mill</t>
    </r>
    <r>
      <rPr>
        <sz val="12"/>
        <rFont val="Times New Roman"/>
        <family val="1"/>
      </rPr>
      <t xml:space="preserve">' to show what 1 mill rate would generate in dollars for the municipality.  </t>
    </r>
  </si>
  <si>
    <r>
      <t>13c. Tables '</t>
    </r>
    <r>
      <rPr>
        <i/>
        <sz val="12"/>
        <rFont val="Times New Roman"/>
        <family val="1"/>
      </rPr>
      <t>What The Mill Rate The Same As</t>
    </r>
    <r>
      <rPr>
        <sz val="12"/>
        <rFont val="Times New Roman"/>
        <family val="1"/>
      </rPr>
      <t>' and '</t>
    </r>
    <r>
      <rPr>
        <i/>
        <sz val="12"/>
        <rFont val="Times New Roman"/>
        <family val="1"/>
      </rPr>
      <t>Impact On Keeping The Same Mill Rate</t>
    </r>
    <r>
      <rPr>
        <sz val="12"/>
        <rFont val="Times New Roman"/>
        <family val="1"/>
      </rPr>
      <t xml:space="preserve">', that shows the impact if the previous mill rate is used for the proposed budgeted year.  To achieve this mill rate, the tax levy fund expenditures will need to be changed by the amount shown.  Depending upon the number of tax levy funds involved, the change can be made to one fund, combination of funds, or all of the tax levy fund expenditures.  </t>
    </r>
    <r>
      <rPr>
        <sz val="12"/>
        <color indexed="10"/>
        <rFont val="Times New Roman"/>
        <family val="1"/>
      </rPr>
      <t>Note</t>
    </r>
    <r>
      <rPr>
        <sz val="12"/>
        <rFont val="Times New Roman"/>
        <family val="1"/>
      </rPr>
      <t xml:space="preserve">: If a </t>
    </r>
    <r>
      <rPr>
        <u/>
        <sz val="12"/>
        <rFont val="Times New Roman"/>
        <family val="1"/>
      </rPr>
      <t>delinquency rate is used</t>
    </r>
    <r>
      <rPr>
        <sz val="12"/>
        <rFont val="Times New Roman"/>
        <family val="1"/>
      </rPr>
      <t xml:space="preserve"> on the tax levy fund pages, the table might have you do several adjustments to get the desired result or close to the desire amount. </t>
    </r>
    <r>
      <rPr>
        <sz val="12"/>
        <color indexed="10"/>
        <rFont val="Times New Roman"/>
        <family val="1"/>
      </rPr>
      <t>Also please</t>
    </r>
    <r>
      <rPr>
        <sz val="12"/>
        <rFont val="Times New Roman"/>
        <family val="1"/>
      </rPr>
      <t xml:space="preserve"> </t>
    </r>
    <r>
      <rPr>
        <sz val="12"/>
        <color indexed="10"/>
        <rFont val="Times New Roman"/>
        <family val="1"/>
      </rPr>
      <t>note</t>
    </r>
    <r>
      <rPr>
        <sz val="12"/>
        <rFont val="Times New Roman"/>
        <family val="1"/>
      </rPr>
      <t xml:space="preserve">, this table </t>
    </r>
    <r>
      <rPr>
        <b/>
        <sz val="12"/>
        <color indexed="10"/>
        <rFont val="Times New Roman"/>
        <family val="1"/>
      </rPr>
      <t>is not</t>
    </r>
    <r>
      <rPr>
        <sz val="12"/>
        <rFont val="Times New Roman"/>
        <family val="1"/>
      </rPr>
      <t xml:space="preserve"> required to be used, but as a tool to assist in budgeting. </t>
    </r>
  </si>
  <si>
    <r>
      <t>13d. The table '</t>
    </r>
    <r>
      <rPr>
        <i/>
        <sz val="12"/>
        <rFont val="Times New Roman"/>
        <family val="1"/>
      </rPr>
      <t>What Mill Rate Would Be Desired</t>
    </r>
    <r>
      <rPr>
        <sz val="12"/>
        <rFont val="Times New Roman"/>
        <family val="1"/>
      </rPr>
      <t xml:space="preserve">', whereas a municipality can create a desired mill rate.  If a municipality has future plans to make a large purchase, project, or just would like a little more unencumbered cash balance, this table will show the amount of ad valorem taxes needed to reach its needs and amount of adjustments to the tax levy fund expenditures to reach this desired mill rate.  This table could also be used to see the impact if the municipality would like to lower the mill rate. To use this table, simply enter in the green area the desired mill rate.  </t>
    </r>
    <r>
      <rPr>
        <sz val="12"/>
        <color indexed="10"/>
        <rFont val="Times New Roman"/>
        <family val="1"/>
      </rPr>
      <t>Note</t>
    </r>
    <r>
      <rPr>
        <sz val="12"/>
        <rFont val="Times New Roman"/>
        <family val="1"/>
      </rPr>
      <t xml:space="preserve">: If a </t>
    </r>
    <r>
      <rPr>
        <u/>
        <sz val="12"/>
        <rFont val="Times New Roman"/>
        <family val="1"/>
      </rPr>
      <t>delinquency rate used</t>
    </r>
    <r>
      <rPr>
        <sz val="12"/>
        <rFont val="Times New Roman"/>
        <family val="1"/>
      </rPr>
      <t xml:space="preserve"> on the tax levy fund pages, the table might have you do several adjustments to get the desired result or close to the desire amount. </t>
    </r>
    <r>
      <rPr>
        <sz val="12"/>
        <color indexed="10"/>
        <rFont val="Times New Roman"/>
        <family val="1"/>
      </rPr>
      <t>Also please</t>
    </r>
    <r>
      <rPr>
        <sz val="12"/>
        <rFont val="Times New Roman"/>
        <family val="1"/>
      </rPr>
      <t xml:space="preserve"> </t>
    </r>
    <r>
      <rPr>
        <sz val="12"/>
        <color indexed="10"/>
        <rFont val="Times New Roman"/>
        <family val="1"/>
      </rPr>
      <t>note</t>
    </r>
    <r>
      <rPr>
        <sz val="12"/>
        <rFont val="Times New Roman"/>
        <family val="1"/>
      </rPr>
      <t xml:space="preserve">, this table </t>
    </r>
    <r>
      <rPr>
        <sz val="12"/>
        <color indexed="10"/>
        <rFont val="Times New Roman"/>
        <family val="1"/>
      </rPr>
      <t>is not</t>
    </r>
    <r>
      <rPr>
        <sz val="12"/>
        <rFont val="Times New Roman"/>
        <family val="1"/>
      </rPr>
      <t xml:space="preserve"> required to be used, but as a tool to assist in budgeting. </t>
    </r>
  </si>
  <si>
    <t>13f.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</si>
  <si>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r>
      <t xml:space="preserve">13e. Before printing, review the form to ensure all the information is provided and the figures are correct. Print the page, have official sign it, and take to the local newspaper for printing. For those municipalities that are electronically sending the summary to the newspaper, you can type in the official name before sending.  Please note:  Signing the document is </t>
    </r>
    <r>
      <rPr>
        <b/>
        <sz val="12"/>
        <rFont val="Times New Roman"/>
        <family val="1"/>
      </rPr>
      <t>desired</t>
    </r>
    <r>
      <rPr>
        <sz val="12"/>
        <rFont val="Times New Roman"/>
        <family val="1"/>
      </rPr>
      <t xml:space="preserve">, but not signing </t>
    </r>
    <r>
      <rPr>
        <u/>
        <sz val="12"/>
        <rFont val="Times New Roman"/>
        <family val="1"/>
      </rPr>
      <t>will not</t>
    </r>
    <r>
      <rPr>
        <sz val="12"/>
        <rFont val="Times New Roman"/>
        <family val="1"/>
      </rPr>
      <t xml:space="preserve"> cause the municipality to reprint.</t>
    </r>
  </si>
  <si>
    <t xml:space="preserve">14.  Before submission of the budget to the County Clerk, please review the entire document and verify that all amounts are correct.  Amounts on the Certificate page should match to the fund pages and may also match to the Budget Summary. In addition, the Certificate Page needs to be signed by at least one member of the governing body (signatures of the entire governing body is preferred, but not mandatory). </t>
  </si>
  <si>
    <r>
      <t>15.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</si>
  <si>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15a.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</si>
  <si>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15b.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</si>
  <si>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The following were changed to this spreadsheet on 2/2/12</t>
  </si>
  <si>
    <t xml:space="preserve">1. Instruction tab - line A7 add Library </t>
  </si>
  <si>
    <t>2. Instruction tab - add line #1c for ad valorem adjustments</t>
  </si>
  <si>
    <t>3. Instruction tab - add line #3b to indicate latest date for printing</t>
  </si>
  <si>
    <t>4. Instruction tab - add line #10 to explain about Library Grant Tab</t>
  </si>
  <si>
    <t>5. Instruction tab - add line #11a concerning changing the general fund page number due to library grant page</t>
  </si>
  <si>
    <t>6. Instruction tab - changed 11b, c, and d for new fund tables on fund pages, and 13b, c, and d for tables on Summary</t>
  </si>
  <si>
    <t>7. InputPrYr tab - add Library to the fund page list</t>
  </si>
  <si>
    <t>8. InputPrYr tab - added new table for adjusting ad valorem taxes if desired</t>
  </si>
  <si>
    <t>9. InputOth tab - under 'Computation of Delinquency', changed both narratives for %</t>
  </si>
  <si>
    <t>10. InputBudSum tab - added line D9 for latest date for printing and added hidden formulas for latest printing date</t>
  </si>
  <si>
    <t xml:space="preserve">11. InputBudSum tab - added spaces for official name and title </t>
  </si>
  <si>
    <t>12. Cert tab - added to 'Table of Contents' the Computation to Determine Library Grant and its page number</t>
  </si>
  <si>
    <t>13. Cert tab - added Library fund</t>
  </si>
  <si>
    <t>14. Cert tab - added place for "Email" address for person assitance on the budget</t>
  </si>
  <si>
    <t>15. Mvalloc tab - removed 'Slider' from table heading</t>
  </si>
  <si>
    <t>16. Mvalloc tab - removed slider column and under lying formulas</t>
  </si>
  <si>
    <t>17. Mvalloc tab - added Library fund</t>
  </si>
  <si>
    <t>18. TransfersStatutes tab - added KSA 80-1406c</t>
  </si>
  <si>
    <t>19. Debt-Lease tab - minor changes to first column heading and center form for printing</t>
  </si>
  <si>
    <t>20. Library Grant was added which computes if library qualifies for a grant</t>
  </si>
  <si>
    <t>21. Gen tab - added an if statement to page number to account for Library Grant page</t>
  </si>
  <si>
    <t>22. DebtSvs-Library tab - reduce debt service fund page and added new library fund page which is linked to Grant tab</t>
  </si>
  <si>
    <t>23. Summ tab - added library fund  and  linked the library fund page to the summary</t>
  </si>
  <si>
    <t>24. Summ tab - linked the official name and title from the inputbudsum page</t>
  </si>
  <si>
    <t>25. Summ tab - centered the heading for printing</t>
  </si>
  <si>
    <t>26. Nhood tab - added the library fund</t>
  </si>
  <si>
    <t>27. Mill Rate Computation tab - corrected the computations to agree with our web site</t>
  </si>
  <si>
    <t>29. All fund pages - removed slider and its link</t>
  </si>
  <si>
    <t>28. All fund pages - changed the year headings</t>
  </si>
  <si>
    <r>
      <t xml:space="preserve">1.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fund page. </t>
    </r>
    <r>
      <rPr>
        <b/>
        <sz val="12"/>
        <rFont val="Times New Roman"/>
        <family val="1"/>
      </rPr>
      <t/>
    </r>
  </si>
  <si>
    <r>
      <t>11l. If a transfer from the Road fund to Special Machinery is made in the actual year, the transfer has been link to the Special Machinery fund. If the transfer exceeds 25% of Resources Available, then a red error message will appear (</t>
    </r>
    <r>
      <rPr>
        <sz val="12"/>
        <color indexed="10"/>
        <rFont val="Times New Roman"/>
        <family val="1"/>
      </rPr>
      <t>Exceeds 25%</t>
    </r>
    <r>
      <rPr>
        <sz val="12"/>
        <rFont val="Times New Roman"/>
        <family val="1"/>
      </rPr>
      <t xml:space="preserve">) and the block turns </t>
    </r>
    <r>
      <rPr>
        <sz val="12"/>
        <color indexed="10"/>
        <rFont val="Times New Roman"/>
        <family val="1"/>
      </rPr>
      <t>red</t>
    </r>
    <r>
      <rPr>
        <sz val="12"/>
        <rFont val="Times New Roman"/>
        <family val="1"/>
      </rPr>
      <t xml:space="preserve">.  To remove the error message, you </t>
    </r>
    <r>
      <rPr>
        <u/>
        <sz val="12"/>
        <rFont val="Times New Roman"/>
        <family val="1"/>
      </rPr>
      <t>should reduce</t>
    </r>
    <r>
      <rPr>
        <sz val="12"/>
        <rFont val="Times New Roman"/>
        <family val="1"/>
      </rPr>
      <t xml:space="preserve"> the amount of the transfer for the Road which will change the Special Machinery amount. If the transfer money </t>
    </r>
    <r>
      <rPr>
        <b/>
        <u/>
        <sz val="12"/>
        <rFont val="Times New Roman"/>
        <family val="1"/>
      </rPr>
      <t xml:space="preserve">has not been spent </t>
    </r>
    <r>
      <rPr>
        <sz val="12"/>
        <rFont val="Times New Roman"/>
        <family val="1"/>
      </rPr>
      <t xml:space="preserve">in the Special Machinery fund, then you can fix the transfer to bring within the limitation. But, if the transfer money </t>
    </r>
    <r>
      <rPr>
        <b/>
        <u/>
        <sz val="12"/>
        <rFont val="Times New Roman"/>
        <family val="1"/>
      </rPr>
      <t>has been spent</t>
    </r>
    <r>
      <rPr>
        <sz val="12"/>
        <rFont val="Times New Roman"/>
        <family val="1"/>
      </rPr>
      <t>, then no action can be taken to fix the violation. In addition, the transfer is linked to the Schedule of Transfers.</t>
    </r>
  </si>
  <si>
    <r>
      <t xml:space="preserve">11n. The General Fund has two line expenditures for transfers to the Special Machinery Fund. The transfers are labeled, 'Transfer to Spec. Mach.(No Levy) and 'Transfer to Spec. Mach.(Gen has Levy). </t>
    </r>
    <r>
      <rPr>
        <b/>
        <u/>
        <sz val="12"/>
        <rFont val="Times New Roman"/>
        <family val="1"/>
      </rPr>
      <t>Note:</t>
    </r>
    <r>
      <rPr>
        <sz val="12"/>
        <rFont val="Times New Roman"/>
        <family val="1"/>
      </rPr>
      <t xml:space="preserve"> If a transfer is made from the General Fund to Special Machinery, only one transfer is allowed, you must chose the expenditure based upon the General Fund situation. If two transfers are made, on the Special Machinery page will show a error message '</t>
    </r>
    <r>
      <rPr>
        <sz val="12"/>
        <color indexed="10"/>
        <rFont val="Times New Roman"/>
        <family val="1"/>
      </rPr>
      <t>No Authorized Two Transfers - Only One</t>
    </r>
    <r>
      <rPr>
        <sz val="12"/>
        <rFont val="Times New Roman"/>
        <family val="1"/>
      </rPr>
      <t xml:space="preserve">'. You are </t>
    </r>
    <r>
      <rPr>
        <u/>
        <sz val="12"/>
        <rFont val="Times New Roman"/>
        <family val="1"/>
      </rPr>
      <t>not required</t>
    </r>
    <r>
      <rPr>
        <sz val="12"/>
        <rFont val="Times New Roman"/>
        <family val="1"/>
      </rPr>
      <t xml:space="preserve"> to make a transfer.</t>
    </r>
  </si>
  <si>
    <t xml:space="preserve">peter.haxton@library.ks.gov </t>
  </si>
  <si>
    <t>The following were changed to this spreadsheet on 2/22/12</t>
  </si>
  <si>
    <t>1. Library Grant tab, updated State Library e-mail contact address</t>
  </si>
  <si>
    <t>Carolyn Brock</t>
  </si>
  <si>
    <t>612 SW Terrace Ave</t>
  </si>
  <si>
    <t>Topeka KS  66611</t>
  </si>
  <si>
    <t>brockck@sbcglobal.net</t>
  </si>
  <si>
    <t>Paxton Township</t>
  </si>
  <si>
    <t>Logan County</t>
  </si>
  <si>
    <t>Prairie Dog</t>
  </si>
  <si>
    <t>Noxious Weed</t>
  </si>
  <si>
    <t>80-1203</t>
  </si>
  <si>
    <t>2-1318</t>
  </si>
  <si>
    <t>None</t>
  </si>
  <si>
    <t>Budget &amp; Publication</t>
  </si>
  <si>
    <t>Road Maintenance-Logan County</t>
  </si>
  <si>
    <t>Scott County Road Dept</t>
  </si>
  <si>
    <t>Autogate</t>
  </si>
  <si>
    <t>Nicola Gregory</t>
  </si>
  <si>
    <t>Treasurer</t>
  </si>
  <si>
    <t>Nicola Gregory's residence, 210 Co Road 230, Scott City</t>
  </si>
  <si>
    <t>Transfer from Noxious Weed</t>
  </si>
  <si>
    <t>Transfer from Prairie Dog</t>
  </si>
  <si>
    <t>Transfer to Road Fund-Closing</t>
  </si>
  <si>
    <t>Weed</t>
  </si>
  <si>
    <t>Closing</t>
  </si>
  <si>
    <t>Road Maintenance-Hill Repairs</t>
  </si>
  <si>
    <t>Transfer from Special Machinery</t>
  </si>
  <si>
    <t>September 28, 2012</t>
  </si>
  <si>
    <t>5:00 PM</t>
  </si>
  <si>
    <t>Terry McDaniel's residence, 2210 Bison Rd, Scott City</t>
  </si>
  <si>
    <t>68-141g</t>
  </si>
</sst>
</file>

<file path=xl/styles.xml><?xml version="1.0" encoding="utf-8"?>
<styleSheet xmlns="http://schemas.openxmlformats.org/spreadsheetml/2006/main">
  <numFmts count="20">
    <numFmt numFmtId="5" formatCode="&quot;$&quot;#,##0_);\(&quot;$&quot;#,##0\)"/>
    <numFmt numFmtId="6" formatCode="&quot;$&quot;#,##0_);[Red]\(&quot;$&quot;#,##0\)"/>
    <numFmt numFmtId="43" formatCode="_(* #,##0.00_);_(* \(#,##0.00\);_(* &quot;-&quot;??_);_(@_)"/>
    <numFmt numFmtId="164" formatCode="0_)"/>
    <numFmt numFmtId="165" formatCode="0.000_)"/>
    <numFmt numFmtId="166" formatCode="0.00000_)"/>
    <numFmt numFmtId="167" formatCode="0.00000"/>
    <numFmt numFmtId="168" formatCode="m/d/yy"/>
    <numFmt numFmtId="169" formatCode="m/d"/>
    <numFmt numFmtId="170" formatCode="#,##0.000_);\(#,##0.000\)"/>
    <numFmt numFmtId="171" formatCode="0.000%"/>
    <numFmt numFmtId="172" formatCode="0.000"/>
    <numFmt numFmtId="173" formatCode="_(* #,##0_);_(* \(#,##0\);_(* &quot;-&quot;??_);_(@_)"/>
    <numFmt numFmtId="174" formatCode="#,##0.000"/>
    <numFmt numFmtId="175" formatCode="[$-409]mmmm\ d\,\ yyyy;@"/>
    <numFmt numFmtId="176" formatCode="[$-409]h:mm\ AM/PM;@"/>
    <numFmt numFmtId="177" formatCode="&quot;$&quot;#,##0"/>
    <numFmt numFmtId="178" formatCode="&quot;$&quot;#,##0.00"/>
    <numFmt numFmtId="179" formatCode="#,##0.000_);[Red]\(#,##0.000\)"/>
    <numFmt numFmtId="180" formatCode="0.0%"/>
  </numFmts>
  <fonts count="63">
    <font>
      <sz val="12"/>
      <name val="Courier New"/>
    </font>
    <font>
      <sz val="12"/>
      <name val="Courier New"/>
      <family val="3"/>
    </font>
    <font>
      <sz val="12"/>
      <name val="Courier"/>
      <family val="3"/>
    </font>
    <font>
      <b/>
      <sz val="12"/>
      <name val="Times New Roman"/>
      <family val="1"/>
    </font>
    <font>
      <sz val="12"/>
      <name val="Times New Roman"/>
      <family val="1"/>
    </font>
    <font>
      <u/>
      <sz val="12"/>
      <name val="Times New Roman"/>
      <family val="1"/>
    </font>
    <font>
      <sz val="14"/>
      <name val="Times New Roman"/>
      <family val="1"/>
    </font>
    <font>
      <sz val="11"/>
      <name val="Times New Roman"/>
      <family val="1"/>
    </font>
    <font>
      <sz val="10"/>
      <name val="Times New Roman"/>
      <family val="1"/>
    </font>
    <font>
      <sz val="10"/>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12"/>
      <color indexed="10"/>
      <name val="Times New Roman"/>
      <family val="1"/>
    </font>
    <font>
      <b/>
      <u/>
      <sz val="12"/>
      <color indexed="10"/>
      <name val="Times New Roman"/>
      <family val="1"/>
    </font>
    <font>
      <b/>
      <u/>
      <sz val="12"/>
      <name val="Times New Roman"/>
      <family val="1"/>
    </font>
    <font>
      <b/>
      <sz val="12"/>
      <color indexed="10"/>
      <name val="Times New Roman"/>
      <family val="1"/>
    </font>
    <font>
      <b/>
      <sz val="12"/>
      <name val="Courier"/>
      <family val="3"/>
    </font>
    <font>
      <sz val="12"/>
      <color indexed="10"/>
      <name val="Courier"/>
      <family val="3"/>
    </font>
    <font>
      <i/>
      <sz val="12"/>
      <name val="Times New Roman"/>
      <family val="1"/>
    </font>
    <font>
      <sz val="8"/>
      <name val="Times New Roman"/>
      <family val="1"/>
    </font>
    <font>
      <b/>
      <sz val="12"/>
      <color indexed="8"/>
      <name val="Times New Roman"/>
      <family val="1"/>
    </font>
    <font>
      <sz val="12"/>
      <color indexed="8"/>
      <name val="Times New Roman"/>
      <family val="1"/>
    </font>
    <font>
      <b/>
      <u/>
      <sz val="16"/>
      <name val="Times New Roman"/>
      <family val="1"/>
    </font>
    <font>
      <b/>
      <u/>
      <sz val="8"/>
      <color indexed="10"/>
      <name val="Times New Roman"/>
      <family val="1"/>
    </font>
    <font>
      <b/>
      <u/>
      <sz val="14"/>
      <name val="Times New Roman"/>
      <family val="1"/>
    </font>
    <font>
      <sz val="11"/>
      <color indexed="8"/>
      <name val="Times New Roman"/>
      <family val="1"/>
    </font>
    <font>
      <b/>
      <sz val="11"/>
      <color indexed="8"/>
      <name val="Times New Roman"/>
      <family val="1"/>
    </font>
    <font>
      <u/>
      <sz val="12"/>
      <color indexed="12"/>
      <name val="Courier"/>
      <family val="3"/>
    </font>
    <font>
      <b/>
      <u/>
      <sz val="12"/>
      <name val="Courier"/>
      <family val="3"/>
    </font>
    <font>
      <i/>
      <sz val="12"/>
      <name val="Courier"/>
      <family val="3"/>
    </font>
    <font>
      <i/>
      <u/>
      <sz val="12"/>
      <name val="Courier"/>
      <family val="3"/>
    </font>
    <font>
      <sz val="12"/>
      <name val="Courier New"/>
      <family val="3"/>
    </font>
    <font>
      <sz val="11"/>
      <name val="Cambria"/>
      <family val="1"/>
    </font>
    <font>
      <b/>
      <sz val="11"/>
      <color indexed="8"/>
      <name val="Cambria"/>
      <family val="1"/>
    </font>
    <font>
      <b/>
      <sz val="13"/>
      <name val="Times New Roman"/>
      <family val="1"/>
    </font>
    <font>
      <u/>
      <sz val="12"/>
      <color indexed="12"/>
      <name val="Times New Roman"/>
      <family val="1"/>
    </font>
    <font>
      <sz val="10"/>
      <color indexed="10"/>
      <name val="Times New Roman"/>
      <family val="1"/>
    </font>
    <font>
      <b/>
      <u/>
      <sz val="10"/>
      <name val="Times New Roman"/>
      <family val="1"/>
    </font>
    <font>
      <b/>
      <sz val="10"/>
      <name val="Times New Roman"/>
      <family val="1"/>
    </font>
    <font>
      <sz val="12"/>
      <name val="Courier"/>
      <family val="3"/>
    </font>
    <font>
      <u/>
      <sz val="12"/>
      <color indexed="10"/>
      <name val="Times New Roman"/>
      <family val="1"/>
    </font>
    <font>
      <b/>
      <sz val="12"/>
      <name val="Courier New"/>
      <family val="3"/>
    </font>
    <font>
      <sz val="10"/>
      <name val="Courier"/>
      <family val="3"/>
    </font>
    <font>
      <sz val="8"/>
      <color indexed="10"/>
      <name val="Times New Roman"/>
      <family val="1"/>
    </font>
    <font>
      <sz val="12"/>
      <name val="Courier"/>
    </font>
    <font>
      <sz val="11"/>
      <color theme="1"/>
      <name val="Calibri"/>
      <family val="2"/>
      <scheme val="minor"/>
    </font>
    <font>
      <b/>
      <u/>
      <sz val="12"/>
      <color rgb="FFFF0000"/>
      <name val="Times New Roman"/>
      <family val="1"/>
    </font>
    <font>
      <sz val="12"/>
      <color rgb="FF000000"/>
      <name val="Times New Roman"/>
      <family val="1"/>
    </font>
    <font>
      <sz val="11"/>
      <color rgb="FF000000"/>
      <name val="Times New Roman"/>
      <family val="1"/>
    </font>
    <font>
      <u/>
      <sz val="12"/>
      <color rgb="FFFF0000"/>
      <name val="Times New Roman"/>
      <family val="1"/>
    </font>
    <font>
      <b/>
      <sz val="12"/>
      <color rgb="FFFF0000"/>
      <name val="Times New Roman"/>
      <family val="1"/>
    </font>
    <font>
      <b/>
      <sz val="11"/>
      <color theme="1"/>
      <name val="Cambria"/>
      <family val="1"/>
    </font>
    <font>
      <sz val="11"/>
      <color rgb="FF000000"/>
      <name val="Cambria"/>
      <family val="1"/>
    </font>
    <font>
      <b/>
      <sz val="12"/>
      <color rgb="FF000000"/>
      <name val="Times New Roman"/>
      <family val="1"/>
    </font>
    <font>
      <sz val="12"/>
      <color rgb="FFFF0000"/>
      <name val="Times New Roman"/>
      <family val="1"/>
    </font>
    <font>
      <sz val="10"/>
      <color rgb="FFFF0000"/>
      <name val="Times New Roman"/>
      <family val="1"/>
    </font>
    <font>
      <sz val="12"/>
      <color theme="0"/>
      <name val="Courier"/>
      <family val="3"/>
    </font>
    <font>
      <sz val="12"/>
      <color theme="0"/>
      <name val="Courier New"/>
      <family val="3"/>
    </font>
    <font>
      <sz val="8"/>
      <color theme="0"/>
      <name val="Times New Roman"/>
      <family val="1"/>
    </font>
    <font>
      <sz val="12"/>
      <color theme="0"/>
      <name val="Times New Roman"/>
      <family val="1"/>
    </font>
  </fonts>
  <fills count="19">
    <fill>
      <patternFill patternType="none"/>
    </fill>
    <fill>
      <patternFill patternType="gray125"/>
    </fill>
    <fill>
      <patternFill patternType="solid">
        <fgColor indexed="11"/>
        <bgColor indexed="64"/>
      </patternFill>
    </fill>
    <fill>
      <patternFill patternType="solid">
        <fgColor indexed="26"/>
        <bgColor indexed="64"/>
      </patternFill>
    </fill>
    <fill>
      <patternFill patternType="solid">
        <fgColor indexed="11"/>
      </patternFill>
    </fill>
    <fill>
      <patternFill patternType="solid">
        <fgColor indexed="13"/>
        <bgColor indexed="64"/>
      </patternFill>
    </fill>
    <fill>
      <patternFill patternType="solid">
        <fgColor indexed="43"/>
        <bgColor indexed="64"/>
      </patternFill>
    </fill>
    <fill>
      <patternFill patternType="solid">
        <fgColor indexed="34"/>
        <bgColor indexed="64"/>
      </patternFill>
    </fill>
    <fill>
      <patternFill patternType="solid">
        <fgColor indexed="10"/>
        <bgColor indexed="64"/>
      </patternFill>
    </fill>
    <fill>
      <patternFill patternType="solid">
        <fgColor indexed="15"/>
        <bgColor indexed="64"/>
      </patternFill>
    </fill>
    <fill>
      <patternFill patternType="solid">
        <fgColor indexed="35"/>
        <bgColor indexed="64"/>
      </patternFill>
    </fill>
    <fill>
      <patternFill patternType="solid">
        <fgColor indexed="41"/>
        <bgColor indexed="64"/>
      </patternFill>
    </fill>
    <fill>
      <patternFill patternType="solid">
        <fgColor rgb="FFFFFFC0"/>
        <bgColor indexed="64"/>
      </patternFill>
    </fill>
    <fill>
      <patternFill patternType="solid">
        <fgColor rgb="FF00FF00"/>
        <bgColor indexed="64"/>
      </patternFill>
    </fill>
    <fill>
      <patternFill patternType="solid">
        <fgColor rgb="FFFFFF99"/>
        <bgColor indexed="64"/>
      </patternFill>
    </fill>
    <fill>
      <patternFill patternType="solid">
        <fgColor rgb="FF00FFFF"/>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s>
  <cellStyleXfs count="417">
    <xf numFmtId="0" fontId="0" fillId="0" borderId="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 fillId="0" borderId="0"/>
    <xf numFmtId="0" fontId="1"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1" fillId="0" borderId="0"/>
    <xf numFmtId="0" fontId="1" fillId="0" borderId="0"/>
    <xf numFmtId="0" fontId="1" fillId="0" borderId="0"/>
    <xf numFmtId="0" fontId="1" fillId="0" borderId="0"/>
    <xf numFmtId="0" fontId="34"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34" fillId="0" borderId="0"/>
    <xf numFmtId="0" fontId="2" fillId="0" borderId="0"/>
    <xf numFmtId="0" fontId="2" fillId="0" borderId="0"/>
    <xf numFmtId="0" fontId="1"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47"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2" fillId="0" borderId="0"/>
  </cellStyleXfs>
  <cellXfs count="880">
    <xf numFmtId="0" fontId="0" fillId="0" borderId="0" xfId="0"/>
    <xf numFmtId="0" fontId="12" fillId="0" borderId="0" xfId="0" applyFont="1" applyAlignment="1">
      <alignment horizontal="center"/>
    </xf>
    <xf numFmtId="0" fontId="7" fillId="0" borderId="0" xfId="0" applyFont="1" applyAlignment="1">
      <alignment horizontal="center"/>
    </xf>
    <xf numFmtId="0" fontId="13" fillId="0" borderId="0" xfId="0" applyFont="1"/>
    <xf numFmtId="0" fontId="7" fillId="0" borderId="0" xfId="0" applyFont="1"/>
    <xf numFmtId="0" fontId="7" fillId="0" borderId="0" xfId="0" applyFont="1" applyAlignment="1">
      <alignment horizontal="left" indent="1"/>
    </xf>
    <xf numFmtId="0" fontId="14" fillId="0" borderId="0" xfId="0" applyFont="1"/>
    <xf numFmtId="0" fontId="7" fillId="0" borderId="0" xfId="0" applyFont="1" applyAlignment="1">
      <alignment horizontal="left"/>
    </xf>
    <xf numFmtId="0" fontId="12" fillId="0" borderId="0" xfId="0" applyFont="1" applyAlignment="1">
      <alignment horizontal="left"/>
    </xf>
    <xf numFmtId="0" fontId="13" fillId="0" borderId="0" xfId="0" applyFont="1" applyAlignment="1">
      <alignment horizontal="left"/>
    </xf>
    <xf numFmtId="0" fontId="4" fillId="0" borderId="0" xfId="0" applyFont="1" applyAlignment="1">
      <alignment horizontal="right"/>
    </xf>
    <xf numFmtId="0" fontId="0" fillId="2" borderId="0" xfId="0" applyFill="1" applyProtection="1">
      <protection locked="0"/>
    </xf>
    <xf numFmtId="0" fontId="0" fillId="0" borderId="0" xfId="0" applyAlignment="1">
      <alignment vertical="center"/>
    </xf>
    <xf numFmtId="37" fontId="4" fillId="3" borderId="0" xfId="0" applyNumberFormat="1" applyFont="1" applyFill="1" applyAlignment="1" applyProtection="1">
      <alignment vertical="center"/>
    </xf>
    <xf numFmtId="0" fontId="4" fillId="3" borderId="0" xfId="0" applyFont="1" applyFill="1" applyAlignment="1" applyProtection="1">
      <alignment vertical="center"/>
    </xf>
    <xf numFmtId="0" fontId="4" fillId="3" borderId="0" xfId="0" applyNumberFormat="1" applyFont="1" applyFill="1" applyAlignment="1" applyProtection="1">
      <alignment horizontal="right" vertical="center"/>
    </xf>
    <xf numFmtId="0" fontId="4" fillId="0" borderId="0" xfId="0" applyFont="1" applyAlignment="1" applyProtection="1">
      <alignment vertical="center"/>
      <protection locked="0"/>
    </xf>
    <xf numFmtId="0" fontId="3" fillId="3" borderId="0" xfId="0" applyFont="1" applyFill="1" applyAlignment="1" applyProtection="1">
      <alignment vertical="center"/>
    </xf>
    <xf numFmtId="164" fontId="4" fillId="3" borderId="0" xfId="0" applyNumberFormat="1" applyFont="1" applyFill="1" applyAlignment="1" applyProtection="1">
      <alignment horizontal="right" vertical="center"/>
    </xf>
    <xf numFmtId="0" fontId="4" fillId="3" borderId="0" xfId="0" applyFont="1" applyFill="1" applyBorder="1" applyAlignment="1" applyProtection="1">
      <alignment vertical="center"/>
    </xf>
    <xf numFmtId="0" fontId="4" fillId="3" borderId="1" xfId="0" applyFont="1" applyFill="1" applyBorder="1" applyAlignment="1" applyProtection="1">
      <alignment vertical="center"/>
    </xf>
    <xf numFmtId="37" fontId="4" fillId="3" borderId="1" xfId="0" quotePrefix="1" applyNumberFormat="1" applyFont="1" applyFill="1" applyBorder="1" applyAlignment="1" applyProtection="1">
      <alignment horizontal="right" vertical="center"/>
    </xf>
    <xf numFmtId="37" fontId="4" fillId="3" borderId="0" xfId="0" applyNumberFormat="1" applyFont="1" applyFill="1" applyAlignment="1" applyProtection="1">
      <alignment horizontal="left" vertical="center"/>
    </xf>
    <xf numFmtId="37" fontId="4" fillId="3" borderId="2" xfId="0" applyNumberFormat="1" applyFont="1" applyFill="1" applyBorder="1" applyAlignment="1" applyProtection="1">
      <alignment horizontal="center" vertical="center"/>
    </xf>
    <xf numFmtId="37" fontId="4" fillId="3" borderId="0" xfId="0" applyNumberFormat="1" applyFont="1" applyFill="1" applyBorder="1" applyAlignment="1" applyProtection="1">
      <alignment vertical="center"/>
    </xf>
    <xf numFmtId="37" fontId="4" fillId="3" borderId="3" xfId="0" applyNumberFormat="1" applyFont="1" applyFill="1" applyBorder="1" applyAlignment="1" applyProtection="1">
      <alignment horizontal="center" vertical="center"/>
    </xf>
    <xf numFmtId="37" fontId="4" fillId="3" borderId="4" xfId="0" applyNumberFormat="1" applyFont="1" applyFill="1" applyBorder="1" applyAlignment="1" applyProtection="1">
      <alignment horizontal="center" vertical="center"/>
    </xf>
    <xf numFmtId="37" fontId="4" fillId="3" borderId="5" xfId="0" applyNumberFormat="1" applyFont="1" applyFill="1" applyBorder="1" applyAlignment="1" applyProtection="1">
      <alignment horizontal="left" vertical="center"/>
    </xf>
    <xf numFmtId="0" fontId="4" fillId="3" borderId="6" xfId="0" applyFont="1" applyFill="1" applyBorder="1" applyAlignment="1" applyProtection="1">
      <alignment vertical="center"/>
    </xf>
    <xf numFmtId="3" fontId="4" fillId="4" borderId="5" xfId="0" applyNumberFormat="1" applyFont="1" applyFill="1" applyBorder="1" applyAlignment="1" applyProtection="1">
      <alignment vertical="center"/>
      <protection locked="0"/>
    </xf>
    <xf numFmtId="3" fontId="4" fillId="4" borderId="6" xfId="0" applyNumberFormat="1" applyFont="1" applyFill="1" applyBorder="1" applyAlignment="1" applyProtection="1">
      <alignment vertical="center"/>
      <protection locked="0"/>
    </xf>
    <xf numFmtId="3" fontId="4" fillId="3" borderId="6" xfId="0" applyNumberFormat="1" applyFont="1" applyFill="1" applyBorder="1" applyAlignment="1" applyProtection="1">
      <alignment vertical="center"/>
    </xf>
    <xf numFmtId="3" fontId="4" fillId="3" borderId="7" xfId="0" applyNumberFormat="1" applyFont="1" applyFill="1" applyBorder="1" applyAlignment="1" applyProtection="1">
      <alignment vertical="center"/>
    </xf>
    <xf numFmtId="3" fontId="4" fillId="3" borderId="7" xfId="0" applyNumberFormat="1" applyFont="1" applyFill="1" applyBorder="1" applyAlignment="1" applyProtection="1">
      <alignment horizontal="fill" vertical="center"/>
    </xf>
    <xf numFmtId="3" fontId="4" fillId="4" borderId="7" xfId="0" applyNumberFormat="1" applyFont="1" applyFill="1" applyBorder="1" applyAlignment="1" applyProtection="1">
      <alignment vertical="center"/>
      <protection locked="0"/>
    </xf>
    <xf numFmtId="0" fontId="4" fillId="3" borderId="5" xfId="0" applyFont="1" applyFill="1" applyBorder="1" applyAlignment="1" applyProtection="1">
      <alignment vertical="center"/>
    </xf>
    <xf numFmtId="3" fontId="4" fillId="2" borderId="7" xfId="0" applyNumberFormat="1" applyFont="1" applyFill="1" applyBorder="1" applyAlignment="1" applyProtection="1">
      <alignment vertical="center"/>
      <protection locked="0"/>
    </xf>
    <xf numFmtId="0" fontId="4" fillId="4" borderId="5" xfId="0" applyFont="1" applyFill="1" applyBorder="1" applyAlignment="1" applyProtection="1">
      <alignment vertical="center"/>
      <protection locked="0"/>
    </xf>
    <xf numFmtId="37" fontId="4" fillId="4" borderId="5" xfId="0" applyNumberFormat="1" applyFont="1" applyFill="1" applyBorder="1" applyAlignment="1" applyProtection="1">
      <alignment horizontal="left" vertical="center"/>
      <protection locked="0"/>
    </xf>
    <xf numFmtId="37" fontId="4" fillId="3" borderId="5" xfId="0" applyNumberFormat="1" applyFont="1" applyFill="1" applyBorder="1" applyAlignment="1" applyProtection="1">
      <alignment horizontal="left" vertical="center"/>
      <protection locked="0"/>
    </xf>
    <xf numFmtId="3" fontId="15" fillId="5" borderId="6" xfId="0" applyNumberFormat="1" applyFont="1" applyFill="1" applyBorder="1" applyAlignment="1" applyProtection="1">
      <alignment horizontal="center" vertical="center"/>
    </xf>
    <xf numFmtId="0" fontId="3" fillId="3" borderId="5" xfId="0" applyFont="1" applyFill="1" applyBorder="1" applyAlignment="1" applyProtection="1">
      <alignment vertical="center"/>
    </xf>
    <xf numFmtId="3" fontId="3" fillId="6" borderId="7" xfId="0" applyNumberFormat="1" applyFont="1" applyFill="1" applyBorder="1" applyAlignment="1" applyProtection="1">
      <alignment vertical="center"/>
    </xf>
    <xf numFmtId="37" fontId="3" fillId="3" borderId="5" xfId="0" applyNumberFormat="1" applyFont="1" applyFill="1" applyBorder="1" applyAlignment="1" applyProtection="1">
      <alignment horizontal="left" vertical="center"/>
    </xf>
    <xf numFmtId="3" fontId="15" fillId="5" borderId="7" xfId="0" applyNumberFormat="1" applyFont="1" applyFill="1" applyBorder="1" applyAlignment="1" applyProtection="1">
      <alignment horizontal="center" vertical="center"/>
      <protection locked="0"/>
    </xf>
    <xf numFmtId="3" fontId="15" fillId="5" borderId="7" xfId="0" applyNumberFormat="1" applyFont="1" applyFill="1" applyBorder="1" applyAlignment="1" applyProtection="1">
      <alignment horizontal="center" vertical="center"/>
    </xf>
    <xf numFmtId="3" fontId="4" fillId="6" borderId="7" xfId="0" applyNumberFormat="1" applyFont="1" applyFill="1" applyBorder="1" applyAlignment="1" applyProtection="1">
      <alignment vertical="center"/>
    </xf>
    <xf numFmtId="3" fontId="3" fillId="3" borderId="7" xfId="0" applyNumberFormat="1" applyFont="1" applyFill="1" applyBorder="1" applyAlignment="1" applyProtection="1">
      <alignment vertical="center"/>
    </xf>
    <xf numFmtId="0" fontId="4" fillId="3" borderId="0" xfId="0" applyFont="1" applyFill="1" applyAlignment="1" applyProtection="1">
      <alignment horizontal="right" vertical="center"/>
    </xf>
    <xf numFmtId="37" fontId="4" fillId="3" borderId="0" xfId="0" applyNumberFormat="1" applyFont="1" applyFill="1" applyAlignment="1" applyProtection="1">
      <alignment horizontal="center" vertical="center"/>
    </xf>
    <xf numFmtId="0" fontId="15" fillId="0" borderId="0" xfId="0" applyFont="1" applyAlignment="1" applyProtection="1">
      <alignment vertical="center"/>
    </xf>
    <xf numFmtId="0" fontId="16" fillId="3" borderId="0" xfId="0" applyFont="1" applyFill="1" applyAlignment="1" applyProtection="1">
      <alignment horizontal="center" vertical="center"/>
    </xf>
    <xf numFmtId="37" fontId="4" fillId="3" borderId="0" xfId="0" applyNumberFormat="1" applyFont="1" applyFill="1" applyAlignment="1" applyProtection="1">
      <alignment horizontal="right" vertical="center"/>
    </xf>
    <xf numFmtId="3" fontId="4" fillId="3" borderId="0" xfId="0" applyNumberFormat="1" applyFont="1" applyFill="1" applyBorder="1" applyAlignment="1" applyProtection="1">
      <alignment vertical="center"/>
    </xf>
    <xf numFmtId="0" fontId="4" fillId="0" borderId="0" xfId="0" applyFont="1" applyFill="1" applyBorder="1" applyAlignment="1" applyProtection="1">
      <alignment vertical="center"/>
      <protection locked="0"/>
    </xf>
    <xf numFmtId="3" fontId="4" fillId="3" borderId="0" xfId="0" applyNumberFormat="1" applyFont="1" applyFill="1" applyAlignment="1" applyProtection="1">
      <alignment vertical="center"/>
    </xf>
    <xf numFmtId="0" fontId="4" fillId="0" borderId="0" xfId="0" applyFont="1" applyFill="1" applyAlignment="1" applyProtection="1">
      <alignment vertical="center"/>
      <protection locked="0"/>
    </xf>
    <xf numFmtId="3" fontId="4" fillId="0" borderId="0" xfId="0" applyNumberFormat="1" applyFont="1" applyAlignment="1" applyProtection="1">
      <alignment vertical="center"/>
      <protection locked="0"/>
    </xf>
    <xf numFmtId="3" fontId="4" fillId="0" borderId="0" xfId="0" applyNumberFormat="1" applyFont="1" applyFill="1" applyBorder="1" applyAlignment="1" applyProtection="1">
      <alignment vertical="center"/>
    </xf>
    <xf numFmtId="0" fontId="49" fillId="3" borderId="0" xfId="0" applyFont="1" applyFill="1" applyAlignment="1" applyProtection="1">
      <alignment horizontal="center" vertical="center"/>
    </xf>
    <xf numFmtId="164" fontId="4" fillId="3" borderId="0" xfId="0" applyNumberFormat="1" applyFont="1" applyFill="1" applyAlignment="1" applyProtection="1">
      <alignment vertical="center"/>
    </xf>
    <xf numFmtId="37" fontId="4" fillId="3" borderId="0" xfId="0" quotePrefix="1" applyNumberFormat="1" applyFont="1" applyFill="1" applyAlignment="1" applyProtection="1">
      <alignment horizontal="right" vertical="center"/>
    </xf>
    <xf numFmtId="3" fontId="4" fillId="3" borderId="7" xfId="0" applyNumberFormat="1" applyFont="1" applyFill="1" applyBorder="1" applyAlignment="1" applyProtection="1">
      <alignment horizontal="right" vertical="center"/>
    </xf>
    <xf numFmtId="37" fontId="4" fillId="3" borderId="8" xfId="0" applyNumberFormat="1" applyFont="1" applyFill="1" applyBorder="1" applyAlignment="1" applyProtection="1">
      <alignment horizontal="left" vertical="center"/>
    </xf>
    <xf numFmtId="0" fontId="4" fillId="2" borderId="0" xfId="0" applyFont="1" applyFill="1" applyAlignment="1" applyProtection="1">
      <alignment horizontal="left" vertical="center"/>
      <protection locked="0"/>
    </xf>
    <xf numFmtId="37" fontId="4" fillId="3" borderId="0" xfId="0" applyNumberFormat="1" applyFont="1" applyFill="1" applyBorder="1" applyAlignment="1" applyProtection="1">
      <alignment horizontal="fill" vertical="center"/>
    </xf>
    <xf numFmtId="3" fontId="15" fillId="7" borderId="7" xfId="0" applyNumberFormat="1" applyFont="1" applyFill="1" applyBorder="1" applyAlignment="1" applyProtection="1">
      <alignment horizontal="center" vertical="center"/>
    </xf>
    <xf numFmtId="37" fontId="3" fillId="3" borderId="0" xfId="0" applyNumberFormat="1" applyFont="1" applyFill="1" applyAlignment="1" applyProtection="1">
      <alignment horizontal="left" vertical="center"/>
    </xf>
    <xf numFmtId="1" fontId="4" fillId="3" borderId="2" xfId="0" applyNumberFormat="1" applyFont="1" applyFill="1" applyBorder="1" applyAlignment="1" applyProtection="1">
      <alignment horizontal="center" vertical="center"/>
    </xf>
    <xf numFmtId="1" fontId="4" fillId="3" borderId="0" xfId="0" applyNumberFormat="1" applyFont="1" applyFill="1" applyBorder="1" applyAlignment="1" applyProtection="1">
      <alignment horizontal="center" vertical="center"/>
    </xf>
    <xf numFmtId="37" fontId="4" fillId="3" borderId="1" xfId="0" applyNumberFormat="1" applyFont="1" applyFill="1" applyBorder="1" applyAlignment="1" applyProtection="1">
      <alignment horizontal="left" vertical="center"/>
    </xf>
    <xf numFmtId="37" fontId="4" fillId="3" borderId="7" xfId="0" applyNumberFormat="1" applyFont="1" applyFill="1" applyBorder="1" applyAlignment="1" applyProtection="1">
      <alignment horizontal="left" vertical="center"/>
    </xf>
    <xf numFmtId="0" fontId="4" fillId="3" borderId="7" xfId="0" applyFont="1" applyFill="1" applyBorder="1" applyAlignment="1" applyProtection="1">
      <alignment vertical="center"/>
    </xf>
    <xf numFmtId="0" fontId="15" fillId="3" borderId="0" xfId="0" applyFont="1" applyFill="1" applyAlignment="1" applyProtection="1">
      <alignment vertical="center"/>
    </xf>
    <xf numFmtId="37" fontId="4" fillId="3" borderId="7" xfId="0" applyNumberFormat="1" applyFont="1" applyFill="1" applyBorder="1" applyAlignment="1" applyProtection="1">
      <alignment horizontal="left" vertical="center"/>
      <protection locked="0"/>
    </xf>
    <xf numFmtId="37" fontId="4" fillId="4" borderId="7" xfId="0" applyNumberFormat="1" applyFont="1" applyFill="1" applyBorder="1" applyAlignment="1" applyProtection="1">
      <alignment horizontal="left" vertical="center"/>
      <protection locked="0"/>
    </xf>
    <xf numFmtId="37" fontId="3" fillId="3" borderId="7" xfId="0" applyNumberFormat="1" applyFont="1" applyFill="1" applyBorder="1" applyAlignment="1" applyProtection="1">
      <alignment horizontal="left" vertical="center"/>
    </xf>
    <xf numFmtId="37" fontId="4" fillId="3" borderId="0" xfId="0" quotePrefix="1" applyNumberFormat="1" applyFont="1" applyFill="1" applyBorder="1" applyAlignment="1" applyProtection="1">
      <alignment horizontal="right" vertical="center"/>
    </xf>
    <xf numFmtId="37" fontId="4" fillId="3" borderId="1" xfId="0" applyNumberFormat="1" applyFont="1" applyFill="1" applyBorder="1" applyAlignment="1" applyProtection="1">
      <alignment vertical="center"/>
    </xf>
    <xf numFmtId="0" fontId="4" fillId="0" borderId="0" xfId="0" applyFont="1" applyAlignment="1">
      <alignment vertical="center"/>
    </xf>
    <xf numFmtId="0" fontId="4" fillId="4" borderId="0" xfId="0" applyFont="1" applyFill="1" applyAlignment="1" applyProtection="1">
      <alignment horizontal="left" vertical="center"/>
      <protection locked="0"/>
    </xf>
    <xf numFmtId="1" fontId="4" fillId="3" borderId="0" xfId="0" applyNumberFormat="1" applyFont="1" applyFill="1" applyAlignment="1" applyProtection="1">
      <alignment horizontal="right" vertical="center"/>
    </xf>
    <xf numFmtId="0" fontId="4" fillId="3" borderId="5" xfId="0" applyFont="1" applyFill="1" applyBorder="1" applyAlignment="1" applyProtection="1">
      <alignment horizontal="left" vertical="center"/>
    </xf>
    <xf numFmtId="0" fontId="4" fillId="3" borderId="8" xfId="0" applyFont="1" applyFill="1" applyBorder="1" applyAlignment="1" applyProtection="1">
      <alignment horizontal="left" vertical="center"/>
    </xf>
    <xf numFmtId="37" fontId="4" fillId="3" borderId="7" xfId="0" applyNumberFormat="1" applyFont="1" applyFill="1" applyBorder="1" applyAlignment="1" applyProtection="1">
      <alignment vertical="center"/>
    </xf>
    <xf numFmtId="0" fontId="4" fillId="4" borderId="5" xfId="0" applyFont="1" applyFill="1" applyBorder="1" applyAlignment="1" applyProtection="1">
      <alignment horizontal="left" vertical="center"/>
      <protection locked="0"/>
    </xf>
    <xf numFmtId="3" fontId="49" fillId="3" borderId="0" xfId="0" applyNumberFormat="1" applyFont="1" applyFill="1" applyAlignment="1" applyProtection="1">
      <alignment horizontal="center" vertical="center"/>
    </xf>
    <xf numFmtId="37" fontId="4" fillId="3" borderId="0" xfId="0" applyNumberFormat="1" applyFont="1" applyFill="1" applyAlignment="1">
      <alignment vertical="center"/>
    </xf>
    <xf numFmtId="0" fontId="4" fillId="3" borderId="0" xfId="0" applyFont="1" applyFill="1" applyAlignment="1">
      <alignment horizontal="center" vertical="center"/>
    </xf>
    <xf numFmtId="0" fontId="4" fillId="3" borderId="0" xfId="0" applyFont="1" applyFill="1" applyAlignment="1">
      <alignment vertical="center"/>
    </xf>
    <xf numFmtId="0" fontId="3" fillId="3" borderId="0" xfId="0" applyFont="1" applyFill="1" applyAlignment="1">
      <alignment horizontal="center" vertical="center"/>
    </xf>
    <xf numFmtId="0" fontId="21" fillId="3" borderId="0" xfId="0" applyFont="1" applyFill="1" applyAlignment="1">
      <alignment horizontal="center" vertical="center"/>
    </xf>
    <xf numFmtId="0" fontId="4" fillId="3" borderId="6" xfId="0" applyFont="1" applyFill="1" applyBorder="1" applyAlignment="1">
      <alignment vertical="center"/>
    </xf>
    <xf numFmtId="0" fontId="4" fillId="3" borderId="1" xfId="0" applyFont="1" applyFill="1" applyBorder="1" applyAlignment="1">
      <alignment vertical="center"/>
    </xf>
    <xf numFmtId="0" fontId="22" fillId="3" borderId="2" xfId="0" applyFont="1" applyFill="1" applyBorder="1" applyAlignment="1">
      <alignment vertical="center"/>
    </xf>
    <xf numFmtId="0" fontId="22" fillId="3" borderId="6" xfId="0" applyFont="1" applyFill="1" applyBorder="1" applyAlignment="1">
      <alignment horizontal="center" vertical="center"/>
    </xf>
    <xf numFmtId="0" fontId="22" fillId="3" borderId="9" xfId="0" applyFont="1" applyFill="1" applyBorder="1" applyAlignment="1">
      <alignment vertical="center"/>
    </xf>
    <xf numFmtId="0" fontId="22" fillId="3" borderId="7"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22" fillId="3" borderId="8" xfId="0" applyFont="1" applyFill="1" applyBorder="1" applyAlignment="1">
      <alignment vertical="center"/>
    </xf>
    <xf numFmtId="3" fontId="22" fillId="2" borderId="7" xfId="0" applyNumberFormat="1" applyFont="1" applyFill="1" applyBorder="1" applyAlignment="1" applyProtection="1">
      <alignment horizontal="center" vertical="center"/>
      <protection locked="0"/>
    </xf>
    <xf numFmtId="0" fontId="22" fillId="3" borderId="1" xfId="0" applyFont="1" applyFill="1" applyBorder="1" applyAlignment="1">
      <alignment vertical="center"/>
    </xf>
    <xf numFmtId="3" fontId="22" fillId="6" borderId="7" xfId="0" applyNumberFormat="1" applyFont="1" applyFill="1" applyBorder="1" applyAlignment="1">
      <alignment horizontal="center" vertical="center"/>
    </xf>
    <xf numFmtId="0" fontId="22" fillId="3" borderId="0" xfId="0" applyFont="1" applyFill="1" applyAlignment="1">
      <alignment vertical="center"/>
    </xf>
    <xf numFmtId="3" fontId="22" fillId="3" borderId="0" xfId="0" applyNumberFormat="1" applyFont="1" applyFill="1" applyAlignment="1">
      <alignment horizontal="center" vertical="center"/>
    </xf>
    <xf numFmtId="0" fontId="22" fillId="3" borderId="0" xfId="0" applyFont="1" applyFill="1" applyAlignment="1">
      <alignment horizontal="center" vertical="center"/>
    </xf>
    <xf numFmtId="0" fontId="22" fillId="2" borderId="7" xfId="0" applyFont="1" applyFill="1" applyBorder="1" applyAlignment="1" applyProtection="1">
      <alignment vertical="center"/>
      <protection locked="0"/>
    </xf>
    <xf numFmtId="0" fontId="22" fillId="2" borderId="9" xfId="0" applyFont="1" applyFill="1" applyBorder="1" applyAlignment="1" applyProtection="1">
      <alignment vertical="center"/>
      <protection locked="0"/>
    </xf>
    <xf numFmtId="3" fontId="22" fillId="2" borderId="9" xfId="0" applyNumberFormat="1" applyFont="1" applyFill="1" applyBorder="1" applyAlignment="1" applyProtection="1">
      <alignment horizontal="center" vertical="center"/>
      <protection locked="0"/>
    </xf>
    <xf numFmtId="0" fontId="22" fillId="2" borderId="0" xfId="0" applyFont="1" applyFill="1" applyAlignment="1" applyProtection="1">
      <alignment vertical="center"/>
      <protection locked="0"/>
    </xf>
    <xf numFmtId="3" fontId="22" fillId="2" borderId="3" xfId="0" applyNumberFormat="1" applyFont="1" applyFill="1" applyBorder="1" applyAlignment="1" applyProtection="1">
      <alignment horizontal="center" vertical="center"/>
      <protection locked="0"/>
    </xf>
    <xf numFmtId="3" fontId="22" fillId="2" borderId="6" xfId="0" applyNumberFormat="1" applyFont="1" applyFill="1" applyBorder="1" applyAlignment="1" applyProtection="1">
      <alignment horizontal="center" vertical="center"/>
      <protection locked="0"/>
    </xf>
    <xf numFmtId="0" fontId="22" fillId="2" borderId="6" xfId="0" applyFont="1" applyFill="1" applyBorder="1" applyAlignment="1" applyProtection="1">
      <alignment vertical="center"/>
      <protection locked="0"/>
    </xf>
    <xf numFmtId="0" fontId="22" fillId="2" borderId="4" xfId="0" applyFont="1" applyFill="1" applyBorder="1" applyAlignment="1" applyProtection="1">
      <alignment vertical="center"/>
      <protection locked="0"/>
    </xf>
    <xf numFmtId="3" fontId="22" fillId="2" borderId="10" xfId="0" applyNumberFormat="1" applyFont="1" applyFill="1" applyBorder="1" applyAlignment="1" applyProtection="1">
      <alignment horizontal="center" vertical="center"/>
      <protection locked="0"/>
    </xf>
    <xf numFmtId="0" fontId="22" fillId="2" borderId="10" xfId="0" applyFont="1" applyFill="1" applyBorder="1" applyAlignment="1" applyProtection="1">
      <alignment vertical="center"/>
      <protection locked="0"/>
    </xf>
    <xf numFmtId="3" fontId="22" fillId="6" borderId="4" xfId="0" applyNumberFormat="1" applyFont="1" applyFill="1" applyBorder="1" applyAlignment="1">
      <alignment horizontal="center" vertical="center"/>
    </xf>
    <xf numFmtId="3" fontId="22" fillId="5" borderId="7" xfId="0" applyNumberFormat="1" applyFont="1" applyFill="1" applyBorder="1" applyAlignment="1">
      <alignment horizontal="center" vertical="center"/>
    </xf>
    <xf numFmtId="3" fontId="4" fillId="3" borderId="0" xfId="0" applyNumberFormat="1" applyFont="1" applyFill="1" applyAlignment="1">
      <alignment vertical="center"/>
    </xf>
    <xf numFmtId="0" fontId="4" fillId="8" borderId="0" xfId="0" applyFont="1" applyFill="1" applyAlignment="1">
      <alignment vertical="center"/>
    </xf>
    <xf numFmtId="0" fontId="4" fillId="3" borderId="0" xfId="0" applyFont="1" applyFill="1" applyAlignment="1">
      <alignment horizontal="right" vertical="center"/>
    </xf>
    <xf numFmtId="3" fontId="4" fillId="0" borderId="0" xfId="0" applyNumberFormat="1" applyFont="1" applyAlignment="1">
      <alignment vertical="center"/>
    </xf>
    <xf numFmtId="3" fontId="26" fillId="5" borderId="0" xfId="0" applyNumberFormat="1" applyFont="1" applyFill="1" applyAlignment="1">
      <alignment horizontal="center" vertical="center"/>
    </xf>
    <xf numFmtId="0" fontId="3" fillId="3" borderId="0" xfId="0" applyFont="1" applyFill="1" applyAlignment="1" applyProtection="1">
      <alignment horizontal="center" vertical="center"/>
    </xf>
    <xf numFmtId="0" fontId="4" fillId="3" borderId="2" xfId="0" applyFont="1" applyFill="1" applyBorder="1" applyAlignment="1" applyProtection="1">
      <alignment horizontal="center" vertical="center" wrapText="1"/>
    </xf>
    <xf numFmtId="0" fontId="4" fillId="3" borderId="9"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wrapText="1"/>
    </xf>
    <xf numFmtId="0" fontId="4" fillId="3" borderId="0" xfId="0" applyFont="1" applyFill="1" applyAlignment="1" applyProtection="1">
      <alignment vertical="center"/>
      <protection locked="0"/>
    </xf>
    <xf numFmtId="3" fontId="4" fillId="2" borderId="7" xfId="0" applyNumberFormat="1" applyFont="1" applyFill="1" applyBorder="1" applyAlignment="1" applyProtection="1">
      <alignment horizontal="center" vertical="center"/>
      <protection locked="0"/>
    </xf>
    <xf numFmtId="174" fontId="4" fillId="3" borderId="7" xfId="0" applyNumberFormat="1" applyFont="1" applyFill="1" applyBorder="1" applyAlignment="1" applyProtection="1">
      <alignment horizontal="center" vertical="center"/>
    </xf>
    <xf numFmtId="3" fontId="4" fillId="3" borderId="7" xfId="0" applyNumberFormat="1" applyFont="1" applyFill="1" applyBorder="1" applyAlignment="1" applyProtection="1">
      <alignment horizontal="center" vertical="center"/>
    </xf>
    <xf numFmtId="3" fontId="4" fillId="2" borderId="2" xfId="0" applyNumberFormat="1" applyFont="1" applyFill="1" applyBorder="1" applyAlignment="1" applyProtection="1">
      <alignment horizontal="center" vertical="center"/>
      <protection locked="0"/>
    </xf>
    <xf numFmtId="3" fontId="4" fillId="3" borderId="11" xfId="0" applyNumberFormat="1" applyFont="1" applyFill="1" applyBorder="1" applyAlignment="1" applyProtection="1">
      <alignment horizontal="center" vertical="center"/>
    </xf>
    <xf numFmtId="174" fontId="4" fillId="3" borderId="11" xfId="0" applyNumberFormat="1" applyFont="1" applyFill="1" applyBorder="1" applyAlignment="1" applyProtection="1">
      <alignment horizontal="center" vertical="center"/>
    </xf>
    <xf numFmtId="3" fontId="4" fillId="3" borderId="1" xfId="0" applyNumberFormat="1" applyFont="1" applyFill="1" applyBorder="1" applyAlignment="1" applyProtection="1">
      <alignment horizontal="center" vertical="center"/>
    </xf>
    <xf numFmtId="174" fontId="4" fillId="3" borderId="1" xfId="0" applyNumberFormat="1" applyFont="1" applyFill="1" applyBorder="1" applyAlignment="1" applyProtection="1">
      <alignment horizontal="center" vertical="center"/>
    </xf>
    <xf numFmtId="174" fontId="4" fillId="3" borderId="0" xfId="0" applyNumberFormat="1" applyFont="1" applyFill="1" applyBorder="1" applyAlignment="1" applyProtection="1">
      <alignment horizontal="center" vertical="center"/>
    </xf>
    <xf numFmtId="3" fontId="4" fillId="3" borderId="1" xfId="0" applyNumberFormat="1" applyFont="1" applyFill="1" applyBorder="1" applyAlignment="1">
      <alignment horizontal="center" vertical="center"/>
    </xf>
    <xf numFmtId="0" fontId="0" fillId="3" borderId="0" xfId="0" applyFill="1" applyAlignment="1">
      <alignment vertical="center"/>
    </xf>
    <xf numFmtId="0" fontId="0" fillId="3" borderId="0" xfId="0" applyFill="1" applyAlignment="1">
      <alignment horizontal="center" vertical="center"/>
    </xf>
    <xf numFmtId="174" fontId="4" fillId="3" borderId="1" xfId="0" applyNumberFormat="1" applyFont="1" applyFill="1" applyBorder="1" applyAlignment="1">
      <alignment horizontal="center" vertical="center"/>
    </xf>
    <xf numFmtId="172" fontId="4" fillId="3" borderId="0" xfId="0" applyNumberFormat="1" applyFont="1" applyFill="1" applyBorder="1" applyAlignment="1" applyProtection="1">
      <alignment vertical="center"/>
    </xf>
    <xf numFmtId="37" fontId="3" fillId="3" borderId="0" xfId="0" applyNumberFormat="1" applyFont="1" applyFill="1" applyAlignment="1" applyProtection="1">
      <alignment horizontal="centerContinuous" vertical="center"/>
    </xf>
    <xf numFmtId="0" fontId="4" fillId="3" borderId="0" xfId="0" applyFont="1" applyFill="1" applyAlignment="1" applyProtection="1">
      <alignment horizontal="centerContinuous" vertical="center"/>
    </xf>
    <xf numFmtId="37" fontId="5" fillId="3" borderId="0" xfId="0" applyNumberFormat="1" applyFont="1" applyFill="1" applyAlignment="1" applyProtection="1">
      <alignment horizontal="center" vertical="center"/>
    </xf>
    <xf numFmtId="37" fontId="4" fillId="3" borderId="0" xfId="0" applyNumberFormat="1" applyFont="1" applyFill="1" applyAlignment="1" applyProtection="1">
      <alignment horizontal="centerContinuous" vertical="center"/>
    </xf>
    <xf numFmtId="0" fontId="3" fillId="3" borderId="0" xfId="0" applyFont="1" applyFill="1" applyAlignment="1" applyProtection="1">
      <alignment horizontal="centerContinuous" vertical="center"/>
    </xf>
    <xf numFmtId="0" fontId="4" fillId="0" borderId="0" xfId="0" applyFont="1" applyBorder="1" applyAlignment="1" applyProtection="1">
      <alignment vertical="center"/>
      <protection locked="0"/>
    </xf>
    <xf numFmtId="1" fontId="4" fillId="3" borderId="5" xfId="0" applyNumberFormat="1" applyFont="1" applyFill="1" applyBorder="1" applyAlignment="1" applyProtection="1">
      <alignment horizontal="centerContinuous" vertical="center"/>
    </xf>
    <xf numFmtId="1" fontId="4" fillId="3" borderId="6" xfId="0" applyNumberFormat="1" applyFont="1" applyFill="1" applyBorder="1" applyAlignment="1" applyProtection="1">
      <alignment horizontal="centerContinuous" vertical="center"/>
    </xf>
    <xf numFmtId="0" fontId="4" fillId="3" borderId="6" xfId="0" applyFont="1" applyFill="1" applyBorder="1" applyAlignment="1" applyProtection="1">
      <alignment horizontal="centerContinuous" vertical="center"/>
    </xf>
    <xf numFmtId="37" fontId="4" fillId="3" borderId="5" xfId="0" applyNumberFormat="1" applyFont="1" applyFill="1" applyBorder="1" applyAlignment="1" applyProtection="1">
      <alignment horizontal="centerContinuous" vertical="center"/>
    </xf>
    <xf numFmtId="0" fontId="4" fillId="3" borderId="12" xfId="0" applyFont="1" applyFill="1" applyBorder="1" applyAlignment="1" applyProtection="1">
      <alignment horizontal="centerContinuous" vertical="center"/>
    </xf>
    <xf numFmtId="0" fontId="4" fillId="3" borderId="2" xfId="0" applyFont="1" applyFill="1" applyBorder="1" applyAlignment="1" applyProtection="1">
      <alignment vertical="center"/>
    </xf>
    <xf numFmtId="37" fontId="4" fillId="3" borderId="13" xfId="0" applyNumberFormat="1" applyFont="1" applyFill="1" applyBorder="1" applyAlignment="1" applyProtection="1">
      <alignment horizontal="center" vertical="center"/>
    </xf>
    <xf numFmtId="165" fontId="4" fillId="3" borderId="7" xfId="0" applyNumberFormat="1" applyFont="1" applyFill="1" applyBorder="1" applyAlignment="1" applyProtection="1">
      <alignment vertical="center"/>
    </xf>
    <xf numFmtId="37" fontId="4" fillId="6" borderId="7" xfId="0" applyNumberFormat="1" applyFont="1" applyFill="1" applyBorder="1" applyAlignment="1" applyProtection="1">
      <alignment vertical="center"/>
    </xf>
    <xf numFmtId="37" fontId="4" fillId="3" borderId="7" xfId="0" applyNumberFormat="1" applyFont="1" applyFill="1" applyBorder="1" applyAlignment="1" applyProtection="1">
      <alignment horizontal="fill" vertical="center"/>
    </xf>
    <xf numFmtId="37" fontId="4" fillId="3" borderId="7" xfId="0" applyNumberFormat="1" applyFont="1" applyFill="1" applyBorder="1" applyAlignment="1" applyProtection="1">
      <alignment horizontal="center" vertical="center"/>
    </xf>
    <xf numFmtId="0" fontId="25" fillId="0" borderId="0" xfId="0" applyFont="1" applyAlignment="1">
      <alignment horizontal="center" vertical="center"/>
    </xf>
    <xf numFmtId="0" fontId="3" fillId="0" borderId="0" xfId="0" applyFont="1" applyAlignment="1">
      <alignment vertical="center" wrapText="1"/>
    </xf>
    <xf numFmtId="0" fontId="50" fillId="0" borderId="0" xfId="0" applyFont="1" applyAlignment="1">
      <alignment vertical="center"/>
    </xf>
    <xf numFmtId="37" fontId="4" fillId="3" borderId="0" xfId="415" applyNumberFormat="1" applyFont="1" applyFill="1" applyAlignment="1" applyProtection="1">
      <alignment vertical="center"/>
    </xf>
    <xf numFmtId="0" fontId="4" fillId="3" borderId="0" xfId="415" applyFont="1" applyFill="1" applyAlignment="1" applyProtection="1">
      <alignment vertical="center"/>
    </xf>
    <xf numFmtId="0" fontId="4" fillId="0" borderId="0" xfId="415" applyFont="1" applyAlignment="1" applyProtection="1">
      <alignment vertical="center"/>
      <protection locked="0"/>
    </xf>
    <xf numFmtId="0" fontId="3" fillId="3" borderId="0" xfId="416" applyFont="1" applyFill="1" applyAlignment="1" applyProtection="1">
      <alignment horizontal="centerContinuous" vertical="center"/>
    </xf>
    <xf numFmtId="0" fontId="4" fillId="3" borderId="0" xfId="415" applyFont="1" applyFill="1" applyAlignment="1" applyProtection="1">
      <alignment horizontal="centerContinuous" vertical="center"/>
    </xf>
    <xf numFmtId="0" fontId="4" fillId="3" borderId="2" xfId="0" applyFont="1" applyFill="1" applyBorder="1" applyAlignment="1" applyProtection="1">
      <alignment horizontal="center" vertical="center"/>
    </xf>
    <xf numFmtId="0" fontId="4" fillId="3" borderId="14" xfId="0" applyFont="1" applyFill="1" applyBorder="1" applyAlignment="1" applyProtection="1">
      <alignment horizontal="centerContinuous" vertical="center"/>
    </xf>
    <xf numFmtId="0" fontId="4" fillId="3" borderId="9" xfId="0" applyFont="1" applyFill="1" applyBorder="1" applyAlignment="1" applyProtection="1">
      <alignment horizontal="centerContinuous" vertical="center"/>
    </xf>
    <xf numFmtId="0" fontId="4" fillId="3" borderId="13" xfId="0" applyFont="1" applyFill="1" applyBorder="1" applyAlignment="1" applyProtection="1">
      <alignment horizontal="center" vertical="center"/>
    </xf>
    <xf numFmtId="0" fontId="4" fillId="3" borderId="8" xfId="0" applyFont="1" applyFill="1" applyBorder="1" applyAlignment="1" applyProtection="1">
      <alignment horizontal="centerContinuous" vertical="center"/>
    </xf>
    <xf numFmtId="0" fontId="4" fillId="3" borderId="3" xfId="0" applyFont="1" applyFill="1" applyBorder="1" applyAlignment="1" applyProtection="1">
      <alignment horizontal="centerContinuous" vertical="center"/>
    </xf>
    <xf numFmtId="0" fontId="4" fillId="3" borderId="4" xfId="0" applyFont="1" applyFill="1" applyBorder="1" applyAlignment="1" applyProtection="1">
      <alignment horizontal="center" vertical="center"/>
    </xf>
    <xf numFmtId="14" fontId="4" fillId="3" borderId="4" xfId="0" quotePrefix="1" applyNumberFormat="1"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168" fontId="4" fillId="3" borderId="7" xfId="0" applyNumberFormat="1" applyFont="1" applyFill="1" applyBorder="1" applyAlignment="1" applyProtection="1">
      <alignment horizontal="left" vertical="center"/>
    </xf>
    <xf numFmtId="169" fontId="4" fillId="3" borderId="7" xfId="0" applyNumberFormat="1" applyFont="1" applyFill="1" applyBorder="1" applyAlignment="1" applyProtection="1">
      <alignment horizontal="left" vertical="center"/>
    </xf>
    <xf numFmtId="0" fontId="4" fillId="3" borderId="7" xfId="0" applyFont="1" applyFill="1" applyBorder="1" applyAlignment="1" applyProtection="1">
      <alignment horizontal="left" vertical="center"/>
      <protection locked="0"/>
    </xf>
    <xf numFmtId="0" fontId="4" fillId="4" borderId="7" xfId="0" applyFont="1" applyFill="1" applyBorder="1" applyAlignment="1" applyProtection="1">
      <alignment vertical="center"/>
      <protection locked="0"/>
    </xf>
    <xf numFmtId="168" fontId="4" fillId="4" borderId="7" xfId="0" applyNumberFormat="1" applyFont="1" applyFill="1" applyBorder="1" applyAlignment="1" applyProtection="1">
      <alignment vertical="center"/>
      <protection locked="0"/>
    </xf>
    <xf numFmtId="2" fontId="4" fillId="4" borderId="7" xfId="0" applyNumberFormat="1" applyFont="1" applyFill="1" applyBorder="1" applyAlignment="1" applyProtection="1">
      <alignment vertical="center"/>
      <protection locked="0"/>
    </xf>
    <xf numFmtId="37" fontId="4" fillId="4" borderId="7" xfId="0" applyNumberFormat="1" applyFont="1" applyFill="1" applyBorder="1" applyAlignment="1" applyProtection="1">
      <alignment vertical="center"/>
      <protection locked="0"/>
    </xf>
    <xf numFmtId="169" fontId="4" fillId="4" borderId="7" xfId="0" applyNumberFormat="1" applyFont="1" applyFill="1" applyBorder="1" applyAlignment="1" applyProtection="1">
      <alignment vertical="center"/>
      <protection locked="0"/>
    </xf>
    <xf numFmtId="168" fontId="4" fillId="3" borderId="7" xfId="0" applyNumberFormat="1" applyFont="1" applyFill="1" applyBorder="1" applyAlignment="1" applyProtection="1">
      <alignment vertical="center"/>
    </xf>
    <xf numFmtId="2" fontId="4" fillId="3" borderId="7" xfId="0" applyNumberFormat="1" applyFont="1" applyFill="1" applyBorder="1" applyAlignment="1" applyProtection="1">
      <alignment vertical="center"/>
    </xf>
    <xf numFmtId="169" fontId="4" fillId="3" borderId="7" xfId="0" applyNumberFormat="1" applyFont="1" applyFill="1" applyBorder="1" applyAlignment="1" applyProtection="1">
      <alignment vertical="center"/>
    </xf>
    <xf numFmtId="0" fontId="3" fillId="3" borderId="7" xfId="415" applyFont="1" applyFill="1" applyBorder="1" applyAlignment="1" applyProtection="1">
      <alignment horizontal="left" vertical="center"/>
    </xf>
    <xf numFmtId="0" fontId="3" fillId="3" borderId="15" xfId="415" applyFont="1" applyFill="1" applyBorder="1" applyAlignment="1" applyProtection="1">
      <alignment vertical="center"/>
    </xf>
    <xf numFmtId="37" fontId="3" fillId="6" borderId="7" xfId="415" applyNumberFormat="1" applyFont="1" applyFill="1" applyBorder="1" applyAlignment="1" applyProtection="1">
      <alignment vertical="center"/>
    </xf>
    <xf numFmtId="0" fontId="4" fillId="3" borderId="0" xfId="416" applyFont="1" applyFill="1" applyAlignment="1" applyProtection="1">
      <alignment horizontal="centerContinuous" vertical="center"/>
    </xf>
    <xf numFmtId="0" fontId="4" fillId="3" borderId="0" xfId="416" applyFont="1" applyFill="1" applyAlignment="1" applyProtection="1">
      <alignment vertical="center"/>
    </xf>
    <xf numFmtId="0" fontId="4" fillId="0" borderId="0" xfId="416" applyFont="1" applyAlignment="1">
      <alignment vertical="center"/>
    </xf>
    <xf numFmtId="0" fontId="4" fillId="3" borderId="1" xfId="0" applyFont="1" applyFill="1" applyBorder="1" applyAlignment="1" applyProtection="1">
      <alignment horizontal="fill" vertical="center"/>
    </xf>
    <xf numFmtId="0" fontId="4" fillId="3" borderId="0" xfId="0" applyFont="1" applyFill="1" applyBorder="1" applyAlignment="1" applyProtection="1">
      <alignment horizontal="fill" vertical="center"/>
    </xf>
    <xf numFmtId="0" fontId="4" fillId="3" borderId="16" xfId="416" applyFont="1" applyFill="1" applyBorder="1" applyAlignment="1" applyProtection="1">
      <alignment vertical="center"/>
    </xf>
    <xf numFmtId="0" fontId="4" fillId="3" borderId="0" xfId="416" applyFont="1" applyFill="1" applyBorder="1" applyAlignment="1" applyProtection="1">
      <alignment vertical="center"/>
    </xf>
    <xf numFmtId="0" fontId="4" fillId="3" borderId="13" xfId="0" applyFont="1" applyFill="1" applyBorder="1" applyAlignment="1" applyProtection="1">
      <alignment vertical="center"/>
    </xf>
    <xf numFmtId="0" fontId="7" fillId="3" borderId="4" xfId="0" applyFont="1" applyFill="1" applyBorder="1" applyAlignment="1" applyProtection="1">
      <alignment horizontal="center" vertical="center"/>
    </xf>
    <xf numFmtId="1" fontId="4" fillId="4" borderId="7" xfId="0" applyNumberFormat="1" applyFont="1" applyFill="1" applyBorder="1" applyAlignment="1" applyProtection="1">
      <alignment vertical="center"/>
      <protection locked="0"/>
    </xf>
    <xf numFmtId="3" fontId="3" fillId="3" borderId="15" xfId="415" applyNumberFormat="1" applyFont="1" applyFill="1" applyBorder="1" applyAlignment="1" applyProtection="1">
      <alignment vertical="center"/>
    </xf>
    <xf numFmtId="0" fontId="0" fillId="3" borderId="0" xfId="0" applyFill="1" applyAlignment="1" applyProtection="1">
      <alignment vertical="center"/>
    </xf>
    <xf numFmtId="0" fontId="4" fillId="8" borderId="0" xfId="415" applyFont="1" applyFill="1" applyAlignment="1" applyProtection="1">
      <alignment vertical="center"/>
    </xf>
    <xf numFmtId="0" fontId="0" fillId="0" borderId="0" xfId="0" applyAlignment="1" applyProtection="1">
      <alignment vertical="center"/>
      <protection locked="0"/>
    </xf>
    <xf numFmtId="0" fontId="7" fillId="0" borderId="0" xfId="0" applyFont="1" applyAlignment="1">
      <alignment vertical="center"/>
    </xf>
    <xf numFmtId="0" fontId="13" fillId="0" borderId="0" xfId="0" applyFont="1" applyAlignment="1">
      <alignment vertical="center" wrapText="1"/>
    </xf>
    <xf numFmtId="0" fontId="51" fillId="0" borderId="0" xfId="0" applyFont="1" applyAlignment="1">
      <alignment vertical="center"/>
    </xf>
    <xf numFmtId="0" fontId="27" fillId="0" borderId="0" xfId="0" applyFont="1" applyAlignment="1">
      <alignment horizontal="center" vertical="center"/>
    </xf>
    <xf numFmtId="0" fontId="3" fillId="3" borderId="1"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0" fontId="3" fillId="3" borderId="17" xfId="0" applyFont="1" applyFill="1" applyBorder="1" applyAlignment="1" applyProtection="1">
      <alignment horizontal="center" vertical="center"/>
    </xf>
    <xf numFmtId="0" fontId="3" fillId="3" borderId="18" xfId="0" applyFont="1" applyFill="1" applyBorder="1" applyAlignment="1" applyProtection="1">
      <alignment horizontal="center" vertical="center"/>
    </xf>
    <xf numFmtId="0" fontId="4" fillId="0" borderId="0" xfId="0" applyFont="1" applyAlignment="1" applyProtection="1">
      <alignment horizontal="center" vertical="center"/>
      <protection locked="0"/>
    </xf>
    <xf numFmtId="0" fontId="4" fillId="2" borderId="4" xfId="0" applyFont="1" applyFill="1" applyBorder="1" applyAlignment="1" applyProtection="1">
      <alignment vertical="center"/>
      <protection locked="0"/>
    </xf>
    <xf numFmtId="173" fontId="4" fillId="2" borderId="4" xfId="1" applyNumberFormat="1" applyFont="1" applyFill="1" applyBorder="1" applyAlignment="1" applyProtection="1">
      <alignment vertical="center"/>
      <protection locked="0"/>
    </xf>
    <xf numFmtId="173" fontId="4" fillId="3" borderId="7" xfId="1" applyNumberFormat="1" applyFont="1" applyFill="1" applyBorder="1" applyAlignment="1" applyProtection="1">
      <alignment vertical="center"/>
    </xf>
    <xf numFmtId="0" fontId="4" fillId="2" borderId="7" xfId="0" applyFont="1" applyFill="1" applyBorder="1" applyAlignment="1" applyProtection="1">
      <alignment vertical="center"/>
      <protection locked="0"/>
    </xf>
    <xf numFmtId="173" fontId="4" fillId="2" borderId="7" xfId="1" applyNumberFormat="1" applyFont="1" applyFill="1" applyBorder="1" applyAlignment="1" applyProtection="1">
      <alignment vertical="center"/>
      <protection locked="0"/>
    </xf>
    <xf numFmtId="0" fontId="5" fillId="2" borderId="7" xfId="0" applyFont="1" applyFill="1" applyBorder="1" applyAlignment="1" applyProtection="1">
      <alignment vertical="center"/>
      <protection locked="0"/>
    </xf>
    <xf numFmtId="0" fontId="4" fillId="3" borderId="7" xfId="0" applyFont="1" applyFill="1" applyBorder="1" applyAlignment="1" applyProtection="1">
      <alignment horizontal="center" vertical="center"/>
      <protection locked="0"/>
    </xf>
    <xf numFmtId="3" fontId="4" fillId="3" borderId="7" xfId="0" applyNumberFormat="1" applyFont="1" applyFill="1" applyBorder="1" applyAlignment="1" applyProtection="1">
      <alignment vertical="center"/>
      <protection locked="0"/>
    </xf>
    <xf numFmtId="3" fontId="4" fillId="7" borderId="7" xfId="0" applyNumberFormat="1" applyFont="1" applyFill="1" applyBorder="1" applyAlignment="1" applyProtection="1">
      <alignment vertical="center"/>
    </xf>
    <xf numFmtId="37" fontId="3" fillId="3" borderId="0" xfId="0" applyNumberFormat="1" applyFont="1" applyFill="1" applyBorder="1" applyAlignment="1" applyProtection="1">
      <alignment horizontal="center" vertical="center"/>
    </xf>
    <xf numFmtId="0" fontId="5" fillId="3" borderId="0" xfId="0" applyFont="1" applyFill="1" applyBorder="1" applyAlignment="1" applyProtection="1">
      <alignment horizontal="centerContinuous" vertical="center"/>
    </xf>
    <xf numFmtId="0" fontId="4" fillId="3" borderId="0" xfId="0" applyFont="1" applyFill="1" applyBorder="1" applyAlignment="1" applyProtection="1">
      <alignment horizontal="centerContinuous" vertical="center"/>
    </xf>
    <xf numFmtId="0" fontId="0" fillId="0" borderId="15" xfId="0" applyBorder="1" applyAlignment="1">
      <alignment vertical="center"/>
    </xf>
    <xf numFmtId="37" fontId="4" fillId="2" borderId="7" xfId="0" applyNumberFormat="1" applyFont="1" applyFill="1" applyBorder="1" applyAlignment="1" applyProtection="1">
      <alignment vertical="center"/>
    </xf>
    <xf numFmtId="174" fontId="4" fillId="3" borderId="7" xfId="0" applyNumberFormat="1" applyFont="1" applyFill="1" applyBorder="1" applyAlignment="1" applyProtection="1">
      <alignment vertical="center"/>
    </xf>
    <xf numFmtId="0" fontId="4" fillId="3" borderId="7" xfId="0" applyFont="1" applyFill="1" applyBorder="1" applyAlignment="1" applyProtection="1">
      <alignment horizontal="right" vertical="center"/>
    </xf>
    <xf numFmtId="37" fontId="4" fillId="3" borderId="11" xfId="0" applyNumberFormat="1" applyFont="1" applyFill="1" applyBorder="1" applyAlignment="1" applyProtection="1">
      <alignment vertical="center"/>
    </xf>
    <xf numFmtId="166" fontId="4" fillId="6" borderId="1" xfId="0" applyNumberFormat="1" applyFont="1" applyFill="1" applyBorder="1" applyAlignment="1" applyProtection="1">
      <alignment vertical="center"/>
    </xf>
    <xf numFmtId="0" fontId="5" fillId="3" borderId="0" xfId="0" applyFont="1" applyFill="1" applyAlignment="1" applyProtection="1">
      <alignment vertical="center"/>
    </xf>
    <xf numFmtId="166" fontId="4" fillId="3" borderId="1" xfId="0" applyNumberFormat="1" applyFont="1" applyFill="1" applyBorder="1" applyAlignment="1" applyProtection="1">
      <alignment vertical="center"/>
    </xf>
    <xf numFmtId="167" fontId="4" fillId="6" borderId="1" xfId="0" applyNumberFormat="1" applyFont="1" applyFill="1" applyBorder="1" applyAlignment="1" applyProtection="1">
      <alignment vertical="center"/>
    </xf>
    <xf numFmtId="166" fontId="4" fillId="3" borderId="0" xfId="0" applyNumberFormat="1" applyFont="1" applyFill="1" applyBorder="1" applyAlignment="1" applyProtection="1">
      <alignment vertical="center"/>
    </xf>
    <xf numFmtId="37" fontId="4" fillId="0" borderId="0" xfId="0" applyNumberFormat="1" applyFont="1" applyAlignment="1" applyProtection="1">
      <alignment horizontal="fill" vertical="center"/>
      <protection locked="0"/>
    </xf>
    <xf numFmtId="0" fontId="3" fillId="3" borderId="0" xfId="0" applyFont="1" applyFill="1" applyAlignment="1" applyProtection="1">
      <alignment horizontal="center" vertical="center" wrapText="1"/>
    </xf>
    <xf numFmtId="0" fontId="4" fillId="3" borderId="0" xfId="0" quotePrefix="1" applyFont="1" applyFill="1" applyAlignment="1" applyProtection="1">
      <alignment vertical="center"/>
    </xf>
    <xf numFmtId="3" fontId="4" fillId="3" borderId="0" xfId="0" quotePrefix="1" applyNumberFormat="1" applyFont="1" applyFill="1" applyAlignment="1" applyProtection="1">
      <alignment vertical="center"/>
    </xf>
    <xf numFmtId="3" fontId="4" fillId="3" borderId="1" xfId="0" applyNumberFormat="1" applyFont="1" applyFill="1" applyBorder="1" applyAlignment="1" applyProtection="1">
      <alignment vertical="center"/>
    </xf>
    <xf numFmtId="3" fontId="4" fillId="6" borderId="12" xfId="0" applyNumberFormat="1" applyFont="1" applyFill="1" applyBorder="1" applyAlignment="1" applyProtection="1">
      <alignment vertical="center"/>
    </xf>
    <xf numFmtId="3" fontId="4" fillId="3" borderId="12" xfId="0" applyNumberFormat="1" applyFont="1" applyFill="1" applyBorder="1" applyAlignment="1" applyProtection="1">
      <alignment vertical="center"/>
    </xf>
    <xf numFmtId="0" fontId="4" fillId="3" borderId="15" xfId="0" applyFont="1" applyFill="1" applyBorder="1" applyAlignment="1" applyProtection="1">
      <alignment vertical="center"/>
    </xf>
    <xf numFmtId="167" fontId="4" fillId="3" borderId="1" xfId="0" applyNumberFormat="1" applyFont="1" applyFill="1" applyBorder="1" applyAlignment="1" applyProtection="1">
      <alignment vertical="center"/>
    </xf>
    <xf numFmtId="0" fontId="4" fillId="3" borderId="0" xfId="0" quotePrefix="1" applyFont="1" applyFill="1" applyBorder="1" applyAlignment="1" applyProtection="1">
      <alignment vertical="center"/>
    </xf>
    <xf numFmtId="3" fontId="4" fillId="3" borderId="19" xfId="0" applyNumberFormat="1" applyFont="1" applyFill="1" applyBorder="1" applyAlignment="1" applyProtection="1">
      <alignment vertical="center"/>
    </xf>
    <xf numFmtId="0" fontId="6" fillId="0" borderId="0" xfId="0" applyFont="1" applyAlignment="1">
      <alignment vertical="center"/>
    </xf>
    <xf numFmtId="37" fontId="4" fillId="3" borderId="2" xfId="0" applyNumberFormat="1" applyFont="1" applyFill="1" applyBorder="1" applyAlignment="1" applyProtection="1">
      <alignment horizontal="left" vertical="center"/>
    </xf>
    <xf numFmtId="0" fontId="4" fillId="3" borderId="9" xfId="0" applyFont="1" applyFill="1" applyBorder="1" applyAlignment="1" applyProtection="1">
      <alignment vertical="center"/>
    </xf>
    <xf numFmtId="0" fontId="4" fillId="3" borderId="10" xfId="0" applyFont="1" applyFill="1" applyBorder="1" applyAlignment="1" applyProtection="1">
      <alignment vertical="center"/>
    </xf>
    <xf numFmtId="37" fontId="5" fillId="3" borderId="8" xfId="0" applyNumberFormat="1" applyFont="1" applyFill="1" applyBorder="1" applyAlignment="1" applyProtection="1">
      <alignment horizontal="left" vertical="center"/>
    </xf>
    <xf numFmtId="0" fontId="4" fillId="3" borderId="3" xfId="0" applyFont="1" applyFill="1" applyBorder="1" applyAlignment="1" applyProtection="1">
      <alignment vertical="center"/>
    </xf>
    <xf numFmtId="37" fontId="4" fillId="6" borderId="7" xfId="0" applyNumberFormat="1" applyFont="1" applyFill="1" applyBorder="1" applyAlignment="1" applyProtection="1">
      <alignment horizontal="center" vertical="center"/>
    </xf>
    <xf numFmtId="164" fontId="4" fillId="3" borderId="7" xfId="0" applyNumberFormat="1" applyFont="1" applyFill="1" applyBorder="1" applyAlignment="1" applyProtection="1">
      <alignment horizontal="center" vertical="center"/>
    </xf>
    <xf numFmtId="37" fontId="4" fillId="3" borderId="5" xfId="0" applyNumberFormat="1" applyFont="1" applyFill="1" applyBorder="1" applyAlignment="1" applyProtection="1">
      <alignment vertical="center"/>
    </xf>
    <xf numFmtId="37" fontId="4" fillId="3" borderId="6" xfId="0" applyNumberFormat="1" applyFont="1" applyFill="1" applyBorder="1" applyAlignment="1" applyProtection="1">
      <alignment horizontal="center" vertical="center"/>
    </xf>
    <xf numFmtId="164" fontId="4" fillId="3" borderId="6" xfId="0" applyNumberFormat="1" applyFont="1" applyFill="1" applyBorder="1" applyAlignment="1" applyProtection="1">
      <alignment horizontal="center" vertical="center"/>
    </xf>
    <xf numFmtId="37" fontId="4" fillId="3" borderId="8" xfId="0" applyNumberFormat="1" applyFont="1" applyFill="1" applyBorder="1" applyAlignment="1" applyProtection="1">
      <alignment vertical="center"/>
    </xf>
    <xf numFmtId="37" fontId="3" fillId="3" borderId="14" xfId="0" applyNumberFormat="1" applyFont="1" applyFill="1" applyBorder="1" applyAlignment="1" applyProtection="1">
      <alignment horizontal="left" vertical="center"/>
    </xf>
    <xf numFmtId="0" fontId="4" fillId="3" borderId="12" xfId="0" applyFont="1" applyFill="1" applyBorder="1" applyAlignment="1" applyProtection="1">
      <alignment vertical="center"/>
    </xf>
    <xf numFmtId="0" fontId="4" fillId="5" borderId="7" xfId="0" applyFont="1" applyFill="1" applyBorder="1" applyAlignment="1" applyProtection="1">
      <alignment horizontal="center" vertical="center" shrinkToFit="1"/>
    </xf>
    <xf numFmtId="0" fontId="15" fillId="5" borderId="6" xfId="0" applyFont="1" applyFill="1" applyBorder="1" applyAlignment="1" applyProtection="1">
      <alignment horizontal="center" vertical="center"/>
    </xf>
    <xf numFmtId="0" fontId="4" fillId="3" borderId="0" xfId="0" applyFont="1" applyFill="1" applyBorder="1" applyAlignment="1" applyProtection="1">
      <alignment horizontal="center" vertical="center" shrinkToFit="1"/>
    </xf>
    <xf numFmtId="0" fontId="15" fillId="3" borderId="0" xfId="0" applyFont="1" applyFill="1" applyBorder="1" applyAlignment="1" applyProtection="1">
      <alignment horizontal="center" vertical="center"/>
    </xf>
    <xf numFmtId="0" fontId="8" fillId="3" borderId="0" xfId="0" applyFont="1" applyFill="1" applyAlignment="1" applyProtection="1">
      <alignment horizontal="center" vertical="center"/>
    </xf>
    <xf numFmtId="0" fontId="4" fillId="3" borderId="0" xfId="0" applyFont="1" applyFill="1" applyBorder="1" applyAlignment="1" applyProtection="1">
      <alignment vertical="center"/>
      <protection locked="0"/>
    </xf>
    <xf numFmtId="37" fontId="4" fillId="3" borderId="0" xfId="0" applyNumberFormat="1" applyFont="1" applyFill="1" applyBorder="1" applyAlignment="1" applyProtection="1">
      <alignment horizontal="left" vertical="center"/>
    </xf>
    <xf numFmtId="0" fontId="4" fillId="2" borderId="1" xfId="0" applyFont="1" applyFill="1" applyBorder="1" applyAlignment="1" applyProtection="1">
      <alignment vertical="center"/>
      <protection locked="0"/>
    </xf>
    <xf numFmtId="0" fontId="4" fillId="2" borderId="12" xfId="0" applyFont="1" applyFill="1" applyBorder="1" applyAlignment="1" applyProtection="1">
      <alignment vertical="center"/>
      <protection locked="0"/>
    </xf>
    <xf numFmtId="0" fontId="4" fillId="2" borderId="0" xfId="0" applyFont="1" applyFill="1" applyAlignment="1" applyProtection="1">
      <alignment vertical="center"/>
      <protection locked="0"/>
    </xf>
    <xf numFmtId="37" fontId="4" fillId="2" borderId="0" xfId="0" applyNumberFormat="1" applyFont="1" applyFill="1" applyAlignment="1" applyProtection="1">
      <alignment horizontal="left" vertical="center"/>
      <protection locked="0"/>
    </xf>
    <xf numFmtId="0" fontId="4" fillId="3" borderId="0" xfId="0" applyFont="1" applyFill="1" applyAlignment="1" applyProtection="1">
      <alignment horizontal="left" vertical="center"/>
    </xf>
    <xf numFmtId="0" fontId="3" fillId="9" borderId="0" xfId="0" applyFont="1" applyFill="1" applyAlignment="1" applyProtection="1">
      <alignment horizontal="left" vertical="center"/>
    </xf>
    <xf numFmtId="0" fontId="4" fillId="9" borderId="0" xfId="0" applyFont="1" applyFill="1" applyAlignment="1" applyProtection="1">
      <alignment vertical="center"/>
    </xf>
    <xf numFmtId="3" fontId="4" fillId="4" borderId="1" xfId="0" applyNumberFormat="1" applyFont="1" applyFill="1" applyBorder="1" applyAlignment="1" applyProtection="1">
      <alignment vertical="center"/>
      <protection locked="0"/>
    </xf>
    <xf numFmtId="37" fontId="4" fillId="2" borderId="12" xfId="0" applyNumberFormat="1" applyFont="1" applyFill="1" applyBorder="1" applyAlignment="1" applyProtection="1">
      <alignment vertical="center"/>
      <protection locked="0"/>
    </xf>
    <xf numFmtId="37" fontId="4" fillId="3" borderId="0" xfId="0" applyNumberFormat="1" applyFont="1" applyFill="1" applyBorder="1" applyAlignment="1" applyProtection="1">
      <alignment vertical="center"/>
      <protection locked="0"/>
    </xf>
    <xf numFmtId="37" fontId="5" fillId="3" borderId="0" xfId="0" applyNumberFormat="1" applyFont="1" applyFill="1" applyBorder="1" applyAlignment="1" applyProtection="1">
      <alignment horizontal="left" vertical="center"/>
    </xf>
    <xf numFmtId="3" fontId="4" fillId="3" borderId="0" xfId="0" applyNumberFormat="1" applyFont="1" applyFill="1" applyBorder="1" applyAlignment="1" applyProtection="1">
      <alignment vertical="center"/>
      <protection locked="0"/>
    </xf>
    <xf numFmtId="0" fontId="17" fillId="3" borderId="0" xfId="0" applyFont="1" applyFill="1" applyBorder="1" applyAlignment="1" applyProtection="1">
      <alignment horizontal="center" vertical="center"/>
    </xf>
    <xf numFmtId="172" fontId="4" fillId="2" borderId="1" xfId="0" applyNumberFormat="1" applyFont="1" applyFill="1" applyBorder="1" applyAlignment="1" applyProtection="1">
      <alignment vertical="center"/>
      <protection locked="0"/>
    </xf>
    <xf numFmtId="172" fontId="4" fillId="2" borderId="12" xfId="0" applyNumberFormat="1" applyFont="1" applyFill="1" applyBorder="1" applyAlignment="1" applyProtection="1">
      <alignment vertical="center"/>
      <protection locked="0"/>
    </xf>
    <xf numFmtId="172" fontId="4" fillId="2" borderId="15" xfId="0" applyNumberFormat="1" applyFont="1" applyFill="1" applyBorder="1" applyAlignment="1" applyProtection="1">
      <alignment vertical="center"/>
      <protection locked="0"/>
    </xf>
    <xf numFmtId="172" fontId="4" fillId="6" borderId="7" xfId="0" applyNumberFormat="1" applyFont="1" applyFill="1" applyBorder="1" applyAlignment="1" applyProtection="1">
      <alignment vertical="center"/>
    </xf>
    <xf numFmtId="37" fontId="3" fillId="10" borderId="0" xfId="0" applyNumberFormat="1" applyFont="1" applyFill="1" applyAlignment="1" applyProtection="1">
      <alignment horizontal="left" vertical="center"/>
    </xf>
    <xf numFmtId="0" fontId="4" fillId="10" borderId="0" xfId="0" applyFont="1" applyFill="1" applyAlignment="1" applyProtection="1">
      <alignment vertical="center"/>
    </xf>
    <xf numFmtId="3" fontId="4" fillId="10" borderId="0" xfId="0" applyNumberFormat="1" applyFont="1" applyFill="1" applyAlignment="1" applyProtection="1">
      <alignment vertical="center"/>
    </xf>
    <xf numFmtId="3" fontId="4" fillId="3" borderId="3" xfId="0" applyNumberFormat="1" applyFont="1" applyFill="1" applyBorder="1" applyAlignment="1" applyProtection="1">
      <alignment vertical="center"/>
    </xf>
    <xf numFmtId="37" fontId="4" fillId="3" borderId="12" xfId="0" applyNumberFormat="1" applyFont="1" applyFill="1" applyBorder="1" applyAlignment="1" applyProtection="1">
      <alignment horizontal="left" vertical="center"/>
    </xf>
    <xf numFmtId="37" fontId="4" fillId="8" borderId="0" xfId="0" applyNumberFormat="1" applyFont="1" applyFill="1" applyBorder="1" applyAlignment="1" applyProtection="1">
      <alignment horizontal="left" vertical="center"/>
    </xf>
    <xf numFmtId="0" fontId="4" fillId="8" borderId="0" xfId="0" applyFont="1" applyFill="1" applyBorder="1" applyAlignment="1" applyProtection="1">
      <alignment vertical="center"/>
    </xf>
    <xf numFmtId="171" fontId="4" fillId="8" borderId="0" xfId="0" applyNumberFormat="1" applyFont="1" applyFill="1" applyBorder="1" applyAlignment="1" applyProtection="1">
      <alignment vertical="center"/>
      <protection locked="0"/>
    </xf>
    <xf numFmtId="0" fontId="4" fillId="9" borderId="2" xfId="0" applyFont="1" applyFill="1" applyBorder="1" applyAlignment="1">
      <alignment horizontal="center" vertical="center"/>
    </xf>
    <xf numFmtId="0" fontId="4" fillId="9" borderId="4" xfId="0" applyFont="1" applyFill="1" applyBorder="1" applyAlignment="1">
      <alignment horizontal="center" vertical="center"/>
    </xf>
    <xf numFmtId="0" fontId="15" fillId="3" borderId="0" xfId="0" applyFont="1" applyFill="1" applyAlignment="1">
      <alignment vertical="center"/>
    </xf>
    <xf numFmtId="0" fontId="20" fillId="3" borderId="0" xfId="0" applyFont="1" applyFill="1" applyAlignment="1">
      <alignment vertical="center"/>
    </xf>
    <xf numFmtId="37" fontId="4" fillId="3" borderId="7" xfId="0" applyNumberFormat="1" applyFont="1" applyFill="1" applyBorder="1" applyAlignment="1">
      <alignment vertical="center"/>
    </xf>
    <xf numFmtId="37" fontId="17" fillId="3" borderId="0" xfId="0" applyNumberFormat="1" applyFont="1" applyFill="1" applyAlignment="1" applyProtection="1">
      <alignment horizontal="left" vertical="center"/>
    </xf>
    <xf numFmtId="0" fontId="3" fillId="2" borderId="7" xfId="0" applyFont="1" applyFill="1" applyBorder="1" applyAlignment="1" applyProtection="1">
      <alignment horizontal="center" vertical="center"/>
      <protection locked="0"/>
    </xf>
    <xf numFmtId="0" fontId="3" fillId="10" borderId="0" xfId="0" applyFont="1" applyFill="1" applyAlignment="1" applyProtection="1">
      <alignment vertical="center"/>
    </xf>
    <xf numFmtId="0" fontId="4" fillId="3" borderId="0" xfId="0" applyNumberFormat="1" applyFont="1" applyFill="1" applyAlignment="1" applyProtection="1">
      <alignment horizontal="center" vertical="center"/>
    </xf>
    <xf numFmtId="37" fontId="3" fillId="11" borderId="0" xfId="0" applyNumberFormat="1" applyFont="1" applyFill="1" applyAlignment="1" applyProtection="1">
      <alignment horizontal="left" vertical="center"/>
    </xf>
    <xf numFmtId="0" fontId="4" fillId="11" borderId="0" xfId="0" applyFont="1" applyFill="1" applyAlignment="1" applyProtection="1">
      <alignment vertical="center"/>
    </xf>
    <xf numFmtId="0" fontId="5" fillId="9" borderId="14" xfId="0" applyNumberFormat="1" applyFont="1" applyFill="1" applyBorder="1" applyAlignment="1" applyProtection="1">
      <alignment horizontal="center" vertical="center"/>
    </xf>
    <xf numFmtId="0" fontId="5" fillId="9" borderId="2" xfId="0" applyNumberFormat="1" applyFont="1" applyFill="1" applyBorder="1" applyAlignment="1" applyProtection="1">
      <alignment horizontal="center" vertical="center"/>
    </xf>
    <xf numFmtId="0" fontId="5" fillId="3" borderId="0" xfId="0" applyFont="1" applyFill="1" applyAlignment="1" applyProtection="1">
      <alignment horizontal="center" vertical="center"/>
    </xf>
    <xf numFmtId="0" fontId="4" fillId="9" borderId="8" xfId="0" applyFont="1" applyFill="1" applyBorder="1" applyAlignment="1">
      <alignment horizontal="center" vertical="center"/>
    </xf>
    <xf numFmtId="37" fontId="4" fillId="9" borderId="4" xfId="0" applyNumberFormat="1" applyFont="1" applyFill="1" applyBorder="1" applyAlignment="1" applyProtection="1">
      <alignment horizontal="center" vertical="center"/>
    </xf>
    <xf numFmtId="0" fontId="4" fillId="3" borderId="1" xfId="0" applyFont="1" applyFill="1" applyBorder="1" applyAlignment="1" applyProtection="1">
      <alignment horizontal="left" vertical="center"/>
    </xf>
    <xf numFmtId="37" fontId="4" fillId="3" borderId="12" xfId="0" applyNumberFormat="1" applyFont="1" applyFill="1" applyBorder="1" applyAlignment="1" applyProtection="1">
      <alignment vertical="center"/>
    </xf>
    <xf numFmtId="37" fontId="4" fillId="6" borderId="7" xfId="0" applyNumberFormat="1" applyFont="1" applyFill="1" applyBorder="1" applyAlignment="1">
      <alignment vertical="center"/>
    </xf>
    <xf numFmtId="0" fontId="4" fillId="3" borderId="1" xfId="0" applyFont="1" applyFill="1" applyBorder="1" applyAlignment="1" applyProtection="1">
      <alignment vertical="center"/>
      <protection locked="0"/>
    </xf>
    <xf numFmtId="37" fontId="4" fillId="3" borderId="0" xfId="0" applyNumberFormat="1" applyFont="1" applyFill="1" applyBorder="1" applyAlignment="1" applyProtection="1">
      <alignment horizontal="right" vertical="center"/>
    </xf>
    <xf numFmtId="165" fontId="4" fillId="4" borderId="4" xfId="0" applyNumberFormat="1" applyFont="1" applyFill="1" applyBorder="1" applyAlignment="1" applyProtection="1">
      <alignment vertical="center"/>
      <protection locked="0"/>
    </xf>
    <xf numFmtId="165" fontId="4" fillId="4" borderId="7" xfId="0" applyNumberFormat="1" applyFont="1" applyFill="1" applyBorder="1" applyAlignment="1" applyProtection="1">
      <alignment vertical="center"/>
      <protection locked="0"/>
    </xf>
    <xf numFmtId="165" fontId="4" fillId="3" borderId="1" xfId="0" applyNumberFormat="1" applyFont="1" applyFill="1" applyBorder="1" applyAlignment="1" applyProtection="1">
      <alignment vertical="center"/>
    </xf>
    <xf numFmtId="165" fontId="4" fillId="6" borderId="11" xfId="0" applyNumberFormat="1" applyFont="1" applyFill="1" applyBorder="1" applyAlignment="1" applyProtection="1">
      <alignment vertical="center"/>
    </xf>
    <xf numFmtId="37" fontId="4" fillId="10" borderId="1" xfId="0" applyNumberFormat="1" applyFont="1" applyFill="1" applyBorder="1" applyAlignment="1" applyProtection="1">
      <alignment horizontal="left" vertical="center"/>
    </xf>
    <xf numFmtId="0" fontId="4" fillId="10" borderId="1" xfId="0" applyFont="1" applyFill="1" applyBorder="1" applyAlignment="1" applyProtection="1">
      <alignment vertical="center"/>
    </xf>
    <xf numFmtId="37" fontId="4" fillId="10" borderId="12" xfId="0" applyNumberFormat="1" applyFont="1" applyFill="1" applyBorder="1" applyAlignment="1" applyProtection="1">
      <alignment horizontal="left" vertical="center"/>
    </xf>
    <xf numFmtId="0" fontId="4" fillId="10" borderId="12" xfId="0" applyFont="1" applyFill="1" applyBorder="1" applyAlignment="1" applyProtection="1">
      <alignment vertical="center"/>
    </xf>
    <xf numFmtId="0" fontId="4" fillId="3" borderId="1" xfId="0" applyFont="1" applyFill="1" applyBorder="1" applyAlignment="1" applyProtection="1">
      <alignment horizontal="center" vertical="center"/>
    </xf>
    <xf numFmtId="0" fontId="4" fillId="3" borderId="3" xfId="0" applyFont="1" applyFill="1" applyBorder="1" applyAlignment="1" applyProtection="1">
      <alignment vertical="center"/>
      <protection locked="0"/>
    </xf>
    <xf numFmtId="0" fontId="4" fillId="3" borderId="6" xfId="0" applyFont="1" applyFill="1" applyBorder="1" applyAlignment="1" applyProtection="1">
      <alignment vertical="center"/>
      <protection locked="0"/>
    </xf>
    <xf numFmtId="0" fontId="4" fillId="3" borderId="12" xfId="0" applyFont="1" applyFill="1" applyBorder="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lignment vertical="center" wrapText="1"/>
    </xf>
    <xf numFmtId="0" fontId="4" fillId="0" borderId="0" xfId="0" applyFont="1" applyAlignment="1" applyProtection="1">
      <alignment horizontal="left" vertical="center" wrapText="1"/>
    </xf>
    <xf numFmtId="0" fontId="3" fillId="0" borderId="0" xfId="0" applyFont="1" applyAlignment="1">
      <alignment horizontal="center" vertical="center"/>
    </xf>
    <xf numFmtId="0" fontId="4" fillId="0" borderId="0" xfId="109" applyFont="1" applyAlignment="1">
      <alignment vertical="center" wrapText="1"/>
    </xf>
    <xf numFmtId="0" fontId="4" fillId="0" borderId="0" xfId="0" applyFont="1" applyAlignment="1">
      <alignment horizontal="left" vertical="center"/>
    </xf>
    <xf numFmtId="0" fontId="4" fillId="0" borderId="0" xfId="0" applyFont="1" applyAlignment="1" applyProtection="1">
      <alignment vertical="center" wrapText="1"/>
    </xf>
    <xf numFmtId="0" fontId="18" fillId="0" borderId="0" xfId="0" applyFont="1" applyAlignment="1">
      <alignment vertical="center" wrapText="1"/>
    </xf>
    <xf numFmtId="0" fontId="4" fillId="2" borderId="0" xfId="0" applyFont="1" applyFill="1" applyAlignment="1" applyProtection="1">
      <alignment vertical="center" wrapText="1"/>
    </xf>
    <xf numFmtId="0" fontId="4" fillId="0" borderId="0" xfId="0" applyFont="1" applyFill="1" applyAlignment="1" applyProtection="1">
      <alignment vertical="center" wrapText="1"/>
    </xf>
    <xf numFmtId="0" fontId="4" fillId="3" borderId="0" xfId="0" applyFont="1" applyFill="1" applyAlignment="1">
      <alignment vertical="center" wrapText="1"/>
    </xf>
    <xf numFmtId="0" fontId="4" fillId="9" borderId="0" xfId="0" applyFont="1" applyFill="1" applyAlignment="1">
      <alignment vertical="center" wrapText="1"/>
    </xf>
    <xf numFmtId="0" fontId="4" fillId="0" borderId="0" xfId="0" applyNumberFormat="1" applyFont="1" applyAlignment="1">
      <alignment vertical="center" wrapText="1"/>
    </xf>
    <xf numFmtId="0" fontId="5" fillId="0" borderId="0" xfId="0" applyFont="1" applyAlignment="1">
      <alignment vertical="center"/>
    </xf>
    <xf numFmtId="0" fontId="0" fillId="0" borderId="0" xfId="0" applyAlignment="1"/>
    <xf numFmtId="0" fontId="4" fillId="0" borderId="0" xfId="350" applyFont="1" applyAlignment="1">
      <alignment vertical="center"/>
    </xf>
    <xf numFmtId="0" fontId="4" fillId="0" borderId="0" xfId="379" applyFont="1" applyAlignment="1">
      <alignment vertical="center"/>
    </xf>
    <xf numFmtId="0" fontId="19" fillId="0" borderId="0" xfId="0" applyFont="1" applyAlignment="1"/>
    <xf numFmtId="0" fontId="19" fillId="0" borderId="0" xfId="0" applyFont="1"/>
    <xf numFmtId="0" fontId="2" fillId="0" borderId="0" xfId="0" applyFont="1"/>
    <xf numFmtId="0" fontId="31" fillId="0" borderId="0" xfId="0" applyFont="1" applyAlignment="1">
      <alignment horizontal="center"/>
    </xf>
    <xf numFmtId="0" fontId="4" fillId="12" borderId="0" xfId="0" applyFont="1" applyFill="1" applyAlignment="1" applyProtection="1">
      <alignment horizontal="centerContinuous" vertical="center"/>
    </xf>
    <xf numFmtId="37" fontId="4" fillId="12" borderId="0" xfId="0" applyNumberFormat="1" applyFont="1" applyFill="1" applyAlignment="1" applyProtection="1">
      <alignment horizontal="centerContinuous" vertical="center"/>
    </xf>
    <xf numFmtId="0" fontId="1" fillId="0" borderId="0" xfId="392"/>
    <xf numFmtId="0" fontId="4" fillId="0" borderId="0" xfId="392" applyFont="1" applyAlignment="1">
      <alignment horizontal="left" vertical="center"/>
    </xf>
    <xf numFmtId="0" fontId="1" fillId="0" borderId="0" xfId="392" applyNumberFormat="1" applyFont="1" applyAlignment="1">
      <alignment horizontal="left" vertical="center"/>
    </xf>
    <xf numFmtId="49" fontId="4" fillId="13" borderId="0" xfId="392" applyNumberFormat="1" applyFont="1" applyFill="1" applyAlignment="1" applyProtection="1">
      <alignment horizontal="left" vertical="center"/>
      <protection locked="0"/>
    </xf>
    <xf numFmtId="175" fontId="22" fillId="0" borderId="0" xfId="392" applyNumberFormat="1" applyFont="1" applyAlignment="1">
      <alignment horizontal="left" vertical="center"/>
    </xf>
    <xf numFmtId="49" fontId="4" fillId="0" borderId="0" xfId="392" applyNumberFormat="1" applyFont="1" applyAlignment="1">
      <alignment horizontal="left" vertical="center"/>
    </xf>
    <xf numFmtId="0" fontId="22" fillId="0" borderId="0" xfId="392" applyFont="1" applyAlignment="1">
      <alignment horizontal="left" vertical="center"/>
    </xf>
    <xf numFmtId="176" fontId="22" fillId="0" borderId="0" xfId="392" applyNumberFormat="1" applyFont="1" applyAlignment="1">
      <alignment horizontal="left" vertical="center"/>
    </xf>
    <xf numFmtId="0" fontId="4" fillId="13" borderId="0" xfId="392" applyFont="1" applyFill="1" applyAlignment="1" applyProtection="1">
      <alignment horizontal="left" vertical="center"/>
      <protection locked="0"/>
    </xf>
    <xf numFmtId="0" fontId="1" fillId="13" borderId="0" xfId="392" applyFill="1" applyAlignment="1" applyProtection="1">
      <alignment horizontal="left" vertical="center"/>
      <protection locked="0"/>
    </xf>
    <xf numFmtId="0" fontId="2" fillId="0" borderId="0" xfId="154" applyFont="1"/>
    <xf numFmtId="0" fontId="2" fillId="0" borderId="0" xfId="154" applyFont="1" applyFill="1"/>
    <xf numFmtId="0" fontId="4" fillId="0" borderId="0" xfId="88" applyFont="1" applyAlignment="1">
      <alignment vertical="center" wrapText="1"/>
    </xf>
    <xf numFmtId="0" fontId="2" fillId="0" borderId="0" xfId="0" quotePrefix="1" applyFont="1"/>
    <xf numFmtId="0" fontId="2" fillId="0" borderId="0" xfId="0" applyFont="1" applyAlignment="1"/>
    <xf numFmtId="0" fontId="19" fillId="0" borderId="0" xfId="0" applyFont="1" applyAlignment="1">
      <alignment horizontal="center"/>
    </xf>
    <xf numFmtId="0" fontId="4" fillId="0" borderId="0" xfId="405" applyFont="1" applyAlignment="1">
      <alignment vertical="center"/>
    </xf>
    <xf numFmtId="0" fontId="5" fillId="0" borderId="0" xfId="79" applyFont="1" applyAlignment="1">
      <alignment vertical="center"/>
    </xf>
    <xf numFmtId="0" fontId="4" fillId="0" borderId="0" xfId="84" applyFont="1" applyAlignment="1">
      <alignment vertical="center"/>
    </xf>
    <xf numFmtId="0" fontId="4" fillId="3" borderId="0" xfId="0" applyFont="1" applyFill="1"/>
    <xf numFmtId="0" fontId="5" fillId="0" borderId="0" xfId="78" applyFont="1" applyAlignment="1">
      <alignment vertical="center"/>
    </xf>
    <xf numFmtId="0" fontId="52" fillId="3" borderId="0" xfId="0" applyFont="1" applyFill="1" applyAlignment="1" applyProtection="1">
      <alignment horizontal="right" vertical="center"/>
      <protection locked="0"/>
    </xf>
    <xf numFmtId="0" fontId="7" fillId="3" borderId="0" xfId="0" applyFont="1" applyFill="1" applyAlignment="1" applyProtection="1">
      <alignment horizontal="left" vertical="center"/>
      <protection locked="0"/>
    </xf>
    <xf numFmtId="14" fontId="4" fillId="4" borderId="7" xfId="0" applyNumberFormat="1" applyFont="1" applyFill="1" applyBorder="1" applyAlignment="1" applyProtection="1">
      <alignment vertical="center"/>
      <protection locked="0"/>
    </xf>
    <xf numFmtId="37" fontId="4" fillId="2" borderId="1" xfId="0" applyNumberFormat="1" applyFont="1" applyFill="1" applyBorder="1" applyAlignment="1" applyProtection="1">
      <alignment horizontal="left"/>
      <protection locked="0"/>
    </xf>
    <xf numFmtId="37" fontId="4" fillId="2" borderId="12" xfId="0" applyNumberFormat="1" applyFont="1" applyFill="1" applyBorder="1" applyAlignment="1" applyProtection="1">
      <alignment horizontal="left"/>
      <protection locked="0"/>
    </xf>
    <xf numFmtId="37" fontId="4" fillId="4" borderId="7" xfId="0" applyNumberFormat="1" applyFont="1" applyFill="1" applyBorder="1" applyAlignment="1" applyProtection="1">
      <alignment horizontal="left"/>
      <protection locked="0"/>
    </xf>
    <xf numFmtId="0" fontId="4" fillId="4" borderId="7" xfId="0" applyFont="1" applyFill="1" applyBorder="1" applyAlignment="1" applyProtection="1">
      <alignment horizontal="center"/>
      <protection locked="0"/>
    </xf>
    <xf numFmtId="3" fontId="3" fillId="3" borderId="5" xfId="0" applyNumberFormat="1" applyFont="1" applyFill="1" applyBorder="1" applyAlignment="1" applyProtection="1">
      <alignment vertical="center"/>
    </xf>
    <xf numFmtId="3" fontId="4" fillId="6" borderId="5" xfId="0" applyNumberFormat="1" applyFont="1" applyFill="1" applyBorder="1" applyAlignment="1" applyProtection="1">
      <alignment vertical="center"/>
    </xf>
    <xf numFmtId="3" fontId="15" fillId="5" borderId="5" xfId="0" applyNumberFormat="1" applyFont="1" applyFill="1" applyBorder="1" applyAlignment="1" applyProtection="1">
      <alignment horizontal="center" vertical="center"/>
      <protection locked="0"/>
    </xf>
    <xf numFmtId="3" fontId="15" fillId="5" borderId="5" xfId="0" applyNumberFormat="1" applyFont="1" applyFill="1" applyBorder="1" applyAlignment="1" applyProtection="1">
      <alignment horizontal="center" vertical="center"/>
    </xf>
    <xf numFmtId="1" fontId="4" fillId="3" borderId="14" xfId="0" applyNumberFormat="1" applyFont="1" applyFill="1" applyBorder="1" applyAlignment="1" applyProtection="1">
      <alignment horizontal="center" vertical="center"/>
    </xf>
    <xf numFmtId="37" fontId="4" fillId="3" borderId="8" xfId="0" applyNumberFormat="1" applyFont="1" applyFill="1" applyBorder="1" applyAlignment="1" applyProtection="1">
      <alignment horizontal="center" vertical="center"/>
    </xf>
    <xf numFmtId="3" fontId="4" fillId="3" borderId="5" xfId="0" applyNumberFormat="1" applyFont="1" applyFill="1" applyBorder="1" applyAlignment="1" applyProtection="1">
      <alignment vertical="center"/>
    </xf>
    <xf numFmtId="37" fontId="4" fillId="3" borderId="14" xfId="0" applyNumberFormat="1" applyFont="1" applyFill="1" applyBorder="1" applyAlignment="1" applyProtection="1">
      <alignment horizontal="center" vertical="center"/>
    </xf>
    <xf numFmtId="3" fontId="3" fillId="6" borderId="5" xfId="0" applyNumberFormat="1" applyFont="1" applyFill="1" applyBorder="1" applyAlignment="1" applyProtection="1">
      <alignment vertical="center"/>
    </xf>
    <xf numFmtId="3" fontId="15" fillId="7" borderId="5" xfId="0" applyNumberFormat="1" applyFont="1" applyFill="1" applyBorder="1" applyAlignment="1" applyProtection="1">
      <alignment horizontal="center" vertical="center"/>
    </xf>
    <xf numFmtId="0" fontId="4" fillId="12" borderId="0" xfId="0" applyFont="1" applyFill="1" applyAlignment="1" applyProtection="1">
      <alignment vertical="center"/>
      <protection locked="0"/>
    </xf>
    <xf numFmtId="49" fontId="4" fillId="4" borderId="7" xfId="0" applyNumberFormat="1" applyFont="1" applyFill="1" applyBorder="1" applyAlignment="1" applyProtection="1">
      <alignment horizontal="center" vertical="center"/>
      <protection locked="0"/>
    </xf>
    <xf numFmtId="0" fontId="13" fillId="0" borderId="0" xfId="0" applyFont="1" applyAlignment="1">
      <alignment wrapText="1"/>
    </xf>
    <xf numFmtId="0" fontId="16" fillId="3" borderId="7" xfId="0" applyFont="1" applyFill="1" applyBorder="1" applyAlignment="1" applyProtection="1">
      <alignment horizontal="center" vertical="center"/>
    </xf>
    <xf numFmtId="3" fontId="16" fillId="3" borderId="7" xfId="0" applyNumberFormat="1" applyFont="1" applyFill="1" applyBorder="1" applyAlignment="1" applyProtection="1">
      <alignment horizontal="center" vertical="center"/>
    </xf>
    <xf numFmtId="0" fontId="53" fillId="3" borderId="0" xfId="0" applyFont="1" applyFill="1" applyAlignment="1" applyProtection="1">
      <alignment horizontal="center" vertical="center"/>
    </xf>
    <xf numFmtId="37" fontId="3" fillId="3" borderId="0" xfId="0" applyNumberFormat="1" applyFont="1" applyFill="1" applyBorder="1" applyAlignment="1" applyProtection="1">
      <alignment vertical="center"/>
    </xf>
    <xf numFmtId="3" fontId="3" fillId="3" borderId="7" xfId="0" applyNumberFormat="1" applyFont="1" applyFill="1" applyBorder="1" applyAlignment="1" applyProtection="1">
      <alignment horizontal="center" vertical="center"/>
    </xf>
    <xf numFmtId="3" fontId="4" fillId="14" borderId="7" xfId="0" applyNumberFormat="1" applyFont="1" applyFill="1" applyBorder="1" applyAlignment="1" applyProtection="1">
      <alignment horizontal="center" vertical="center"/>
    </xf>
    <xf numFmtId="0" fontId="4" fillId="3" borderId="0" xfId="43" applyFont="1" applyFill="1" applyAlignment="1" applyProtection="1">
      <alignment horizontal="right" vertical="center"/>
    </xf>
    <xf numFmtId="1" fontId="3" fillId="3" borderId="7" xfId="0" applyNumberFormat="1" applyFont="1" applyFill="1" applyBorder="1" applyAlignment="1" applyProtection="1">
      <alignment horizontal="center" vertical="center"/>
    </xf>
    <xf numFmtId="0" fontId="4" fillId="13" borderId="0" xfId="0" applyFont="1" applyFill="1" applyAlignment="1" applyProtection="1">
      <alignment horizontal="left" vertical="center"/>
    </xf>
    <xf numFmtId="0" fontId="35" fillId="15" borderId="0" xfId="0" applyFont="1" applyFill="1"/>
    <xf numFmtId="0" fontId="35" fillId="0" borderId="0" xfId="0" applyFont="1"/>
    <xf numFmtId="0" fontId="35" fillId="12" borderId="0" xfId="0" applyFont="1" applyFill="1"/>
    <xf numFmtId="0" fontId="54" fillId="15" borderId="0" xfId="0" applyFont="1" applyFill="1" applyAlignment="1">
      <alignment horizontal="center" wrapText="1"/>
    </xf>
    <xf numFmtId="0" fontId="54" fillId="12" borderId="0" xfId="0" applyFont="1" applyFill="1"/>
    <xf numFmtId="0" fontId="35" fillId="12" borderId="0" xfId="0" applyFont="1" applyFill="1" applyAlignment="1">
      <alignment horizontal="center"/>
    </xf>
    <xf numFmtId="0" fontId="54" fillId="12" borderId="20" xfId="0" applyFont="1" applyFill="1" applyBorder="1"/>
    <xf numFmtId="0" fontId="35" fillId="12" borderId="21" xfId="0" applyFont="1" applyFill="1" applyBorder="1"/>
    <xf numFmtId="0" fontId="35" fillId="12" borderId="22" xfId="0" applyFont="1" applyFill="1" applyBorder="1"/>
    <xf numFmtId="177" fontId="35" fillId="12" borderId="23" xfId="0" applyNumberFormat="1" applyFont="1" applyFill="1" applyBorder="1"/>
    <xf numFmtId="0" fontId="35" fillId="12" borderId="0" xfId="0" applyFont="1" applyFill="1" applyBorder="1"/>
    <xf numFmtId="177" fontId="35" fillId="12" borderId="1" xfId="0" applyNumberFormat="1" applyFont="1" applyFill="1" applyBorder="1" applyAlignment="1">
      <alignment horizontal="center"/>
    </xf>
    <xf numFmtId="0" fontId="35" fillId="12" borderId="24" xfId="0" applyFont="1" applyFill="1" applyBorder="1"/>
    <xf numFmtId="0" fontId="35" fillId="12" borderId="25" xfId="0" applyFont="1" applyFill="1" applyBorder="1"/>
    <xf numFmtId="0" fontId="35" fillId="12" borderId="26" xfId="0" applyFont="1" applyFill="1" applyBorder="1"/>
    <xf numFmtId="0" fontId="35" fillId="12" borderId="27" xfId="0" applyFont="1" applyFill="1" applyBorder="1"/>
    <xf numFmtId="177" fontId="35" fillId="12" borderId="0" xfId="0" applyNumberFormat="1" applyFont="1" applyFill="1"/>
    <xf numFmtId="0" fontId="35" fillId="12" borderId="20" xfId="0" applyFont="1" applyFill="1" applyBorder="1"/>
    <xf numFmtId="0" fontId="35" fillId="12" borderId="28" xfId="0" applyFont="1" applyFill="1" applyBorder="1"/>
    <xf numFmtId="177" fontId="35" fillId="13" borderId="23" xfId="0" applyNumberFormat="1" applyFont="1" applyFill="1" applyBorder="1" applyAlignment="1" applyProtection="1">
      <alignment horizontal="center"/>
      <protection locked="0"/>
    </xf>
    <xf numFmtId="174" fontId="35" fillId="12" borderId="0" xfId="0" applyNumberFormat="1" applyFont="1" applyFill="1" applyBorder="1" applyAlignment="1">
      <alignment horizontal="center"/>
    </xf>
    <xf numFmtId="177" fontId="35" fillId="0" borderId="0" xfId="0" applyNumberFormat="1" applyFont="1"/>
    <xf numFmtId="0" fontId="55" fillId="0" borderId="0" xfId="0" applyFont="1" applyBorder="1"/>
    <xf numFmtId="0" fontId="35" fillId="0" borderId="0" xfId="0" applyFont="1" applyBorder="1"/>
    <xf numFmtId="0" fontId="54" fillId="0" borderId="0" xfId="0" applyFont="1" applyBorder="1" applyAlignment="1">
      <alignment horizontal="centerContinuous"/>
    </xf>
    <xf numFmtId="0" fontId="35" fillId="0" borderId="0" xfId="0" applyFont="1" applyBorder="1" applyAlignment="1">
      <alignment horizontal="centerContinuous"/>
    </xf>
    <xf numFmtId="0" fontId="35" fillId="15" borderId="0" xfId="0" applyFont="1" applyFill="1" applyBorder="1"/>
    <xf numFmtId="0" fontId="35" fillId="12" borderId="29" xfId="0" applyFont="1" applyFill="1" applyBorder="1"/>
    <xf numFmtId="0" fontId="35" fillId="12" borderId="15" xfId="0" applyFont="1" applyFill="1" applyBorder="1"/>
    <xf numFmtId="0" fontId="35" fillId="12" borderId="30" xfId="0" applyFont="1" applyFill="1" applyBorder="1"/>
    <xf numFmtId="5" fontId="35" fillId="12" borderId="26" xfId="0" applyNumberFormat="1" applyFont="1" applyFill="1" applyBorder="1" applyAlignment="1">
      <alignment horizontal="center"/>
    </xf>
    <xf numFmtId="0" fontId="35" fillId="12" borderId="26" xfId="0" applyFont="1" applyFill="1" applyBorder="1" applyAlignment="1">
      <alignment horizontal="center"/>
    </xf>
    <xf numFmtId="174" fontId="35" fillId="12" borderId="26" xfId="0" applyNumberFormat="1" applyFont="1" applyFill="1" applyBorder="1" applyAlignment="1">
      <alignment horizontal="center"/>
    </xf>
    <xf numFmtId="178" fontId="35" fillId="12" borderId="26" xfId="0" applyNumberFormat="1" applyFont="1" applyFill="1" applyBorder="1" applyAlignment="1">
      <alignment horizontal="center"/>
    </xf>
    <xf numFmtId="0" fontId="35" fillId="12" borderId="0" xfId="0" applyFont="1" applyFill="1" applyAlignment="1">
      <alignment horizontal="center" wrapText="1"/>
    </xf>
    <xf numFmtId="0" fontId="54" fillId="12" borderId="20" xfId="0" applyFont="1" applyFill="1" applyBorder="1" applyAlignment="1"/>
    <xf numFmtId="0" fontId="35" fillId="12" borderId="21" xfId="0" applyFont="1" applyFill="1" applyBorder="1" applyAlignment="1"/>
    <xf numFmtId="0" fontId="35" fillId="12" borderId="22" xfId="0" applyFont="1" applyFill="1" applyBorder="1" applyAlignment="1"/>
    <xf numFmtId="0" fontId="35" fillId="12" borderId="28" xfId="0" applyFont="1" applyFill="1" applyBorder="1" applyAlignment="1"/>
    <xf numFmtId="0" fontId="35" fillId="12" borderId="24" xfId="0" applyFont="1" applyFill="1" applyBorder="1" applyAlignment="1"/>
    <xf numFmtId="0" fontId="35" fillId="12" borderId="29" xfId="0" applyFont="1" applyFill="1" applyBorder="1" applyAlignment="1"/>
    <xf numFmtId="0" fontId="35" fillId="12" borderId="15" xfId="0" applyFont="1" applyFill="1" applyBorder="1" applyAlignment="1"/>
    <xf numFmtId="0" fontId="35" fillId="12" borderId="30" xfId="0" applyFont="1" applyFill="1" applyBorder="1" applyAlignment="1"/>
    <xf numFmtId="172" fontId="35" fillId="12" borderId="0" xfId="0" applyNumberFormat="1" applyFont="1" applyFill="1" applyBorder="1" applyAlignment="1">
      <alignment horizontal="center"/>
    </xf>
    <xf numFmtId="0" fontId="35" fillId="12" borderId="25" xfId="0" applyFont="1" applyFill="1" applyBorder="1" applyAlignment="1"/>
    <xf numFmtId="5" fontId="35" fillId="12" borderId="0" xfId="0" applyNumberFormat="1" applyFont="1" applyFill="1" applyBorder="1" applyAlignment="1">
      <alignment horizontal="center"/>
    </xf>
    <xf numFmtId="0" fontId="35" fillId="15" borderId="0" xfId="0" applyFont="1" applyFill="1" applyAlignment="1"/>
    <xf numFmtId="174" fontId="35" fillId="13" borderId="1" xfId="0" applyNumberFormat="1" applyFont="1" applyFill="1" applyBorder="1" applyAlignment="1" applyProtection="1">
      <alignment horizontal="center"/>
      <protection locked="0"/>
    </xf>
    <xf numFmtId="178" fontId="35" fillId="12" borderId="0" xfId="0" applyNumberFormat="1" applyFont="1" applyFill="1" applyBorder="1"/>
    <xf numFmtId="177" fontId="35" fillId="12" borderId="26" xfId="0" applyNumberFormat="1" applyFont="1" applyFill="1" applyBorder="1" applyAlignment="1">
      <alignment horizontal="center"/>
    </xf>
    <xf numFmtId="174" fontId="35" fillId="12" borderId="26" xfId="0" applyNumberFormat="1" applyFont="1" applyFill="1" applyBorder="1" applyAlignment="1" applyProtection="1">
      <alignment horizontal="center"/>
      <protection locked="0"/>
    </xf>
    <xf numFmtId="178" fontId="35" fillId="12" borderId="26" xfId="0" applyNumberFormat="1" applyFont="1" applyFill="1" applyBorder="1"/>
    <xf numFmtId="0" fontId="54" fillId="12" borderId="28" xfId="0" applyFont="1" applyFill="1" applyBorder="1" applyAlignment="1">
      <alignment horizontal="centerContinuous" vertical="center"/>
    </xf>
    <xf numFmtId="177" fontId="54" fillId="12" borderId="0" xfId="0" applyNumberFormat="1" applyFont="1" applyFill="1" applyBorder="1" applyAlignment="1">
      <alignment horizontal="centerContinuous" vertical="center"/>
    </xf>
    <xf numFmtId="0" fontId="54" fillId="12" borderId="0" xfId="0" applyFont="1" applyFill="1" applyBorder="1" applyAlignment="1">
      <alignment horizontal="centerContinuous" vertical="center"/>
    </xf>
    <xf numFmtId="174" fontId="54" fillId="12" borderId="0" xfId="0" applyNumberFormat="1" applyFont="1" applyFill="1" applyBorder="1" applyAlignment="1" applyProtection="1">
      <alignment horizontal="centerContinuous" vertical="center"/>
      <protection locked="0"/>
    </xf>
    <xf numFmtId="178" fontId="54" fillId="12" borderId="0" xfId="0" applyNumberFormat="1" applyFont="1" applyFill="1" applyBorder="1" applyAlignment="1">
      <alignment horizontal="centerContinuous" vertical="center"/>
    </xf>
    <xf numFmtId="0" fontId="54" fillId="12" borderId="24" xfId="0" applyFont="1" applyFill="1" applyBorder="1" applyAlignment="1">
      <alignment horizontal="centerContinuous" vertical="center"/>
    </xf>
    <xf numFmtId="0" fontId="54" fillId="12" borderId="28" xfId="0" applyFont="1" applyFill="1" applyBorder="1" applyAlignment="1">
      <alignment horizontal="centerContinuous"/>
    </xf>
    <xf numFmtId="177" fontId="54" fillId="12" borderId="0" xfId="0" applyNumberFormat="1" applyFont="1" applyFill="1" applyBorder="1" applyAlignment="1">
      <alignment horizontal="centerContinuous"/>
    </xf>
    <xf numFmtId="0" fontId="54" fillId="12" borderId="0" xfId="0" applyFont="1" applyFill="1" applyBorder="1" applyAlignment="1">
      <alignment horizontal="centerContinuous"/>
    </xf>
    <xf numFmtId="174" fontId="54" fillId="12" borderId="0" xfId="0" applyNumberFormat="1" applyFont="1" applyFill="1" applyBorder="1" applyAlignment="1" applyProtection="1">
      <alignment horizontal="centerContinuous"/>
      <protection locked="0"/>
    </xf>
    <xf numFmtId="178" fontId="54" fillId="12" borderId="0" xfId="0" applyNumberFormat="1" applyFont="1" applyFill="1" applyBorder="1" applyAlignment="1">
      <alignment horizontal="centerContinuous"/>
    </xf>
    <xf numFmtId="0" fontId="54" fillId="12" borderId="24" xfId="0" applyFont="1" applyFill="1" applyBorder="1" applyAlignment="1">
      <alignment horizontal="centerContinuous"/>
    </xf>
    <xf numFmtId="174" fontId="35" fillId="12" borderId="0" xfId="0" applyNumberFormat="1" applyFont="1" applyFill="1" applyBorder="1" applyAlignment="1" applyProtection="1">
      <alignment horizontal="center"/>
      <protection locked="0"/>
    </xf>
    <xf numFmtId="177" fontId="35" fillId="12" borderId="21" xfId="0" applyNumberFormat="1" applyFont="1" applyFill="1" applyBorder="1" applyAlignment="1">
      <alignment horizontal="center"/>
    </xf>
    <xf numFmtId="0" fontId="35" fillId="12" borderId="21" xfId="0" applyFont="1" applyFill="1" applyBorder="1" applyAlignment="1">
      <alignment horizontal="center"/>
    </xf>
    <xf numFmtId="174" fontId="35" fillId="12" borderId="21" xfId="0" applyNumberFormat="1" applyFont="1" applyFill="1" applyBorder="1" applyAlignment="1" applyProtection="1">
      <alignment horizontal="center"/>
      <protection locked="0"/>
    </xf>
    <xf numFmtId="178" fontId="35" fillId="12" borderId="21" xfId="0" applyNumberFormat="1" applyFont="1" applyFill="1" applyBorder="1"/>
    <xf numFmtId="177" fontId="35" fillId="12" borderId="0" xfId="0" applyNumberFormat="1" applyFont="1" applyFill="1" applyBorder="1" applyAlignment="1" applyProtection="1">
      <alignment horizontal="center"/>
      <protection locked="0"/>
    </xf>
    <xf numFmtId="0" fontId="35" fillId="16" borderId="0" xfId="0" applyFont="1" applyFill="1"/>
    <xf numFmtId="0" fontId="37" fillId="0" borderId="0" xfId="0" applyFont="1" applyAlignment="1">
      <alignment horizontal="center"/>
    </xf>
    <xf numFmtId="0" fontId="4" fillId="0" borderId="0" xfId="0" applyFont="1"/>
    <xf numFmtId="0" fontId="4" fillId="0" borderId="0" xfId="0" applyFont="1" applyAlignment="1">
      <alignment wrapText="1"/>
    </xf>
    <xf numFmtId="0" fontId="38" fillId="0" borderId="0" xfId="11" applyFont="1" applyAlignment="1" applyProtection="1"/>
    <xf numFmtId="37" fontId="3" fillId="3" borderId="1" xfId="0" applyNumberFormat="1" applyFont="1" applyFill="1" applyBorder="1" applyAlignment="1" applyProtection="1">
      <alignment vertical="center"/>
    </xf>
    <xf numFmtId="165" fontId="4" fillId="6" borderId="4" xfId="0" applyNumberFormat="1" applyFont="1" applyFill="1" applyBorder="1" applyAlignment="1" applyProtection="1">
      <alignment vertical="center"/>
    </xf>
    <xf numFmtId="37" fontId="4" fillId="3" borderId="31" xfId="0" applyNumberFormat="1" applyFont="1" applyFill="1" applyBorder="1" applyAlignment="1" applyProtection="1">
      <alignment vertical="center"/>
    </xf>
    <xf numFmtId="0" fontId="4" fillId="3" borderId="31" xfId="0" applyFont="1" applyFill="1" applyBorder="1" applyAlignment="1" applyProtection="1">
      <alignment vertical="center"/>
    </xf>
    <xf numFmtId="0" fontId="56" fillId="0" borderId="0" xfId="0" applyFont="1" applyAlignment="1">
      <alignment wrapText="1"/>
    </xf>
    <xf numFmtId="0" fontId="39" fillId="0" borderId="0" xfId="0" applyFont="1" applyAlignment="1" applyProtection="1">
      <alignment vertical="center"/>
    </xf>
    <xf numFmtId="0" fontId="4" fillId="12" borderId="16" xfId="0" applyFont="1" applyFill="1" applyBorder="1" applyAlignment="1" applyProtection="1">
      <alignment vertical="center"/>
    </xf>
    <xf numFmtId="0" fontId="4" fillId="12" borderId="0" xfId="0" applyFont="1" applyFill="1" applyBorder="1" applyAlignment="1" applyProtection="1">
      <alignment vertical="center"/>
    </xf>
    <xf numFmtId="0" fontId="4" fillId="12" borderId="10" xfId="0" applyFont="1" applyFill="1" applyBorder="1" applyAlignment="1" applyProtection="1">
      <alignment vertical="center"/>
    </xf>
    <xf numFmtId="177" fontId="8" fillId="12" borderId="16" xfId="0" applyNumberFormat="1" applyFont="1" applyFill="1" applyBorder="1" applyAlignment="1" applyProtection="1">
      <alignment horizontal="center" vertical="center"/>
    </xf>
    <xf numFmtId="0" fontId="8" fillId="12" borderId="0" xfId="0" applyFont="1" applyFill="1" applyBorder="1" applyAlignment="1" applyProtection="1">
      <alignment horizontal="left" vertical="center"/>
    </xf>
    <xf numFmtId="0" fontId="8" fillId="12" borderId="10" xfId="0" applyFont="1" applyFill="1" applyBorder="1" applyAlignment="1" applyProtection="1">
      <alignment vertical="center"/>
    </xf>
    <xf numFmtId="0" fontId="8" fillId="12" borderId="0" xfId="0" applyFont="1" applyFill="1" applyBorder="1" applyAlignment="1" applyProtection="1">
      <alignment vertical="center"/>
    </xf>
    <xf numFmtId="177" fontId="8" fillId="12" borderId="8" xfId="0" applyNumberFormat="1" applyFont="1" applyFill="1" applyBorder="1" applyAlignment="1" applyProtection="1">
      <alignment horizontal="center" vertical="center"/>
    </xf>
    <xf numFmtId="177" fontId="8" fillId="12" borderId="16" xfId="0" applyNumberFormat="1" applyFont="1" applyFill="1" applyBorder="1" applyAlignment="1" applyProtection="1">
      <alignment vertical="center"/>
    </xf>
    <xf numFmtId="177" fontId="41" fillId="17" borderId="8" xfId="0" applyNumberFormat="1" applyFont="1" applyFill="1" applyBorder="1" applyAlignment="1" applyProtection="1">
      <alignment horizontal="center" vertical="center"/>
    </xf>
    <xf numFmtId="0" fontId="41" fillId="17" borderId="1" xfId="0" applyFont="1" applyFill="1" applyBorder="1" applyAlignment="1" applyProtection="1">
      <alignment vertical="center"/>
    </xf>
    <xf numFmtId="0" fontId="8" fillId="17" borderId="3" xfId="0" applyFont="1" applyFill="1" applyBorder="1" applyAlignment="1" applyProtection="1">
      <alignment vertical="center"/>
    </xf>
    <xf numFmtId="0" fontId="4" fillId="17" borderId="3" xfId="0" applyFont="1" applyFill="1" applyBorder="1" applyAlignment="1" applyProtection="1">
      <alignment vertical="center"/>
    </xf>
    <xf numFmtId="0" fontId="4" fillId="0" borderId="0" xfId="0" applyFont="1" applyFill="1" applyBorder="1" applyAlignment="1" applyProtection="1">
      <alignment vertical="center"/>
    </xf>
    <xf numFmtId="0" fontId="8" fillId="12" borderId="16" xfId="0" applyFont="1" applyFill="1" applyBorder="1" applyAlignment="1" applyProtection="1">
      <alignment vertical="center"/>
    </xf>
    <xf numFmtId="177" fontId="8" fillId="12" borderId="10" xfId="0" applyNumberFormat="1" applyFont="1" applyFill="1" applyBorder="1" applyAlignment="1" applyProtection="1">
      <alignment horizontal="center" vertical="center"/>
    </xf>
    <xf numFmtId="0" fontId="8" fillId="12" borderId="16" xfId="0" applyFont="1" applyFill="1" applyBorder="1" applyAlignment="1" applyProtection="1">
      <alignment horizontal="left" vertical="center"/>
    </xf>
    <xf numFmtId="177" fontId="8" fillId="13" borderId="7" xfId="0" applyNumberFormat="1" applyFont="1" applyFill="1" applyBorder="1" applyAlignment="1" applyProtection="1">
      <alignment horizontal="center" vertical="center"/>
      <protection locked="0"/>
    </xf>
    <xf numFmtId="0" fontId="4" fillId="17" borderId="1" xfId="0" applyFont="1" applyFill="1" applyBorder="1" applyAlignment="1" applyProtection="1">
      <alignment vertical="center"/>
    </xf>
    <xf numFmtId="0" fontId="8" fillId="12" borderId="16" xfId="0" applyFont="1" applyFill="1" applyBorder="1" applyProtection="1"/>
    <xf numFmtId="0" fontId="4" fillId="12" borderId="0" xfId="0" applyFont="1" applyFill="1" applyBorder="1" applyProtection="1"/>
    <xf numFmtId="177" fontId="4" fillId="12" borderId="10" xfId="0" applyNumberFormat="1" applyFont="1" applyFill="1" applyBorder="1" applyAlignment="1" applyProtection="1">
      <alignment horizontal="center"/>
    </xf>
    <xf numFmtId="0" fontId="4" fillId="12" borderId="8" xfId="0" applyFont="1" applyFill="1" applyBorder="1" applyProtection="1"/>
    <xf numFmtId="0" fontId="4" fillId="12" borderId="1" xfId="0" applyFont="1" applyFill="1" applyBorder="1" applyProtection="1"/>
    <xf numFmtId="177" fontId="4" fillId="17" borderId="3" xfId="0" applyNumberFormat="1" applyFont="1" applyFill="1" applyBorder="1" applyAlignment="1" applyProtection="1">
      <alignment horizontal="center"/>
    </xf>
    <xf numFmtId="0" fontId="4" fillId="0" borderId="0" xfId="0" applyFont="1" applyFill="1" applyBorder="1" applyProtection="1"/>
    <xf numFmtId="0" fontId="4" fillId="12" borderId="16" xfId="0" applyFont="1" applyFill="1" applyBorder="1" applyProtection="1"/>
    <xf numFmtId="0" fontId="4" fillId="12" borderId="10" xfId="0" applyFont="1" applyFill="1" applyBorder="1" applyProtection="1"/>
    <xf numFmtId="0" fontId="4" fillId="17" borderId="8" xfId="0" applyFont="1" applyFill="1" applyBorder="1" applyProtection="1"/>
    <xf numFmtId="0" fontId="4" fillId="17" borderId="1" xfId="0" applyFont="1" applyFill="1" applyBorder="1" applyProtection="1"/>
    <xf numFmtId="0" fontId="4" fillId="0" borderId="0" xfId="0" applyFont="1" applyProtection="1"/>
    <xf numFmtId="177" fontId="4" fillId="12" borderId="3" xfId="0" applyNumberFormat="1" applyFont="1" applyFill="1" applyBorder="1" applyAlignment="1" applyProtection="1">
      <alignment horizontal="center"/>
    </xf>
    <xf numFmtId="0" fontId="4" fillId="17" borderId="8" xfId="0" applyFont="1" applyFill="1" applyBorder="1" applyAlignment="1" applyProtection="1">
      <alignment vertical="center"/>
    </xf>
    <xf numFmtId="177" fontId="4" fillId="17" borderId="3" xfId="0" applyNumberFormat="1" applyFont="1" applyFill="1" applyBorder="1" applyAlignment="1" applyProtection="1">
      <alignment horizontal="center" vertical="center"/>
    </xf>
    <xf numFmtId="37" fontId="4" fillId="3" borderId="4" xfId="0" applyNumberFormat="1" applyFont="1" applyFill="1" applyBorder="1" applyAlignment="1" applyProtection="1">
      <alignment horizontal="fill" vertical="center"/>
    </xf>
    <xf numFmtId="37" fontId="4" fillId="3" borderId="1" xfId="0" applyNumberFormat="1" applyFont="1" applyFill="1" applyBorder="1" applyAlignment="1" applyProtection="1">
      <alignment horizontal="center" vertical="center"/>
      <protection locked="0"/>
    </xf>
    <xf numFmtId="37" fontId="4" fillId="3" borderId="13" xfId="22" applyNumberFormat="1" applyFont="1" applyFill="1" applyBorder="1" applyAlignment="1" applyProtection="1">
      <alignment horizontal="center" vertical="center"/>
    </xf>
    <xf numFmtId="37" fontId="4" fillId="3" borderId="4" xfId="22" applyNumberFormat="1" applyFont="1" applyFill="1" applyBorder="1" applyAlignment="1" applyProtection="1">
      <alignment horizontal="center" vertical="center"/>
    </xf>
    <xf numFmtId="172" fontId="4" fillId="3" borderId="7" xfId="0" applyNumberFormat="1" applyFont="1" applyFill="1" applyBorder="1" applyAlignment="1" applyProtection="1">
      <alignment vertical="center"/>
    </xf>
    <xf numFmtId="3" fontId="4" fillId="3" borderId="31" xfId="0" applyNumberFormat="1" applyFont="1" applyFill="1" applyBorder="1" applyAlignment="1" applyProtection="1">
      <alignment vertical="center"/>
    </xf>
    <xf numFmtId="174" fontId="4" fillId="6" borderId="7" xfId="0" applyNumberFormat="1" applyFont="1" applyFill="1" applyBorder="1" applyAlignment="1" applyProtection="1">
      <alignment vertical="center"/>
    </xf>
    <xf numFmtId="3" fontId="4" fillId="6" borderId="4" xfId="0" applyNumberFormat="1" applyFont="1" applyFill="1" applyBorder="1" applyAlignment="1" applyProtection="1">
      <alignment vertical="center"/>
    </xf>
    <xf numFmtId="3" fontId="4" fillId="6" borderId="11" xfId="0" applyNumberFormat="1" applyFont="1" applyFill="1" applyBorder="1" applyAlignment="1" applyProtection="1">
      <alignment vertical="center"/>
    </xf>
    <xf numFmtId="3" fontId="4" fillId="3" borderId="4" xfId="0" applyNumberFormat="1" applyFont="1" applyFill="1" applyBorder="1" applyAlignment="1" applyProtection="1">
      <alignment vertical="center"/>
    </xf>
    <xf numFmtId="174" fontId="4" fillId="6" borderId="4" xfId="0" applyNumberFormat="1" applyFont="1" applyFill="1" applyBorder="1" applyAlignment="1" applyProtection="1">
      <alignment vertical="center"/>
    </xf>
    <xf numFmtId="37" fontId="4" fillId="3" borderId="0" xfId="0" applyNumberFormat="1" applyFont="1" applyFill="1" applyAlignment="1" applyProtection="1">
      <alignment horizontal="left" vertical="center"/>
      <protection locked="0"/>
    </xf>
    <xf numFmtId="3" fontId="4" fillId="13" borderId="7" xfId="0" applyNumberFormat="1" applyFont="1" applyFill="1" applyBorder="1" applyAlignment="1" applyProtection="1">
      <alignment horizontal="center" vertical="center"/>
      <protection locked="0"/>
    </xf>
    <xf numFmtId="0" fontId="4" fillId="13" borderId="0" xfId="0" applyFont="1" applyFill="1" applyAlignment="1" applyProtection="1">
      <alignment horizontal="left" vertical="center"/>
      <protection locked="0"/>
    </xf>
    <xf numFmtId="3" fontId="4" fillId="13" borderId="7" xfId="0" applyNumberFormat="1" applyFont="1" applyFill="1" applyBorder="1" applyAlignment="1" applyProtection="1">
      <alignment vertical="center"/>
      <protection locked="0"/>
    </xf>
    <xf numFmtId="0" fontId="3" fillId="3" borderId="0" xfId="22" applyFont="1" applyFill="1" applyAlignment="1" applyProtection="1">
      <alignment vertical="center"/>
    </xf>
    <xf numFmtId="0" fontId="4" fillId="0" borderId="0" xfId="43" applyFont="1" applyAlignment="1">
      <alignment vertical="center" wrapText="1"/>
    </xf>
    <xf numFmtId="0" fontId="4" fillId="0" borderId="0" xfId="43" applyFont="1" applyAlignment="1">
      <alignment vertical="center"/>
    </xf>
    <xf numFmtId="37" fontId="4" fillId="0" borderId="0" xfId="0" applyNumberFormat="1" applyFont="1" applyFill="1" applyAlignment="1" applyProtection="1">
      <alignment horizontal="left" vertical="center"/>
    </xf>
    <xf numFmtId="0" fontId="4" fillId="0" borderId="0" xfId="0" applyFont="1" applyFill="1" applyAlignment="1" applyProtection="1">
      <alignment vertical="center"/>
    </xf>
    <xf numFmtId="0" fontId="4" fillId="0" borderId="0" xfId="0" applyFont="1" applyFill="1" applyAlignment="1" applyProtection="1">
      <alignment horizontal="right" vertical="center"/>
    </xf>
    <xf numFmtId="37" fontId="4" fillId="0" borderId="0" xfId="0" applyNumberFormat="1" applyFont="1" applyFill="1" applyBorder="1" applyAlignment="1" applyProtection="1">
      <alignment horizontal="left" vertical="center"/>
      <protection locked="0"/>
    </xf>
    <xf numFmtId="0" fontId="4" fillId="3" borderId="0" xfId="10" applyNumberFormat="1" applyFont="1" applyFill="1" applyBorder="1" applyAlignment="1" applyProtection="1">
      <alignment horizontal="right" vertical="center"/>
    </xf>
    <xf numFmtId="0" fontId="54" fillId="12" borderId="0" xfId="0" applyFont="1" applyFill="1" applyAlignment="1">
      <alignment horizontal="center" wrapText="1"/>
    </xf>
    <xf numFmtId="0" fontId="54" fillId="12" borderId="0" xfId="0" applyFont="1" applyFill="1" applyAlignment="1">
      <alignment horizontal="center"/>
    </xf>
    <xf numFmtId="177" fontId="35" fillId="13" borderId="1" xfId="0" applyNumberFormat="1" applyFont="1" applyFill="1" applyBorder="1" applyAlignment="1" applyProtection="1">
      <alignment horizontal="center"/>
      <protection locked="0"/>
    </xf>
    <xf numFmtId="177" fontId="35" fillId="12" borderId="0" xfId="0" applyNumberFormat="1" applyFont="1" applyFill="1" applyAlignment="1">
      <alignment horizontal="center"/>
    </xf>
    <xf numFmtId="0" fontId="35" fillId="12" borderId="0" xfId="0" applyFont="1" applyFill="1" applyBorder="1" applyAlignment="1"/>
    <xf numFmtId="0" fontId="35" fillId="12" borderId="27" xfId="0" applyFont="1" applyFill="1" applyBorder="1" applyAlignment="1"/>
    <xf numFmtId="0" fontId="35" fillId="12" borderId="0" xfId="0" applyFont="1" applyFill="1" applyBorder="1" applyAlignment="1">
      <alignment horizontal="center"/>
    </xf>
    <xf numFmtId="177" fontId="35" fillId="12" borderId="0" xfId="0" applyNumberFormat="1" applyFont="1" applyFill="1" applyBorder="1" applyAlignment="1">
      <alignment horizontal="center"/>
    </xf>
    <xf numFmtId="0" fontId="35" fillId="12" borderId="15" xfId="0" applyFont="1" applyFill="1" applyBorder="1" applyAlignment="1">
      <alignment horizontal="center"/>
    </xf>
    <xf numFmtId="178" fontId="35" fillId="12" borderId="0" xfId="0" applyNumberFormat="1" applyFont="1" applyFill="1" applyBorder="1" applyAlignment="1">
      <alignment horizontal="center"/>
    </xf>
    <xf numFmtId="0" fontId="4" fillId="0" borderId="0" xfId="0" applyFont="1" applyBorder="1" applyAlignment="1">
      <alignment vertical="center"/>
    </xf>
    <xf numFmtId="0" fontId="4" fillId="3" borderId="0" xfId="0" applyFont="1" applyFill="1" applyBorder="1" applyAlignment="1">
      <alignment vertical="center"/>
    </xf>
    <xf numFmtId="37" fontId="3" fillId="3" borderId="4" xfId="0" applyNumberFormat="1" applyFont="1" applyFill="1" applyBorder="1" applyAlignment="1" applyProtection="1">
      <alignment horizontal="center" vertical="center"/>
    </xf>
    <xf numFmtId="37" fontId="3" fillId="3" borderId="2" xfId="0" applyNumberFormat="1" applyFont="1" applyFill="1" applyBorder="1" applyAlignment="1" applyProtection="1">
      <alignment horizontal="center" vertical="center"/>
    </xf>
    <xf numFmtId="0" fontId="4" fillId="12" borderId="0" xfId="28" applyFont="1" applyFill="1"/>
    <xf numFmtId="0" fontId="2" fillId="0" borderId="0" xfId="28"/>
    <xf numFmtId="0" fontId="4" fillId="12" borderId="0" xfId="28" applyFont="1" applyFill="1" applyAlignment="1">
      <alignment vertical="center"/>
    </xf>
    <xf numFmtId="37" fontId="4" fillId="12" borderId="0" xfId="28" applyNumberFormat="1" applyFont="1" applyFill="1" applyAlignment="1">
      <alignment vertical="center"/>
    </xf>
    <xf numFmtId="0" fontId="4" fillId="12" borderId="1" xfId="28" applyFont="1" applyFill="1" applyBorder="1" applyAlignment="1">
      <alignment vertical="center"/>
    </xf>
    <xf numFmtId="0" fontId="4" fillId="12" borderId="0" xfId="28" applyFont="1" applyFill="1" applyAlignment="1">
      <alignment horizontal="center" vertical="center"/>
    </xf>
    <xf numFmtId="0" fontId="5" fillId="12" borderId="0" xfId="28" applyFont="1" applyFill="1" applyAlignment="1">
      <alignment horizontal="center" vertical="center"/>
    </xf>
    <xf numFmtId="177" fontId="4" fillId="12" borderId="0" xfId="28" applyNumberFormat="1" applyFont="1" applyFill="1" applyAlignment="1">
      <alignment vertical="center"/>
    </xf>
    <xf numFmtId="177" fontId="4" fillId="12" borderId="15" xfId="28" applyNumberFormat="1" applyFont="1" applyFill="1" applyBorder="1" applyAlignment="1">
      <alignment vertical="center"/>
    </xf>
    <xf numFmtId="6" fontId="4" fillId="12" borderId="0" xfId="28" applyNumberFormat="1" applyFont="1" applyFill="1" applyBorder="1" applyAlignment="1">
      <alignment vertical="center"/>
    </xf>
    <xf numFmtId="177" fontId="4" fillId="12" borderId="0" xfId="28" applyNumberFormat="1" applyFont="1" applyFill="1" applyBorder="1" applyAlignment="1">
      <alignment vertical="center"/>
    </xf>
    <xf numFmtId="0" fontId="57" fillId="17" borderId="0" xfId="28" applyFont="1" applyFill="1" applyAlignment="1">
      <alignment vertical="center"/>
    </xf>
    <xf numFmtId="0" fontId="57" fillId="12" borderId="0" xfId="28" applyFont="1" applyFill="1" applyAlignment="1">
      <alignment horizontal="center" vertical="center"/>
    </xf>
    <xf numFmtId="174" fontId="4" fillId="12" borderId="0" xfId="28" applyNumberFormat="1" applyFont="1" applyFill="1" applyAlignment="1">
      <alignment horizontal="center" vertical="center"/>
    </xf>
    <xf numFmtId="179" fontId="57" fillId="12" borderId="0" xfId="28" applyNumberFormat="1" applyFont="1" applyFill="1" applyAlignment="1">
      <alignment horizontal="center" vertical="center"/>
    </xf>
    <xf numFmtId="0" fontId="57" fillId="17" borderId="0" xfId="28" applyFont="1" applyFill="1" applyAlignment="1">
      <alignment horizontal="center" vertical="center"/>
    </xf>
    <xf numFmtId="0" fontId="49" fillId="17" borderId="0" xfId="28" applyFont="1" applyFill="1" applyAlignment="1">
      <alignment horizontal="center" vertical="center"/>
    </xf>
    <xf numFmtId="0" fontId="4" fillId="12" borderId="0" xfId="28" applyFont="1" applyFill="1" applyAlignment="1">
      <alignment horizontal="right" vertical="center"/>
    </xf>
    <xf numFmtId="0" fontId="4" fillId="12" borderId="0" xfId="28" applyFont="1" applyFill="1" applyAlignment="1">
      <alignment horizontal="left" vertical="center"/>
    </xf>
    <xf numFmtId="0" fontId="4" fillId="12" borderId="0" xfId="25" applyFont="1" applyFill="1"/>
    <xf numFmtId="0" fontId="2" fillId="12" borderId="0" xfId="28" applyFill="1"/>
    <xf numFmtId="0" fontId="3" fillId="12" borderId="0" xfId="25" applyFont="1" applyFill="1"/>
    <xf numFmtId="0" fontId="2" fillId="12" borderId="0" xfId="25" applyFill="1"/>
    <xf numFmtId="0" fontId="30" fillId="0" borderId="0" xfId="11" applyAlignment="1" applyProtection="1"/>
    <xf numFmtId="0" fontId="4" fillId="17" borderId="0" xfId="0" applyFont="1" applyFill="1" applyBorder="1" applyAlignment="1" applyProtection="1">
      <alignment vertical="center"/>
    </xf>
    <xf numFmtId="37" fontId="4" fillId="3" borderId="0" xfId="22" applyNumberFormat="1" applyFont="1" applyFill="1" applyAlignment="1" applyProtection="1">
      <alignment vertical="center"/>
    </xf>
    <xf numFmtId="0" fontId="4" fillId="3" borderId="0" xfId="22" applyFont="1" applyFill="1" applyAlignment="1" applyProtection="1">
      <alignment vertical="center"/>
    </xf>
    <xf numFmtId="1" fontId="4" fillId="3" borderId="0" xfId="22" applyNumberFormat="1" applyFont="1" applyFill="1" applyBorder="1" applyAlignment="1" applyProtection="1">
      <alignment horizontal="right" vertical="center"/>
    </xf>
    <xf numFmtId="0" fontId="4" fillId="0" borderId="0" xfId="22" applyFont="1" applyProtection="1">
      <protection locked="0"/>
    </xf>
    <xf numFmtId="37" fontId="4" fillId="3" borderId="0" xfId="22" applyNumberFormat="1" applyFont="1" applyFill="1" applyAlignment="1" applyProtection="1">
      <alignment horizontal="right" vertical="center"/>
    </xf>
    <xf numFmtId="37" fontId="4" fillId="3" borderId="0" xfId="22" applyNumberFormat="1" applyFont="1" applyFill="1" applyAlignment="1" applyProtection="1">
      <alignment horizontal="fill" vertical="center"/>
    </xf>
    <xf numFmtId="37" fontId="4" fillId="3" borderId="0" xfId="22" quotePrefix="1" applyNumberFormat="1" applyFont="1" applyFill="1" applyAlignment="1" applyProtection="1">
      <alignment horizontal="right" vertical="center"/>
    </xf>
    <xf numFmtId="37" fontId="4" fillId="3" borderId="0" xfId="22" applyNumberFormat="1" applyFont="1" applyFill="1" applyAlignment="1" applyProtection="1">
      <alignment horizontal="left" vertical="center"/>
    </xf>
    <xf numFmtId="1" fontId="4" fillId="3" borderId="2" xfId="22" applyNumberFormat="1" applyFont="1" applyFill="1" applyBorder="1" applyAlignment="1" applyProtection="1">
      <alignment horizontal="center" vertical="center"/>
    </xf>
    <xf numFmtId="37" fontId="4" fillId="3" borderId="14" xfId="22" applyNumberFormat="1" applyFont="1" applyFill="1" applyBorder="1" applyAlignment="1" applyProtection="1">
      <alignment horizontal="center" vertical="center"/>
    </xf>
    <xf numFmtId="37" fontId="4" fillId="3" borderId="2" xfId="22" applyNumberFormat="1" applyFont="1" applyFill="1" applyBorder="1" applyAlignment="1" applyProtection="1">
      <alignment horizontal="center" vertical="center"/>
    </xf>
    <xf numFmtId="37" fontId="3" fillId="3" borderId="1" xfId="22" applyNumberFormat="1" applyFont="1" applyFill="1" applyBorder="1" applyAlignment="1" applyProtection="1">
      <alignment vertical="center"/>
    </xf>
    <xf numFmtId="0" fontId="4" fillId="3" borderId="4" xfId="22" applyNumberFormat="1" applyFont="1" applyFill="1" applyBorder="1" applyAlignment="1" applyProtection="1">
      <alignment horizontal="center" vertical="center"/>
    </xf>
    <xf numFmtId="0" fontId="4" fillId="3" borderId="8" xfId="22" applyNumberFormat="1" applyFont="1" applyFill="1" applyBorder="1" applyAlignment="1" applyProtection="1">
      <alignment horizontal="center" vertical="center"/>
    </xf>
    <xf numFmtId="1" fontId="4" fillId="3" borderId="4" xfId="22" applyNumberFormat="1" applyFont="1" applyFill="1" applyBorder="1" applyAlignment="1" applyProtection="1">
      <alignment horizontal="center" vertical="center"/>
    </xf>
    <xf numFmtId="37" fontId="4" fillId="3" borderId="5" xfId="22" applyNumberFormat="1" applyFont="1" applyFill="1" applyBorder="1" applyAlignment="1" applyProtection="1">
      <alignment horizontal="left" vertical="center"/>
    </xf>
    <xf numFmtId="37" fontId="4" fillId="2" borderId="5" xfId="22" applyNumberFormat="1" applyFont="1" applyFill="1" applyBorder="1" applyAlignment="1" applyProtection="1">
      <alignment vertical="center"/>
      <protection locked="0"/>
    </xf>
    <xf numFmtId="3" fontId="4" fillId="3" borderId="5" xfId="22" applyNumberFormat="1" applyFont="1" applyFill="1" applyBorder="1" applyAlignment="1" applyProtection="1">
      <alignment vertical="center"/>
    </xf>
    <xf numFmtId="3" fontId="4" fillId="3" borderId="7" xfId="22" applyNumberFormat="1" applyFont="1" applyFill="1" applyBorder="1" applyAlignment="1" applyProtection="1">
      <alignment vertical="center"/>
    </xf>
    <xf numFmtId="37" fontId="4" fillId="3" borderId="5" xfId="22" applyNumberFormat="1" applyFont="1" applyFill="1" applyBorder="1" applyAlignment="1" applyProtection="1">
      <alignment vertical="center"/>
    </xf>
    <xf numFmtId="37" fontId="4" fillId="2" borderId="5" xfId="22" applyNumberFormat="1" applyFont="1" applyFill="1" applyBorder="1" applyAlignment="1" applyProtection="1">
      <alignment horizontal="right" vertical="center"/>
      <protection locked="0"/>
    </xf>
    <xf numFmtId="3" fontId="4" fillId="3" borderId="7" xfId="22" applyNumberFormat="1" applyFont="1" applyFill="1" applyBorder="1" applyAlignment="1" applyProtection="1">
      <alignment horizontal="fill" vertical="center"/>
    </xf>
    <xf numFmtId="3" fontId="4" fillId="4" borderId="5" xfId="22" applyNumberFormat="1" applyFont="1" applyFill="1" applyBorder="1" applyAlignment="1" applyProtection="1">
      <alignment vertical="center"/>
      <protection locked="0"/>
    </xf>
    <xf numFmtId="3" fontId="4" fillId="4" borderId="7" xfId="22" applyNumberFormat="1" applyFont="1" applyFill="1" applyBorder="1" applyAlignment="1" applyProtection="1">
      <alignment vertical="center"/>
      <protection locked="0"/>
    </xf>
    <xf numFmtId="0" fontId="4" fillId="3" borderId="5" xfId="22" applyFont="1" applyFill="1" applyBorder="1" applyAlignment="1" applyProtection="1">
      <alignment vertical="center"/>
    </xf>
    <xf numFmtId="0" fontId="4" fillId="4" borderId="5" xfId="22" applyFont="1" applyFill="1" applyBorder="1" applyAlignment="1" applyProtection="1">
      <alignment horizontal="left" vertical="center"/>
      <protection locked="0"/>
    </xf>
    <xf numFmtId="0" fontId="4" fillId="4" borderId="7" xfId="22" applyFont="1" applyFill="1" applyBorder="1" applyAlignment="1" applyProtection="1">
      <alignment horizontal="left" vertical="center"/>
      <protection locked="0"/>
    </xf>
    <xf numFmtId="37" fontId="4" fillId="4" borderId="5" xfId="22" applyNumberFormat="1" applyFont="1" applyFill="1" applyBorder="1" applyAlignment="1" applyProtection="1">
      <alignment horizontal="left" vertical="center"/>
      <protection locked="0"/>
    </xf>
    <xf numFmtId="3" fontId="4" fillId="2" borderId="5" xfId="22" applyNumberFormat="1" applyFont="1" applyFill="1" applyBorder="1" applyAlignment="1" applyProtection="1">
      <alignment horizontal="right" vertical="center"/>
      <protection locked="0"/>
    </xf>
    <xf numFmtId="3" fontId="15" fillId="7" borderId="5" xfId="22" applyNumberFormat="1" applyFont="1" applyFill="1" applyBorder="1" applyAlignment="1" applyProtection="1">
      <alignment horizontal="center" vertical="center"/>
    </xf>
    <xf numFmtId="3" fontId="15" fillId="7" borderId="7" xfId="22" applyNumberFormat="1" applyFont="1" applyFill="1" applyBorder="1" applyAlignment="1" applyProtection="1">
      <alignment horizontal="center" vertical="center"/>
    </xf>
    <xf numFmtId="37" fontId="3" fillId="3" borderId="5" xfId="22" applyNumberFormat="1" applyFont="1" applyFill="1" applyBorder="1" applyAlignment="1" applyProtection="1">
      <alignment horizontal="left" vertical="center"/>
    </xf>
    <xf numFmtId="3" fontId="3" fillId="3" borderId="5" xfId="22" applyNumberFormat="1" applyFont="1" applyFill="1" applyBorder="1" applyAlignment="1" applyProtection="1">
      <alignment vertical="center"/>
    </xf>
    <xf numFmtId="3" fontId="3" fillId="3" borderId="7" xfId="22" applyNumberFormat="1" applyFont="1" applyFill="1" applyBorder="1" applyAlignment="1" applyProtection="1">
      <alignment vertical="center"/>
    </xf>
    <xf numFmtId="0" fontId="8" fillId="12" borderId="16" xfId="22" applyFont="1" applyFill="1" applyBorder="1" applyAlignment="1" applyProtection="1">
      <alignment vertical="center"/>
    </xf>
    <xf numFmtId="0" fontId="4" fillId="12" borderId="0" xfId="22" applyFont="1" applyFill="1" applyBorder="1" applyAlignment="1" applyProtection="1">
      <alignment vertical="center"/>
    </xf>
    <xf numFmtId="0" fontId="8" fillId="12" borderId="0" xfId="22" applyFont="1" applyFill="1" applyBorder="1" applyAlignment="1" applyProtection="1">
      <alignment vertical="center"/>
    </xf>
    <xf numFmtId="177" fontId="8" fillId="12" borderId="10" xfId="22" applyNumberFormat="1" applyFont="1" applyFill="1" applyBorder="1" applyAlignment="1" applyProtection="1">
      <alignment horizontal="center" vertical="center"/>
    </xf>
    <xf numFmtId="0" fontId="8" fillId="12" borderId="16" xfId="22" applyFont="1" applyFill="1" applyBorder="1" applyAlignment="1" applyProtection="1">
      <alignment horizontal="left" vertical="center"/>
    </xf>
    <xf numFmtId="177" fontId="8" fillId="13" borderId="7" xfId="22" applyNumberFormat="1" applyFont="1" applyFill="1" applyBorder="1" applyAlignment="1" applyProtection="1">
      <alignment horizontal="center" vertical="center"/>
      <protection locked="0"/>
    </xf>
    <xf numFmtId="174" fontId="41" fillId="12" borderId="6" xfId="22" applyNumberFormat="1" applyFont="1" applyFill="1" applyBorder="1" applyAlignment="1" applyProtection="1">
      <alignment horizontal="center" vertical="center"/>
    </xf>
    <xf numFmtId="0" fontId="41" fillId="17" borderId="16" xfId="22" applyFont="1" applyFill="1" applyBorder="1" applyAlignment="1" applyProtection="1">
      <alignment vertical="center"/>
    </xf>
    <xf numFmtId="0" fontId="4" fillId="17" borderId="0" xfId="22" applyFont="1" applyFill="1" applyBorder="1" applyAlignment="1" applyProtection="1">
      <alignment vertical="center"/>
    </xf>
    <xf numFmtId="0" fontId="8" fillId="17" borderId="0" xfId="22" applyFont="1" applyFill="1" applyBorder="1" applyAlignment="1" applyProtection="1">
      <alignment vertical="center"/>
    </xf>
    <xf numFmtId="177" fontId="41" fillId="17" borderId="6" xfId="22" applyNumberFormat="1" applyFont="1" applyFill="1" applyBorder="1" applyAlignment="1" applyProtection="1">
      <alignment horizontal="center" vertical="center"/>
    </xf>
    <xf numFmtId="37" fontId="8" fillId="3" borderId="8" xfId="22" applyNumberFormat="1" applyFont="1" applyFill="1" applyBorder="1" applyAlignment="1" applyProtection="1">
      <alignment horizontal="left" vertical="center"/>
    </xf>
    <xf numFmtId="0" fontId="45" fillId="12" borderId="1" xfId="22" applyFont="1" applyFill="1" applyBorder="1" applyAlignment="1">
      <alignment horizontal="left" vertical="center"/>
    </xf>
    <xf numFmtId="177" fontId="41" fillId="17" borderId="3" xfId="22" applyNumberFormat="1" applyFont="1" applyFill="1" applyBorder="1" applyAlignment="1" applyProtection="1">
      <alignment horizontal="center" vertical="center"/>
      <protection locked="0"/>
    </xf>
    <xf numFmtId="0" fontId="4" fillId="3" borderId="5" xfId="22" applyFont="1" applyFill="1" applyBorder="1" applyAlignment="1" applyProtection="1">
      <alignment vertical="center"/>
      <protection locked="0"/>
    </xf>
    <xf numFmtId="37" fontId="4" fillId="3" borderId="10" xfId="22" applyNumberFormat="1" applyFont="1" applyFill="1" applyBorder="1" applyAlignment="1" applyProtection="1">
      <alignment horizontal="right" vertical="center"/>
    </xf>
    <xf numFmtId="3" fontId="3" fillId="6" borderId="5" xfId="22" applyNumberFormat="1" applyFont="1" applyFill="1" applyBorder="1" applyAlignment="1" applyProtection="1">
      <alignment vertical="center"/>
    </xf>
    <xf numFmtId="3" fontId="3" fillId="6" borderId="7" xfId="22" applyNumberFormat="1" applyFont="1" applyFill="1" applyBorder="1" applyAlignment="1" applyProtection="1">
      <alignment vertical="center"/>
    </xf>
    <xf numFmtId="177" fontId="8" fillId="12" borderId="16" xfId="22" applyNumberFormat="1" applyFont="1" applyFill="1" applyBorder="1" applyAlignment="1" applyProtection="1">
      <alignment horizontal="center" vertical="center"/>
    </xf>
    <xf numFmtId="0" fontId="8" fillId="12" borderId="0" xfId="22" applyFont="1" applyFill="1" applyBorder="1" applyAlignment="1" applyProtection="1">
      <alignment horizontal="left" vertical="center"/>
    </xf>
    <xf numFmtId="0" fontId="8" fillId="12" borderId="10" xfId="22" applyFont="1" applyFill="1" applyBorder="1" applyAlignment="1" applyProtection="1">
      <alignment vertical="center"/>
    </xf>
    <xf numFmtId="3" fontId="4" fillId="6" borderId="5" xfId="22" applyNumberFormat="1" applyFont="1" applyFill="1" applyBorder="1" applyAlignment="1" applyProtection="1">
      <alignment vertical="center"/>
    </xf>
    <xf numFmtId="0" fontId="2" fillId="0" borderId="0" xfId="22"/>
    <xf numFmtId="0" fontId="4" fillId="3" borderId="0" xfId="22" applyFont="1" applyFill="1" applyAlignment="1" applyProtection="1">
      <alignment horizontal="right" vertical="center"/>
    </xf>
    <xf numFmtId="3" fontId="4" fillId="3" borderId="7" xfId="22" applyNumberFormat="1" applyFont="1" applyFill="1" applyBorder="1" applyAlignment="1" applyProtection="1">
      <alignment horizontal="center" vertical="center"/>
    </xf>
    <xf numFmtId="3" fontId="4" fillId="3" borderId="0" xfId="22" applyNumberFormat="1" applyFont="1" applyFill="1" applyAlignment="1" applyProtection="1">
      <alignment horizontal="center" vertical="center"/>
    </xf>
    <xf numFmtId="0" fontId="15" fillId="0" borderId="0" xfId="22" applyFont="1" applyAlignment="1" applyProtection="1">
      <alignment vertical="center"/>
    </xf>
    <xf numFmtId="177" fontId="8" fillId="12" borderId="8" xfId="22" applyNumberFormat="1" applyFont="1" applyFill="1" applyBorder="1" applyAlignment="1" applyProtection="1">
      <alignment horizontal="center" vertical="center"/>
    </xf>
    <xf numFmtId="0" fontId="58" fillId="0" borderId="0" xfId="22" applyFont="1" applyProtection="1">
      <protection locked="0"/>
    </xf>
    <xf numFmtId="0" fontId="46" fillId="0" borderId="0" xfId="22" applyFont="1" applyAlignment="1" applyProtection="1">
      <alignment vertical="center"/>
    </xf>
    <xf numFmtId="0" fontId="53" fillId="3" borderId="0" xfId="22" applyFont="1" applyFill="1" applyAlignment="1" applyProtection="1">
      <alignment horizontal="center" vertical="center"/>
    </xf>
    <xf numFmtId="177" fontId="8" fillId="12" borderId="16" xfId="22" applyNumberFormat="1" applyFont="1" applyFill="1" applyBorder="1" applyAlignment="1" applyProtection="1">
      <alignment vertical="center"/>
    </xf>
    <xf numFmtId="0" fontId="16" fillId="3" borderId="0" xfId="22" applyFont="1" applyFill="1" applyAlignment="1" applyProtection="1">
      <alignment horizontal="center" vertical="center"/>
    </xf>
    <xf numFmtId="3" fontId="4" fillId="6" borderId="7" xfId="22" applyNumberFormat="1" applyFont="1" applyFill="1" applyBorder="1" applyAlignment="1" applyProtection="1">
      <alignment vertical="center"/>
    </xf>
    <xf numFmtId="180" fontId="4" fillId="12" borderId="0" xfId="43" applyNumberFormat="1" applyFont="1" applyFill="1" applyAlignment="1">
      <alignment horizontal="center" vertical="center"/>
    </xf>
    <xf numFmtId="177" fontId="8" fillId="17" borderId="8" xfId="22" applyNumberFormat="1" applyFont="1" applyFill="1" applyBorder="1" applyAlignment="1" applyProtection="1">
      <alignment horizontal="center" vertical="center"/>
    </xf>
    <xf numFmtId="0" fontId="8" fillId="17" borderId="1" xfId="22" applyFont="1" applyFill="1" applyBorder="1" applyAlignment="1" applyProtection="1">
      <alignment vertical="center"/>
    </xf>
    <xf numFmtId="0" fontId="8" fillId="17" borderId="3" xfId="22" applyFont="1" applyFill="1" applyBorder="1" applyAlignment="1" applyProtection="1">
      <alignment vertical="center"/>
    </xf>
    <xf numFmtId="37" fontId="4" fillId="17" borderId="3" xfId="22" applyNumberFormat="1" applyFont="1" applyFill="1" applyBorder="1" applyAlignment="1" applyProtection="1">
      <alignment horizontal="right" vertical="center"/>
    </xf>
    <xf numFmtId="0" fontId="4" fillId="3" borderId="0" xfId="11" applyNumberFormat="1" applyFont="1" applyFill="1" applyBorder="1" applyAlignment="1" applyProtection="1">
      <alignment horizontal="right" vertical="center"/>
    </xf>
    <xf numFmtId="3" fontId="4" fillId="5" borderId="11" xfId="22" applyNumberFormat="1" applyFont="1" applyFill="1" applyBorder="1" applyAlignment="1" applyProtection="1">
      <alignment vertical="center"/>
    </xf>
    <xf numFmtId="174" fontId="4" fillId="12" borderId="0" xfId="22" applyNumberFormat="1" applyFont="1" applyFill="1" applyBorder="1" applyAlignment="1" applyProtection="1">
      <alignment vertical="center"/>
    </xf>
    <xf numFmtId="174" fontId="8" fillId="12" borderId="16" xfId="22" applyNumberFormat="1" applyFont="1" applyFill="1" applyBorder="1" applyAlignment="1" applyProtection="1">
      <alignment horizontal="center" vertical="center"/>
    </xf>
    <xf numFmtId="0" fontId="40" fillId="12" borderId="0" xfId="22" applyFont="1" applyFill="1" applyBorder="1" applyAlignment="1" applyProtection="1">
      <alignment horizontal="center" vertical="center"/>
    </xf>
    <xf numFmtId="0" fontId="2" fillId="12" borderId="10" xfId="22" applyFill="1" applyBorder="1" applyAlignment="1" applyProtection="1">
      <alignment vertical="center"/>
    </xf>
    <xf numFmtId="174" fontId="8" fillId="17" borderId="8" xfId="22" applyNumberFormat="1" applyFont="1" applyFill="1" applyBorder="1" applyAlignment="1" applyProtection="1">
      <alignment horizontal="center" vertical="center"/>
    </xf>
    <xf numFmtId="174" fontId="8" fillId="12" borderId="5" xfId="22" applyNumberFormat="1" applyFont="1" applyFill="1" applyBorder="1" applyAlignment="1" applyProtection="1">
      <alignment horizontal="center" vertical="center"/>
    </xf>
    <xf numFmtId="37" fontId="3" fillId="3" borderId="0" xfId="22" applyNumberFormat="1" applyFont="1" applyFill="1" applyBorder="1" applyAlignment="1" applyProtection="1">
      <alignment vertical="center"/>
    </xf>
    <xf numFmtId="174" fontId="8" fillId="17" borderId="5" xfId="22" applyNumberFormat="1" applyFont="1" applyFill="1" applyBorder="1" applyAlignment="1" applyProtection="1">
      <alignment horizontal="center" vertical="center"/>
    </xf>
    <xf numFmtId="0" fontId="8" fillId="12" borderId="1" xfId="22" applyFont="1" applyFill="1" applyBorder="1" applyAlignment="1" applyProtection="1">
      <alignment horizontal="left" vertical="center"/>
    </xf>
    <xf numFmtId="0" fontId="40" fillId="12" borderId="1" xfId="22" applyFont="1" applyFill="1" applyBorder="1" applyAlignment="1" applyProtection="1">
      <alignment horizontal="center" vertical="center"/>
    </xf>
    <xf numFmtId="0" fontId="2" fillId="12" borderId="3" xfId="22" applyFill="1" applyBorder="1" applyAlignment="1" applyProtection="1">
      <alignment vertical="center"/>
    </xf>
    <xf numFmtId="37" fontId="4" fillId="3" borderId="8" xfId="22" applyNumberFormat="1" applyFont="1" applyFill="1" applyBorder="1" applyAlignment="1" applyProtection="1">
      <alignment horizontal="left" vertical="center"/>
    </xf>
    <xf numFmtId="3" fontId="4" fillId="2" borderId="7" xfId="22" applyNumberFormat="1" applyFont="1" applyFill="1" applyBorder="1" applyAlignment="1" applyProtection="1">
      <alignment horizontal="right" vertical="center"/>
      <protection locked="0"/>
    </xf>
    <xf numFmtId="0" fontId="4" fillId="12" borderId="16" xfId="22" applyFont="1" applyFill="1" applyBorder="1" applyAlignment="1" applyProtection="1">
      <alignment vertical="center"/>
    </xf>
    <xf numFmtId="0" fontId="4" fillId="12" borderId="10" xfId="22" applyFont="1" applyFill="1" applyBorder="1" applyProtection="1">
      <protection locked="0"/>
    </xf>
    <xf numFmtId="0" fontId="39" fillId="0" borderId="0" xfId="22" applyFont="1" applyAlignment="1" applyProtection="1">
      <alignment horizontal="right" vertical="center"/>
    </xf>
    <xf numFmtId="177" fontId="22" fillId="12" borderId="16" xfId="22" applyNumberFormat="1" applyFont="1" applyFill="1" applyBorder="1" applyAlignment="1" applyProtection="1">
      <alignment horizontal="center" vertical="center"/>
    </xf>
    <xf numFmtId="0" fontId="4" fillId="12" borderId="10" xfId="22" applyFont="1" applyFill="1" applyBorder="1" applyAlignment="1" applyProtection="1">
      <alignment vertical="center"/>
    </xf>
    <xf numFmtId="177" fontId="22" fillId="12" borderId="16" xfId="22" applyNumberFormat="1" applyFont="1" applyFill="1" applyBorder="1" applyAlignment="1" applyProtection="1">
      <alignment vertical="center"/>
    </xf>
    <xf numFmtId="0" fontId="22" fillId="12" borderId="0" xfId="22" applyFont="1" applyFill="1" applyBorder="1" applyAlignment="1" applyProtection="1">
      <alignment vertical="center"/>
    </xf>
    <xf numFmtId="0" fontId="4" fillId="17" borderId="3" xfId="22" applyFont="1" applyFill="1" applyBorder="1" applyAlignment="1" applyProtection="1">
      <alignment vertical="center"/>
    </xf>
    <xf numFmtId="0" fontId="4" fillId="17" borderId="3" xfId="22" applyFont="1" applyFill="1" applyBorder="1" applyProtection="1">
      <protection locked="0"/>
    </xf>
    <xf numFmtId="0" fontId="58" fillId="0" borderId="0" xfId="22" applyFont="1"/>
    <xf numFmtId="37" fontId="4" fillId="2" borderId="0" xfId="22" applyNumberFormat="1" applyFont="1" applyFill="1" applyAlignment="1" applyProtection="1">
      <alignment horizontal="left" vertical="center"/>
      <protection locked="0"/>
    </xf>
    <xf numFmtId="174" fontId="8" fillId="0" borderId="0" xfId="11" applyNumberFormat="1" applyFont="1" applyFill="1" applyBorder="1" applyAlignment="1" applyProtection="1">
      <alignment horizontal="center" vertical="center"/>
    </xf>
    <xf numFmtId="0" fontId="4" fillId="0" borderId="0" xfId="22" applyFont="1" applyAlignment="1" applyProtection="1">
      <alignment vertical="center"/>
      <protection locked="0"/>
    </xf>
    <xf numFmtId="0" fontId="53" fillId="0" borderId="0" xfId="22" applyFont="1" applyProtection="1">
      <protection locked="0"/>
    </xf>
    <xf numFmtId="0" fontId="53" fillId="0" borderId="0" xfId="43" applyFont="1" applyAlignment="1" applyProtection="1">
      <alignment vertical="center"/>
      <protection locked="0"/>
    </xf>
    <xf numFmtId="37" fontId="4" fillId="3" borderId="7" xfId="0" applyNumberFormat="1" applyFont="1" applyFill="1" applyBorder="1" applyAlignment="1" applyProtection="1">
      <alignment horizontal="center" vertical="center"/>
      <protection locked="0"/>
    </xf>
    <xf numFmtId="0" fontId="3" fillId="3" borderId="5" xfId="415" applyFont="1" applyFill="1" applyBorder="1" applyAlignment="1" applyProtection="1">
      <alignment vertical="center"/>
    </xf>
    <xf numFmtId="0" fontId="3" fillId="3" borderId="12" xfId="415" applyFont="1" applyFill="1" applyBorder="1" applyAlignment="1" applyProtection="1">
      <alignment vertical="center"/>
    </xf>
    <xf numFmtId="3" fontId="3" fillId="3" borderId="6" xfId="415" applyNumberFormat="1" applyFont="1" applyFill="1" applyBorder="1" applyAlignment="1" applyProtection="1">
      <alignment vertical="center"/>
    </xf>
    <xf numFmtId="0" fontId="3" fillId="3" borderId="6" xfId="415" applyFont="1" applyFill="1" applyBorder="1" applyAlignment="1" applyProtection="1">
      <alignment vertical="center"/>
    </xf>
    <xf numFmtId="0" fontId="3" fillId="3" borderId="7" xfId="415" applyFont="1" applyFill="1" applyBorder="1" applyAlignment="1" applyProtection="1">
      <alignment horizontal="center" vertical="center"/>
    </xf>
    <xf numFmtId="0" fontId="3" fillId="3" borderId="0" xfId="415" applyFont="1" applyFill="1" applyBorder="1" applyAlignment="1" applyProtection="1">
      <alignment horizontal="left" vertical="center"/>
    </xf>
    <xf numFmtId="180" fontId="4" fillId="3" borderId="0" xfId="0" applyNumberFormat="1" applyFont="1" applyFill="1" applyBorder="1" applyAlignment="1">
      <alignment horizontal="center" vertical="center"/>
    </xf>
    <xf numFmtId="0" fontId="8" fillId="17" borderId="0" xfId="0" applyFont="1" applyFill="1" applyBorder="1" applyAlignment="1" applyProtection="1">
      <alignment vertical="center"/>
    </xf>
    <xf numFmtId="0" fontId="40" fillId="12"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177" fontId="41"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0" fontId="41" fillId="0" borderId="0" xfId="0" applyFont="1" applyFill="1" applyBorder="1" applyAlignment="1" applyProtection="1">
      <alignment horizontal="center" vertical="center"/>
    </xf>
    <xf numFmtId="0" fontId="41" fillId="12" borderId="6" xfId="0" applyFont="1" applyFill="1" applyBorder="1" applyAlignment="1" applyProtection="1">
      <alignment horizontal="center" vertical="center"/>
    </xf>
    <xf numFmtId="0" fontId="41" fillId="17" borderId="16" xfId="0" applyFont="1" applyFill="1" applyBorder="1" applyAlignment="1" applyProtection="1">
      <alignment vertical="center"/>
    </xf>
    <xf numFmtId="177" fontId="41" fillId="17" borderId="6" xfId="0" applyNumberFormat="1" applyFont="1" applyFill="1" applyBorder="1" applyAlignment="1" applyProtection="1">
      <alignment horizontal="center" vertical="center"/>
    </xf>
    <xf numFmtId="37" fontId="8" fillId="3" borderId="8" xfId="0" applyNumberFormat="1" applyFont="1" applyFill="1" applyBorder="1" applyAlignment="1" applyProtection="1">
      <alignment horizontal="left" vertical="center"/>
    </xf>
    <xf numFmtId="0" fontId="45" fillId="12" borderId="1" xfId="0" applyFont="1" applyFill="1" applyBorder="1" applyAlignment="1">
      <alignment horizontal="left" vertical="center"/>
    </xf>
    <xf numFmtId="177" fontId="41" fillId="17" borderId="3" xfId="0" applyNumberFormat="1" applyFont="1" applyFill="1" applyBorder="1" applyAlignment="1" applyProtection="1">
      <alignment horizontal="center" vertical="center"/>
      <protection locked="0"/>
    </xf>
    <xf numFmtId="0" fontId="58" fillId="0" borderId="0" xfId="0" applyFont="1" applyProtection="1">
      <protection locked="0"/>
    </xf>
    <xf numFmtId="174" fontId="8" fillId="12" borderId="16" xfId="0" applyNumberFormat="1" applyFont="1" applyFill="1" applyBorder="1" applyAlignment="1" applyProtection="1">
      <alignment horizontal="center" vertical="center"/>
    </xf>
    <xf numFmtId="0" fontId="0" fillId="12" borderId="10" xfId="0" applyFill="1" applyBorder="1" applyAlignment="1" applyProtection="1">
      <alignment vertical="center"/>
    </xf>
    <xf numFmtId="174" fontId="8" fillId="17" borderId="8" xfId="0" applyNumberFormat="1" applyFont="1" applyFill="1" applyBorder="1" applyAlignment="1" applyProtection="1">
      <alignment horizontal="center" vertical="center"/>
    </xf>
    <xf numFmtId="174" fontId="8" fillId="12" borderId="5" xfId="0" applyNumberFormat="1" applyFont="1" applyFill="1" applyBorder="1" applyAlignment="1" applyProtection="1">
      <alignment horizontal="center" vertical="center"/>
    </xf>
    <xf numFmtId="174" fontId="8" fillId="17" borderId="5" xfId="0" applyNumberFormat="1" applyFont="1" applyFill="1" applyBorder="1" applyAlignment="1" applyProtection="1">
      <alignment horizontal="center" vertical="center"/>
    </xf>
    <xf numFmtId="0" fontId="8" fillId="12" borderId="1" xfId="0" applyFont="1" applyFill="1" applyBorder="1" applyAlignment="1" applyProtection="1">
      <alignment horizontal="left" vertical="center"/>
    </xf>
    <xf numFmtId="0" fontId="40" fillId="12" borderId="1" xfId="0" applyFont="1" applyFill="1" applyBorder="1" applyAlignment="1" applyProtection="1">
      <alignment horizontal="center" vertical="center"/>
    </xf>
    <xf numFmtId="0" fontId="0" fillId="12" borderId="3" xfId="0" applyFill="1" applyBorder="1" applyAlignment="1" applyProtection="1">
      <alignment vertical="center"/>
    </xf>
    <xf numFmtId="49" fontId="4" fillId="0" borderId="0" xfId="392" applyNumberFormat="1" applyFont="1" applyFill="1" applyAlignment="1" applyProtection="1">
      <alignment horizontal="left" vertical="center"/>
      <protection locked="0"/>
    </xf>
    <xf numFmtId="0" fontId="59" fillId="0" borderId="0" xfId="0" applyFont="1"/>
    <xf numFmtId="0" fontId="60" fillId="0" borderId="0" xfId="392" applyFont="1"/>
    <xf numFmtId="175" fontId="61" fillId="0" borderId="0" xfId="392" applyNumberFormat="1" applyFont="1" applyAlignment="1">
      <alignment horizontal="left" vertical="center"/>
    </xf>
    <xf numFmtId="0" fontId="61" fillId="0" borderId="0" xfId="392" applyNumberFormat="1" applyFont="1" applyAlignment="1">
      <alignment horizontal="left" vertical="center"/>
    </xf>
    <xf numFmtId="1" fontId="61" fillId="0" borderId="0" xfId="392" applyNumberFormat="1" applyFont="1" applyAlignment="1">
      <alignment horizontal="left" vertical="center"/>
    </xf>
    <xf numFmtId="0" fontId="62" fillId="0" borderId="0" xfId="392" applyFont="1" applyAlignment="1">
      <alignment horizontal="left" vertical="center"/>
    </xf>
    <xf numFmtId="3" fontId="4" fillId="4" borderId="7" xfId="0" applyNumberFormat="1"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37" fontId="4" fillId="7" borderId="11" xfId="0" applyNumberFormat="1" applyFont="1" applyFill="1" applyBorder="1" applyAlignment="1" applyProtection="1">
      <alignment horizontal="center" vertical="center"/>
    </xf>
    <xf numFmtId="174" fontId="4" fillId="7" borderId="11" xfId="0" applyNumberFormat="1" applyFont="1" applyFill="1" applyBorder="1" applyAlignment="1" applyProtection="1">
      <alignment horizontal="center" vertical="center"/>
    </xf>
    <xf numFmtId="3" fontId="4" fillId="7" borderId="11" xfId="0" applyNumberFormat="1" applyFont="1" applyFill="1" applyBorder="1" applyAlignment="1" applyProtection="1">
      <alignment horizontal="center" vertical="center"/>
    </xf>
    <xf numFmtId="37" fontId="4" fillId="3" borderId="7" xfId="0" applyNumberFormat="1" applyFont="1" applyFill="1" applyBorder="1" applyAlignment="1" applyProtection="1">
      <alignment horizontal="right" vertical="center"/>
    </xf>
    <xf numFmtId="165" fontId="4" fillId="3" borderId="7" xfId="0" applyNumberFormat="1" applyFont="1" applyFill="1" applyBorder="1" applyAlignment="1" applyProtection="1">
      <alignment horizontal="right" vertical="center"/>
    </xf>
    <xf numFmtId="37" fontId="4" fillId="3" borderId="11" xfId="0" applyNumberFormat="1" applyFont="1" applyFill="1" applyBorder="1" applyAlignment="1" applyProtection="1">
      <alignment horizontal="right" vertical="center"/>
    </xf>
    <xf numFmtId="170" fontId="4" fillId="3" borderId="11" xfId="0" applyNumberFormat="1" applyFont="1" applyFill="1" applyBorder="1" applyAlignment="1" applyProtection="1">
      <alignment horizontal="right" vertical="center"/>
    </xf>
    <xf numFmtId="0" fontId="4" fillId="3" borderId="0" xfId="0" applyFont="1" applyFill="1" applyBorder="1" applyAlignment="1" applyProtection="1"/>
    <xf numFmtId="0" fontId="4" fillId="3" borderId="0" xfId="0" applyFont="1" applyFill="1" applyAlignment="1" applyProtection="1"/>
    <xf numFmtId="37" fontId="4" fillId="3" borderId="0" xfId="0" applyNumberFormat="1" applyFont="1" applyFill="1" applyBorder="1" applyAlignment="1" applyProtection="1">
      <alignment horizontal="fill"/>
    </xf>
    <xf numFmtId="37" fontId="4" fillId="3" borderId="0" xfId="0" applyNumberFormat="1" applyFont="1" applyFill="1" applyBorder="1" applyAlignment="1" applyProtection="1">
      <alignment horizontal="left"/>
    </xf>
    <xf numFmtId="180" fontId="4" fillId="2" borderId="7" xfId="0" applyNumberFormat="1" applyFont="1" applyFill="1" applyBorder="1" applyAlignment="1" applyProtection="1">
      <alignment vertical="center"/>
      <protection locked="0"/>
    </xf>
    <xf numFmtId="180" fontId="4" fillId="4" borderId="7" xfId="0" applyNumberFormat="1" applyFont="1" applyFill="1" applyBorder="1" applyAlignment="1" applyProtection="1">
      <alignment vertical="center"/>
      <protection locked="0"/>
    </xf>
    <xf numFmtId="0" fontId="4" fillId="0" borderId="0" xfId="22" applyFont="1" applyAlignment="1">
      <alignment vertical="center" wrapText="1"/>
    </xf>
    <xf numFmtId="37" fontId="4" fillId="0" borderId="0" xfId="22" applyNumberFormat="1" applyFont="1" applyFill="1" applyAlignment="1" applyProtection="1">
      <alignment horizontal="left" vertical="center" wrapText="1"/>
    </xf>
    <xf numFmtId="0" fontId="4" fillId="0" borderId="0" xfId="408" applyFont="1" applyAlignment="1">
      <alignment vertical="center" wrapText="1"/>
    </xf>
    <xf numFmtId="0" fontId="4" fillId="0" borderId="0" xfId="23" applyFont="1" applyAlignment="1">
      <alignment vertical="center" wrapText="1"/>
    </xf>
    <xf numFmtId="0" fontId="4" fillId="0" borderId="0" xfId="67" applyFont="1" applyAlignment="1">
      <alignment vertical="center" wrapText="1"/>
    </xf>
    <xf numFmtId="37" fontId="4" fillId="3" borderId="0" xfId="22" applyNumberFormat="1" applyFont="1" applyFill="1" applyBorder="1" applyAlignment="1" applyProtection="1">
      <alignment horizontal="right" vertical="center"/>
    </xf>
    <xf numFmtId="0" fontId="58" fillId="0" borderId="16" xfId="22" applyFont="1" applyBorder="1" applyProtection="1">
      <protection locked="0"/>
    </xf>
    <xf numFmtId="0" fontId="30" fillId="18" borderId="0" xfId="12" applyFill="1" applyAlignment="1" applyProtection="1"/>
    <xf numFmtId="0" fontId="48" fillId="18" borderId="0" xfId="349" applyFill="1"/>
    <xf numFmtId="0" fontId="4" fillId="0" borderId="0" xfId="152" applyFont="1" applyAlignment="1">
      <alignment vertical="center"/>
    </xf>
    <xf numFmtId="14" fontId="4" fillId="0" borderId="0" xfId="0" applyNumberFormat="1" applyFont="1" applyAlignment="1" applyProtection="1">
      <alignment vertical="center"/>
      <protection locked="0"/>
    </xf>
    <xf numFmtId="37" fontId="4" fillId="10" borderId="2" xfId="0" applyNumberFormat="1" applyFont="1" applyFill="1" applyBorder="1" applyAlignment="1" applyProtection="1">
      <alignment horizontal="center" vertical="center" wrapText="1"/>
    </xf>
    <xf numFmtId="0" fontId="0" fillId="10" borderId="4" xfId="0" applyFill="1" applyBorder="1" applyAlignment="1">
      <alignment vertical="center" wrapText="1"/>
    </xf>
    <xf numFmtId="37" fontId="16" fillId="3" borderId="0" xfId="0" applyNumberFormat="1" applyFont="1" applyFill="1" applyAlignment="1" applyProtection="1">
      <alignment horizontal="center" vertical="center"/>
    </xf>
    <xf numFmtId="0" fontId="17" fillId="0" borderId="0" xfId="0" applyFont="1" applyAlignment="1">
      <alignment horizontal="center" vertical="center"/>
    </xf>
    <xf numFmtId="0" fontId="4" fillId="3" borderId="0" xfId="0" applyFont="1" applyFill="1" applyBorder="1" applyAlignment="1" applyProtection="1">
      <alignment vertical="center" wrapText="1"/>
    </xf>
    <xf numFmtId="0" fontId="0" fillId="0" borderId="0" xfId="0" applyAlignment="1">
      <alignment vertical="center" wrapText="1"/>
    </xf>
    <xf numFmtId="0" fontId="0" fillId="0" borderId="0" xfId="0" applyBorder="1" applyAlignment="1">
      <alignment vertical="center" wrapText="1"/>
    </xf>
    <xf numFmtId="37" fontId="17" fillId="3" borderId="0" xfId="0" applyNumberFormat="1" applyFont="1" applyFill="1" applyBorder="1" applyAlignment="1" applyProtection="1">
      <alignment horizontal="center" vertical="center"/>
    </xf>
    <xf numFmtId="0" fontId="4" fillId="0" borderId="0" xfId="0" applyFont="1" applyAlignment="1">
      <alignment horizontal="center" vertical="center"/>
    </xf>
    <xf numFmtId="0" fontId="3" fillId="9" borderId="0" xfId="0" applyFont="1" applyFill="1" applyBorder="1" applyAlignment="1">
      <alignment horizontal="center" vertical="center"/>
    </xf>
    <xf numFmtId="0" fontId="19" fillId="9" borderId="0" xfId="0" applyFont="1" applyFill="1" applyBorder="1" applyAlignment="1">
      <alignment horizontal="center" vertical="center"/>
    </xf>
    <xf numFmtId="0" fontId="15" fillId="3" borderId="0" xfId="0" applyFont="1" applyFill="1" applyBorder="1" applyAlignment="1">
      <alignment vertical="center"/>
    </xf>
    <xf numFmtId="0" fontId="20" fillId="0" borderId="0" xfId="0" applyFont="1" applyAlignment="1">
      <alignment vertical="center"/>
    </xf>
    <xf numFmtId="0" fontId="4" fillId="0" borderId="0" xfId="392" applyFont="1" applyAlignment="1">
      <alignment horizontal="left" vertical="center" wrapText="1"/>
    </xf>
    <xf numFmtId="0" fontId="1" fillId="0" borderId="0" xfId="392" applyAlignment="1">
      <alignment horizontal="left" vertical="center" wrapText="1"/>
    </xf>
    <xf numFmtId="0" fontId="17" fillId="0" borderId="0" xfId="392" applyFont="1" applyAlignment="1">
      <alignment horizontal="left" vertical="center"/>
    </xf>
    <xf numFmtId="37" fontId="4" fillId="3" borderId="0" xfId="0" applyNumberFormat="1" applyFont="1" applyFill="1" applyBorder="1" applyAlignment="1" applyProtection="1">
      <alignment horizontal="center" vertical="center"/>
    </xf>
    <xf numFmtId="0" fontId="0" fillId="0" borderId="0" xfId="0" applyAlignment="1">
      <alignment vertical="center"/>
    </xf>
    <xf numFmtId="0" fontId="3" fillId="3" borderId="0" xfId="0" applyFont="1" applyFill="1" applyAlignment="1" applyProtection="1">
      <alignment horizontal="center" vertical="center"/>
    </xf>
    <xf numFmtId="37" fontId="4" fillId="3" borderId="2" xfId="0" applyNumberFormat="1" applyFont="1" applyFill="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4" xfId="0" applyBorder="1" applyAlignment="1" applyProtection="1">
      <alignment horizontal="center" vertical="center" wrapText="1"/>
    </xf>
    <xf numFmtId="37" fontId="4" fillId="3" borderId="5" xfId="0" applyNumberFormat="1" applyFont="1" applyFill="1" applyBorder="1" applyAlignment="1" applyProtection="1">
      <alignment horizontal="center" vertical="center"/>
    </xf>
    <xf numFmtId="0" fontId="0" fillId="0" borderId="12" xfId="0" applyBorder="1" applyAlignment="1" applyProtection="1">
      <alignment vertical="center"/>
    </xf>
    <xf numFmtId="0" fontId="0" fillId="0" borderId="6" xfId="0" applyBorder="1" applyAlignment="1" applyProtection="1">
      <alignment vertical="center"/>
    </xf>
    <xf numFmtId="0" fontId="4" fillId="3" borderId="0" xfId="0" applyFont="1" applyFill="1" applyAlignment="1" applyProtection="1">
      <alignment horizontal="center" vertical="center"/>
    </xf>
    <xf numFmtId="0" fontId="0" fillId="0" borderId="0" xfId="0" applyAlignment="1" applyProtection="1">
      <alignment vertical="center"/>
    </xf>
    <xf numFmtId="37" fontId="4" fillId="3" borderId="0" xfId="0" applyNumberFormat="1" applyFont="1" applyFill="1" applyAlignment="1" applyProtection="1">
      <alignment horizontal="center" vertical="center"/>
    </xf>
    <xf numFmtId="0" fontId="0" fillId="0" borderId="0" xfId="0" applyAlignment="1" applyProtection="1">
      <alignment horizontal="center" vertical="center"/>
    </xf>
    <xf numFmtId="0" fontId="8" fillId="9" borderId="14" xfId="0" applyFont="1" applyFill="1" applyBorder="1" applyAlignment="1" applyProtection="1">
      <alignment horizontal="center" vertical="center"/>
    </xf>
    <xf numFmtId="0" fontId="0" fillId="0" borderId="9" xfId="0" applyBorder="1" applyAlignment="1" applyProtection="1">
      <alignment vertical="center"/>
    </xf>
    <xf numFmtId="3" fontId="4" fillId="2" borderId="5" xfId="0" applyNumberFormat="1" applyFont="1" applyFill="1" applyBorder="1" applyAlignment="1" applyProtection="1">
      <alignment vertical="center"/>
      <protection locked="0"/>
    </xf>
    <xf numFmtId="3" fontId="0" fillId="0" borderId="6" xfId="0" applyNumberFormat="1" applyBorder="1" applyAlignment="1" applyProtection="1">
      <alignment vertical="center"/>
      <protection locked="0"/>
    </xf>
    <xf numFmtId="0" fontId="8" fillId="9" borderId="8" xfId="0" applyFont="1" applyFill="1" applyBorder="1" applyAlignment="1" applyProtection="1">
      <alignment horizontal="center" vertical="center"/>
    </xf>
    <xf numFmtId="0" fontId="0" fillId="0" borderId="3" xfId="0" applyBorder="1" applyAlignment="1">
      <alignment vertical="center"/>
    </xf>
    <xf numFmtId="0" fontId="0" fillId="0" borderId="0" xfId="0" applyAlignment="1">
      <alignment horizontal="center" vertical="center"/>
    </xf>
    <xf numFmtId="37" fontId="17" fillId="3" borderId="0" xfId="0" applyNumberFormat="1" applyFont="1" applyFill="1" applyAlignment="1" applyProtection="1">
      <alignment horizontal="center" vertical="center"/>
    </xf>
    <xf numFmtId="0" fontId="6" fillId="3" borderId="0" xfId="0" applyFont="1" applyFill="1" applyAlignment="1" applyProtection="1">
      <alignment horizontal="center" vertical="center"/>
    </xf>
    <xf numFmtId="37" fontId="3" fillId="3" borderId="0" xfId="0" applyNumberFormat="1" applyFont="1" applyFill="1" applyAlignment="1" applyProtection="1">
      <alignment horizontal="center" vertical="center"/>
    </xf>
    <xf numFmtId="37" fontId="8" fillId="3" borderId="2" xfId="0" applyNumberFormat="1" applyFont="1" applyFill="1" applyBorder="1" applyAlignment="1" applyProtection="1">
      <alignment horizontal="center" vertical="center" wrapText="1"/>
    </xf>
    <xf numFmtId="0" fontId="9" fillId="0" borderId="4" xfId="0" applyFont="1" applyBorder="1" applyAlignment="1" applyProtection="1">
      <alignment horizontal="center" vertical="center" wrapText="1"/>
    </xf>
    <xf numFmtId="37" fontId="3" fillId="3" borderId="5" xfId="0" applyNumberFormat="1" applyFont="1" applyFill="1" applyBorder="1" applyAlignment="1" applyProtection="1">
      <alignment horizontal="center" vertical="center"/>
    </xf>
    <xf numFmtId="0" fontId="44" fillId="0" borderId="12" xfId="0" applyFont="1" applyBorder="1" applyAlignment="1">
      <alignment vertical="center"/>
    </xf>
    <xf numFmtId="0" fontId="44" fillId="0" borderId="6" xfId="0" applyFont="1" applyBorder="1" applyAlignment="1">
      <alignment vertical="center"/>
    </xf>
    <xf numFmtId="37" fontId="3" fillId="3" borderId="0" xfId="0" applyNumberFormat="1" applyFont="1" applyFill="1" applyBorder="1" applyAlignment="1" applyProtection="1">
      <alignment horizontal="center" vertical="center"/>
    </xf>
    <xf numFmtId="0" fontId="3" fillId="3" borderId="0" xfId="416" applyFont="1" applyFill="1" applyAlignment="1" applyProtection="1">
      <alignment horizontal="center" vertical="center"/>
    </xf>
    <xf numFmtId="0" fontId="4" fillId="3" borderId="0" xfId="10" applyNumberFormat="1" applyFont="1" applyFill="1" applyBorder="1" applyAlignment="1" applyProtection="1">
      <alignment horizontal="right" vertical="center"/>
    </xf>
    <xf numFmtId="0" fontId="4" fillId="0" borderId="0" xfId="10" applyFont="1" applyAlignment="1" applyProtection="1">
      <alignment horizontal="right" vertical="center"/>
    </xf>
    <xf numFmtId="3" fontId="4" fillId="3" borderId="15" xfId="43" applyNumberFormat="1" applyFont="1" applyFill="1" applyBorder="1" applyAlignment="1" applyProtection="1">
      <alignment horizontal="right" vertical="center"/>
    </xf>
    <xf numFmtId="0" fontId="2" fillId="0" borderId="9" xfId="43" applyBorder="1" applyAlignment="1">
      <alignment horizontal="right" vertical="center"/>
    </xf>
    <xf numFmtId="0" fontId="4" fillId="3" borderId="0" xfId="43" applyFont="1" applyFill="1" applyAlignment="1" applyProtection="1">
      <alignment horizontal="right" vertical="center"/>
    </xf>
    <xf numFmtId="0" fontId="4" fillId="0" borderId="10" xfId="43" applyFont="1" applyBorder="1" applyAlignment="1">
      <alignment horizontal="right" vertical="center"/>
    </xf>
    <xf numFmtId="0" fontId="40" fillId="12" borderId="14" xfId="0" applyFont="1" applyFill="1" applyBorder="1" applyAlignment="1" applyProtection="1">
      <alignment horizontal="center" vertical="center"/>
    </xf>
    <xf numFmtId="0" fontId="0" fillId="0" borderId="15" xfId="0" applyBorder="1" applyAlignment="1">
      <alignment vertical="center"/>
    </xf>
    <xf numFmtId="0" fontId="0" fillId="0" borderId="9" xfId="0" applyBorder="1" applyAlignment="1">
      <alignment vertical="center"/>
    </xf>
    <xf numFmtId="174" fontId="40" fillId="12" borderId="14" xfId="0" applyNumberFormat="1" applyFont="1" applyFill="1" applyBorder="1" applyAlignment="1" applyProtection="1">
      <alignment horizontal="center"/>
    </xf>
    <xf numFmtId="0" fontId="31" fillId="0" borderId="15" xfId="0" applyFont="1" applyBorder="1" applyAlignment="1"/>
    <xf numFmtId="0" fontId="31" fillId="0" borderId="9" xfId="0" applyFont="1" applyBorder="1" applyAlignment="1"/>
    <xf numFmtId="0" fontId="15" fillId="3" borderId="16" xfId="23" applyFont="1" applyFill="1" applyBorder="1" applyAlignment="1" applyProtection="1">
      <alignment vertical="center" wrapText="1"/>
    </xf>
    <xf numFmtId="0" fontId="0" fillId="0" borderId="0" xfId="0"/>
    <xf numFmtId="0" fontId="0" fillId="0" borderId="16" xfId="0" applyBorder="1"/>
    <xf numFmtId="174" fontId="40" fillId="12" borderId="14" xfId="22" applyNumberFormat="1" applyFont="1" applyFill="1" applyBorder="1" applyAlignment="1" applyProtection="1">
      <alignment horizontal="center"/>
    </xf>
    <xf numFmtId="0" fontId="31" fillId="0" borderId="15" xfId="22" applyFont="1" applyBorder="1" applyAlignment="1"/>
    <xf numFmtId="0" fontId="31" fillId="0" borderId="9" xfId="22" applyFont="1" applyBorder="1" applyAlignment="1"/>
    <xf numFmtId="0" fontId="40" fillId="12" borderId="14" xfId="22" applyFont="1" applyFill="1" applyBorder="1" applyAlignment="1" applyProtection="1">
      <alignment horizontal="center" vertical="center"/>
    </xf>
    <xf numFmtId="0" fontId="2" fillId="0" borderId="15" xfId="22" applyBorder="1" applyAlignment="1">
      <alignment vertical="center"/>
    </xf>
    <xf numFmtId="0" fontId="2" fillId="0" borderId="9" xfId="22" applyBorder="1" applyAlignment="1">
      <alignment vertical="center"/>
    </xf>
    <xf numFmtId="0" fontId="2" fillId="0" borderId="15" xfId="22" applyBorder="1" applyAlignment="1">
      <alignment horizontal="center" vertical="center"/>
    </xf>
    <xf numFmtId="0" fontId="2" fillId="0" borderId="9" xfId="22" applyBorder="1" applyAlignment="1"/>
    <xf numFmtId="0" fontId="45" fillId="0" borderId="15" xfId="22" applyFont="1" applyBorder="1" applyAlignment="1">
      <alignment horizontal="center" vertical="center"/>
    </xf>
    <xf numFmtId="37" fontId="4" fillId="3" borderId="15" xfId="0" applyNumberFormat="1" applyFont="1" applyFill="1" applyBorder="1" applyAlignment="1" applyProtection="1">
      <alignment horizontal="center" vertical="center"/>
    </xf>
    <xf numFmtId="0" fontId="0" fillId="0" borderId="15" xfId="0" applyBorder="1" applyAlignment="1">
      <alignment horizontal="center" vertical="center"/>
    </xf>
    <xf numFmtId="37" fontId="4" fillId="3" borderId="1" xfId="0" applyNumberFormat="1" applyFont="1" applyFill="1" applyBorder="1" applyAlignment="1" applyProtection="1">
      <alignment horizontal="center" vertical="center"/>
      <protection locked="0"/>
    </xf>
    <xf numFmtId="0" fontId="17" fillId="12" borderId="14" xfId="0" applyFont="1" applyFill="1" applyBorder="1" applyAlignment="1" applyProtection="1">
      <alignment horizontal="center"/>
    </xf>
    <xf numFmtId="0" fontId="17" fillId="12" borderId="15" xfId="0" applyFont="1" applyFill="1" applyBorder="1" applyAlignment="1" applyProtection="1">
      <alignment horizontal="center"/>
    </xf>
    <xf numFmtId="0" fontId="17" fillId="12" borderId="9" xfId="0" applyFont="1" applyFill="1" applyBorder="1" applyAlignment="1" applyProtection="1">
      <alignment horizontal="center"/>
    </xf>
    <xf numFmtId="0" fontId="0" fillId="0" borderId="15" xfId="0" applyBorder="1" applyAlignment="1">
      <alignment horizontal="center"/>
    </xf>
    <xf numFmtId="0" fontId="0" fillId="0" borderId="9" xfId="0" applyBorder="1" applyAlignment="1">
      <alignment horizontal="center"/>
    </xf>
    <xf numFmtId="0" fontId="0" fillId="0" borderId="13" xfId="0" applyBorder="1" applyAlignment="1" applyProtection="1">
      <alignment horizontal="center" vertical="center"/>
    </xf>
    <xf numFmtId="0" fontId="0" fillId="0" borderId="4" xfId="0" applyBorder="1" applyAlignment="1" applyProtection="1">
      <alignment horizontal="center" vertical="center"/>
    </xf>
    <xf numFmtId="37" fontId="4" fillId="12" borderId="0" xfId="0" applyNumberFormat="1" applyFont="1" applyFill="1" applyAlignment="1" applyProtection="1">
      <alignment horizontal="center" vertical="center"/>
    </xf>
    <xf numFmtId="0" fontId="17" fillId="12" borderId="0" xfId="406" applyFont="1" applyFill="1" applyAlignment="1">
      <alignment horizontal="center"/>
    </xf>
    <xf numFmtId="0" fontId="2" fillId="12" borderId="0" xfId="28" applyFill="1" applyAlignment="1">
      <alignment horizontal="center"/>
    </xf>
    <xf numFmtId="0" fontId="3" fillId="12" borderId="0" xfId="28" applyFont="1" applyFill="1" applyAlignment="1">
      <alignment horizontal="center" vertical="center"/>
    </xf>
    <xf numFmtId="0" fontId="17" fillId="12" borderId="0" xfId="28" applyFont="1" applyFill="1" applyAlignment="1">
      <alignment horizontal="center" vertical="center"/>
    </xf>
    <xf numFmtId="0" fontId="4" fillId="12" borderId="0" xfId="28" applyFont="1" applyFill="1" applyAlignment="1">
      <alignment vertical="center" wrapText="1"/>
    </xf>
    <xf numFmtId="0" fontId="3" fillId="3" borderId="5" xfId="0" applyFont="1" applyFill="1" applyBorder="1" applyAlignment="1">
      <alignment vertical="center"/>
    </xf>
    <xf numFmtId="0" fontId="3" fillId="3" borderId="6" xfId="0" applyFont="1" applyFill="1" applyBorder="1" applyAlignment="1">
      <alignment vertical="center"/>
    </xf>
    <xf numFmtId="37" fontId="3" fillId="3" borderId="5" xfId="0" applyNumberFormat="1" applyFont="1" applyFill="1" applyBorder="1" applyAlignment="1">
      <alignment vertical="center"/>
    </xf>
    <xf numFmtId="0" fontId="4" fillId="3" borderId="0" xfId="0" applyFont="1" applyFill="1" applyAlignment="1">
      <alignment horizontal="right" vertical="center"/>
    </xf>
    <xf numFmtId="0" fontId="0" fillId="0" borderId="0" xfId="0" applyAlignment="1">
      <alignment horizontal="right" vertical="center"/>
    </xf>
    <xf numFmtId="0" fontId="4" fillId="3" borderId="0" xfId="0" applyFont="1" applyFill="1" applyAlignment="1" applyProtection="1">
      <alignment horizontal="right" vertical="center"/>
    </xf>
    <xf numFmtId="0" fontId="7" fillId="0" borderId="0" xfId="0" applyFont="1" applyAlignment="1">
      <alignment horizontal="center"/>
    </xf>
    <xf numFmtId="0" fontId="7" fillId="0" borderId="0" xfId="0" applyFont="1" applyAlignment="1">
      <alignment wrapText="1"/>
    </xf>
    <xf numFmtId="0" fontId="0" fillId="0" borderId="0" xfId="0" applyAlignment="1">
      <alignment wrapText="1"/>
    </xf>
    <xf numFmtId="0" fontId="13" fillId="0" borderId="0" xfId="0" applyFont="1" applyAlignment="1">
      <alignment wrapText="1"/>
    </xf>
    <xf numFmtId="0" fontId="7" fillId="0" borderId="0" xfId="0" applyFont="1" applyAlignment="1">
      <alignment horizontal="left"/>
    </xf>
    <xf numFmtId="0" fontId="7" fillId="0" borderId="0" xfId="0" applyFont="1" applyAlignment="1">
      <alignment horizontal="left" wrapText="1"/>
    </xf>
    <xf numFmtId="0" fontId="0" fillId="0" borderId="0" xfId="0" applyAlignment="1"/>
    <xf numFmtId="0" fontId="12" fillId="0" borderId="0" xfId="0" applyFont="1" applyAlignment="1">
      <alignment horizontal="center"/>
    </xf>
    <xf numFmtId="0" fontId="13" fillId="0" borderId="0" xfId="0" applyFont="1" applyAlignment="1">
      <alignment horizontal="center"/>
    </xf>
    <xf numFmtId="0" fontId="12" fillId="0" borderId="0" xfId="0" applyFont="1" applyAlignment="1">
      <alignment horizontal="left" wrapText="1"/>
    </xf>
    <xf numFmtId="177" fontId="35" fillId="12" borderId="0" xfId="0" applyNumberFormat="1" applyFont="1" applyFill="1" applyBorder="1" applyAlignment="1">
      <alignment horizontal="center"/>
    </xf>
    <xf numFmtId="178" fontId="35" fillId="12" borderId="0" xfId="0" applyNumberFormat="1" applyFont="1" applyFill="1" applyBorder="1" applyAlignment="1">
      <alignment horizontal="center"/>
    </xf>
    <xf numFmtId="0" fontId="35" fillId="0" borderId="24" xfId="0" applyFont="1" applyBorder="1" applyAlignment="1">
      <alignment horizontal="center"/>
    </xf>
    <xf numFmtId="172" fontId="35" fillId="13" borderId="1" xfId="0" applyNumberFormat="1" applyFont="1" applyFill="1" applyBorder="1" applyAlignment="1" applyProtection="1">
      <alignment horizontal="center"/>
      <protection locked="0"/>
    </xf>
    <xf numFmtId="178" fontId="35" fillId="0" borderId="24" xfId="0" applyNumberFormat="1" applyFont="1" applyBorder="1" applyAlignment="1">
      <alignment horizontal="center"/>
    </xf>
    <xf numFmtId="177" fontId="35" fillId="13" borderId="1" xfId="0" applyNumberFormat="1" applyFont="1" applyFill="1" applyBorder="1" applyAlignment="1" applyProtection="1">
      <alignment horizontal="center"/>
      <protection locked="0"/>
    </xf>
    <xf numFmtId="0" fontId="35" fillId="12" borderId="15" xfId="0" applyFont="1" applyFill="1" applyBorder="1" applyAlignment="1">
      <alignment horizontal="center"/>
    </xf>
    <xf numFmtId="0" fontId="35" fillId="12" borderId="28" xfId="0" applyFont="1" applyFill="1" applyBorder="1" applyAlignment="1">
      <alignment vertical="top" wrapText="1"/>
    </xf>
    <xf numFmtId="0" fontId="35" fillId="0" borderId="0" xfId="0" applyFont="1" applyAlignment="1">
      <alignment vertical="top" wrapText="1"/>
    </xf>
    <xf numFmtId="0" fontId="35" fillId="0" borderId="24" xfId="0" applyFont="1" applyBorder="1" applyAlignment="1">
      <alignment vertical="top" wrapText="1"/>
    </xf>
    <xf numFmtId="0" fontId="54" fillId="12" borderId="21" xfId="0" applyFont="1" applyFill="1" applyBorder="1" applyAlignment="1">
      <alignment horizontal="center" vertical="center"/>
    </xf>
    <xf numFmtId="0" fontId="54" fillId="12" borderId="0" xfId="0" applyFont="1" applyFill="1" applyAlignment="1">
      <alignment horizontal="center" wrapText="1"/>
    </xf>
    <xf numFmtId="0" fontId="35" fillId="12" borderId="0" xfId="0" applyFont="1" applyFill="1" applyAlignment="1">
      <alignment wrapText="1"/>
    </xf>
    <xf numFmtId="0" fontId="35" fillId="12" borderId="0" xfId="0" applyFont="1" applyFill="1" applyBorder="1" applyAlignment="1">
      <alignment horizontal="center"/>
    </xf>
    <xf numFmtId="0" fontId="35" fillId="12" borderId="0" xfId="0" applyFont="1" applyFill="1" applyBorder="1" applyAlignment="1">
      <alignment wrapText="1"/>
    </xf>
    <xf numFmtId="0" fontId="35" fillId="0" borderId="0" xfId="0" applyFont="1" applyAlignment="1">
      <alignment wrapText="1"/>
    </xf>
    <xf numFmtId="5" fontId="35" fillId="12" borderId="1" xfId="0" applyNumberFormat="1" applyFont="1" applyFill="1" applyBorder="1" applyAlignment="1">
      <alignment horizontal="center"/>
    </xf>
    <xf numFmtId="0" fontId="35" fillId="0" borderId="21" xfId="0" applyFont="1" applyBorder="1" applyAlignment="1">
      <alignment horizontal="center" vertical="center"/>
    </xf>
    <xf numFmtId="0" fontId="54" fillId="12" borderId="0" xfId="0" applyFont="1" applyFill="1" applyBorder="1" applyAlignment="1">
      <alignment horizontal="center" wrapText="1"/>
    </xf>
    <xf numFmtId="0" fontId="35" fillId="0" borderId="0" xfId="0" applyFont="1" applyAlignment="1">
      <alignment horizontal="center" wrapText="1"/>
    </xf>
    <xf numFmtId="0" fontId="54" fillId="0" borderId="0" xfId="0" applyFont="1" applyAlignment="1">
      <alignment horizontal="center" wrapText="1"/>
    </xf>
    <xf numFmtId="0" fontId="54" fillId="12" borderId="0" xfId="0" applyFont="1" applyFill="1" applyAlignment="1">
      <alignment horizontal="center"/>
    </xf>
    <xf numFmtId="177" fontId="35" fillId="12" borderId="0" xfId="0" applyNumberFormat="1" applyFont="1" applyFill="1" applyAlignment="1">
      <alignment horizontal="center"/>
    </xf>
    <xf numFmtId="177" fontId="35" fillId="13" borderId="23" xfId="0" applyNumberFormat="1" applyFont="1" applyFill="1" applyBorder="1" applyAlignment="1" applyProtection="1">
      <alignment horizontal="center"/>
      <protection locked="0"/>
    </xf>
    <xf numFmtId="0" fontId="35" fillId="12" borderId="0" xfId="0" applyFont="1" applyFill="1" applyBorder="1" applyAlignment="1"/>
    <xf numFmtId="0" fontId="35" fillId="0" borderId="0" xfId="0" applyFont="1" applyBorder="1" applyAlignment="1"/>
    <xf numFmtId="0" fontId="35" fillId="12" borderId="26" xfId="0" applyFont="1" applyFill="1" applyBorder="1" applyAlignment="1"/>
    <xf numFmtId="0" fontId="35" fillId="12" borderId="27" xfId="0" applyFont="1" applyFill="1" applyBorder="1" applyAlignment="1"/>
    <xf numFmtId="177" fontId="35" fillId="12" borderId="0" xfId="0" applyNumberFormat="1" applyFont="1" applyFill="1" applyAlignment="1"/>
    <xf numFmtId="0" fontId="54" fillId="12" borderId="0" xfId="0" applyFont="1" applyFill="1" applyAlignment="1">
      <alignment horizontal="center" vertical="center"/>
    </xf>
    <xf numFmtId="0" fontId="54" fillId="0" borderId="0" xfId="0" applyFont="1" applyAlignment="1">
      <alignment horizontal="center" vertical="center"/>
    </xf>
    <xf numFmtId="0" fontId="4" fillId="3" borderId="0" xfId="11" applyNumberFormat="1" applyFont="1" applyFill="1" applyBorder="1" applyAlignment="1" applyProtection="1">
      <alignment horizontal="right" vertical="center"/>
    </xf>
    <xf numFmtId="0" fontId="4" fillId="0" borderId="0" xfId="11" applyFont="1" applyAlignment="1" applyProtection="1">
      <alignment horizontal="right" vertical="center"/>
    </xf>
  </cellXfs>
  <cellStyles count="417">
    <cellStyle name="Comma" xfId="1" builtinId="3"/>
    <cellStyle name="Comma 11 2" xfId="2"/>
    <cellStyle name="Comma 16" xfId="3"/>
    <cellStyle name="Comma 16 2" xfId="4"/>
    <cellStyle name="Comma 16 3" xfId="5"/>
    <cellStyle name="Comma 2 2" xfId="6"/>
    <cellStyle name="Comma 3 2" xfId="7"/>
    <cellStyle name="Comma 7" xfId="8"/>
    <cellStyle name="Comma 7 2" xfId="9"/>
    <cellStyle name="Hyperlink" xfId="10" builtinId="8"/>
    <cellStyle name="Hyperlink 2" xfId="11"/>
    <cellStyle name="Hyperlink 2 2" xfId="12"/>
    <cellStyle name="Hyperlink 2 3" xfId="13"/>
    <cellStyle name="Hyperlink 3 2" xfId="14"/>
    <cellStyle name="Hyperlink 3 3" xfId="15"/>
    <cellStyle name="Hyperlink 3 4" xfId="16"/>
    <cellStyle name="Hyperlink 4" xfId="17"/>
    <cellStyle name="Hyperlink 4 2" xfId="18"/>
    <cellStyle name="Hyperlink 7" xfId="19"/>
    <cellStyle name="Hyperlink 7 2" xfId="20"/>
    <cellStyle name="Hyperlink 7 3" xfId="21"/>
    <cellStyle name="Normal" xfId="0" builtinId="0"/>
    <cellStyle name="Normal 10" xfId="22"/>
    <cellStyle name="Normal 10 2" xfId="23"/>
    <cellStyle name="Normal 10 2 2" xfId="24"/>
    <cellStyle name="Normal 10 2 2 2" xfId="25"/>
    <cellStyle name="Normal 10 3" xfId="26"/>
    <cellStyle name="Normal 10 4" xfId="27"/>
    <cellStyle name="Normal 10 5" xfId="28"/>
    <cellStyle name="Normal 10 6" xfId="29"/>
    <cellStyle name="Normal 10 7" xfId="30"/>
    <cellStyle name="Normal 11" xfId="31"/>
    <cellStyle name="Normal 11 2" xfId="32"/>
    <cellStyle name="Normal 11 2 2" xfId="33"/>
    <cellStyle name="Normal 11 3" xfId="34"/>
    <cellStyle name="Normal 11 4" xfId="35"/>
    <cellStyle name="Normal 11 5" xfId="36"/>
    <cellStyle name="Normal 11 6" xfId="37"/>
    <cellStyle name="Normal 12" xfId="38"/>
    <cellStyle name="Normal 12 10" xfId="39"/>
    <cellStyle name="Normal 12 11" xfId="40"/>
    <cellStyle name="Normal 12 12" xfId="41"/>
    <cellStyle name="Normal 12 13" xfId="42"/>
    <cellStyle name="Normal 12 2" xfId="43"/>
    <cellStyle name="Normal 12 2 2" xfId="44"/>
    <cellStyle name="Normal 12 3" xfId="45"/>
    <cellStyle name="Normal 12 4" xfId="46"/>
    <cellStyle name="Normal 12 5" xfId="47"/>
    <cellStyle name="Normal 12 6" xfId="48"/>
    <cellStyle name="Normal 12 7" xfId="49"/>
    <cellStyle name="Normal 12 8" xfId="50"/>
    <cellStyle name="Normal 12 9" xfId="51"/>
    <cellStyle name="Normal 13" xfId="52"/>
    <cellStyle name="Normal 13 10" xfId="53"/>
    <cellStyle name="Normal 13 11" xfId="54"/>
    <cellStyle name="Normal 13 12" xfId="55"/>
    <cellStyle name="Normal 13 13" xfId="56"/>
    <cellStyle name="Normal 13 2" xfId="57"/>
    <cellStyle name="Normal 13 2 2" xfId="58"/>
    <cellStyle name="Normal 13 3" xfId="59"/>
    <cellStyle name="Normal 13 4" xfId="60"/>
    <cellStyle name="Normal 13 5" xfId="61"/>
    <cellStyle name="Normal 13 6" xfId="62"/>
    <cellStyle name="Normal 13 7" xfId="63"/>
    <cellStyle name="Normal 13 8" xfId="64"/>
    <cellStyle name="Normal 13 9" xfId="65"/>
    <cellStyle name="Normal 14" xfId="66"/>
    <cellStyle name="Normal 14 2" xfId="67"/>
    <cellStyle name="Normal 14 3" xfId="68"/>
    <cellStyle name="Normal 14 4" xfId="69"/>
    <cellStyle name="Normal 14 5" xfId="70"/>
    <cellStyle name="Normal 14 6" xfId="71"/>
    <cellStyle name="Normal 14 7" xfId="72"/>
    <cellStyle name="Normal 15" xfId="73"/>
    <cellStyle name="Normal 15 2" xfId="74"/>
    <cellStyle name="Normal 15 3" xfId="75"/>
    <cellStyle name="Normal 15 4" xfId="76"/>
    <cellStyle name="Normal 15 5" xfId="77"/>
    <cellStyle name="Normal 16" xfId="78"/>
    <cellStyle name="Normal 16 2" xfId="79"/>
    <cellStyle name="Normal 16 3" xfId="80"/>
    <cellStyle name="Normal 16 4" xfId="81"/>
    <cellStyle name="Normal 16 5" xfId="82"/>
    <cellStyle name="Normal 17" xfId="83"/>
    <cellStyle name="Normal 17 2" xfId="84"/>
    <cellStyle name="Normal 17 3" xfId="85"/>
    <cellStyle name="Normal 17 4" xfId="86"/>
    <cellStyle name="Normal 17 5" xfId="87"/>
    <cellStyle name="Normal 18" xfId="88"/>
    <cellStyle name="Normal 18 2" xfId="89"/>
    <cellStyle name="Normal 18 2 2" xfId="90"/>
    <cellStyle name="Normal 18 2 3" xfId="91"/>
    <cellStyle name="Normal 18 3" xfId="92"/>
    <cellStyle name="Normal 18 4" xfId="93"/>
    <cellStyle name="Normal 18 5" xfId="94"/>
    <cellStyle name="Normal 18 6" xfId="95"/>
    <cellStyle name="Normal 18 7" xfId="96"/>
    <cellStyle name="Normal 18 8" xfId="97"/>
    <cellStyle name="Normal 18 9" xfId="98"/>
    <cellStyle name="Normal 19" xfId="99"/>
    <cellStyle name="Normal 19 2" xfId="100"/>
    <cellStyle name="Normal 19 2 2" xfId="101"/>
    <cellStyle name="Normal 19 2 3" xfId="102"/>
    <cellStyle name="Normal 19 3" xfId="103"/>
    <cellStyle name="Normal 19 4" xfId="104"/>
    <cellStyle name="Normal 19 5" xfId="105"/>
    <cellStyle name="Normal 19 6" xfId="106"/>
    <cellStyle name="Normal 19 7" xfId="107"/>
    <cellStyle name="Normal 19 8" xfId="108"/>
    <cellStyle name="Normal 2" xfId="109"/>
    <cellStyle name="Normal 2 10" xfId="110"/>
    <cellStyle name="Normal 2 10 10" xfId="111"/>
    <cellStyle name="Normal 2 10 11" xfId="112"/>
    <cellStyle name="Normal 2 10 11 2" xfId="113"/>
    <cellStyle name="Normal 2 10 2" xfId="114"/>
    <cellStyle name="Normal 2 10 2 2" xfId="115"/>
    <cellStyle name="Normal 2 10 3" xfId="116"/>
    <cellStyle name="Normal 2 10 3 2" xfId="117"/>
    <cellStyle name="Normal 2 10 4" xfId="118"/>
    <cellStyle name="Normal 2 10 4 2" xfId="119"/>
    <cellStyle name="Normal 2 10 5" xfId="120"/>
    <cellStyle name="Normal 2 10 5 2" xfId="121"/>
    <cellStyle name="Normal 2 10 6" xfId="122"/>
    <cellStyle name="Normal 2 10 6 2" xfId="123"/>
    <cellStyle name="Normal 2 10 7" xfId="124"/>
    <cellStyle name="Normal 2 10 7 2" xfId="125"/>
    <cellStyle name="Normal 2 10 8" xfId="126"/>
    <cellStyle name="Normal 2 10 8 2" xfId="127"/>
    <cellStyle name="Normal 2 10 9" xfId="128"/>
    <cellStyle name="Normal 2 11" xfId="129"/>
    <cellStyle name="Normal 2 11 10" xfId="130"/>
    <cellStyle name="Normal 2 11 11" xfId="131"/>
    <cellStyle name="Normal 2 11 2" xfId="132"/>
    <cellStyle name="Normal 2 11 2 2" xfId="133"/>
    <cellStyle name="Normal 2 11 3" xfId="134"/>
    <cellStyle name="Normal 2 11 3 2" xfId="135"/>
    <cellStyle name="Normal 2 11 4" xfId="136"/>
    <cellStyle name="Normal 2 11 4 2" xfId="137"/>
    <cellStyle name="Normal 2 11 5" xfId="138"/>
    <cellStyle name="Normal 2 11 5 2" xfId="139"/>
    <cellStyle name="Normal 2 11 6" xfId="140"/>
    <cellStyle name="Normal 2 11 6 2" xfId="141"/>
    <cellStyle name="Normal 2 11 7" xfId="142"/>
    <cellStyle name="Normal 2 11 7 2" xfId="143"/>
    <cellStyle name="Normal 2 11 8" xfId="144"/>
    <cellStyle name="Normal 2 11 8 2" xfId="145"/>
    <cellStyle name="Normal 2 11 9" xfId="146"/>
    <cellStyle name="Normal 2 12" xfId="147"/>
    <cellStyle name="Normal 2 13" xfId="148"/>
    <cellStyle name="Normal 2 14" xfId="149"/>
    <cellStyle name="Normal 2 15" xfId="150"/>
    <cellStyle name="Normal 2 16" xfId="151"/>
    <cellStyle name="Normal 2 17" xfId="152"/>
    <cellStyle name="Normal 2 2" xfId="153"/>
    <cellStyle name="Normal 2 2 10" xfId="154"/>
    <cellStyle name="Normal 2 2 10 2" xfId="155"/>
    <cellStyle name="Normal 2 2 11" xfId="156"/>
    <cellStyle name="Normal 2 2 11 2" xfId="157"/>
    <cellStyle name="Normal 2 2 12" xfId="158"/>
    <cellStyle name="Normal 2 2 12 2" xfId="159"/>
    <cellStyle name="Normal 2 2 12 2 2" xfId="160"/>
    <cellStyle name="Normal 2 2 13" xfId="161"/>
    <cellStyle name="Normal 2 2 13 2" xfId="162"/>
    <cellStyle name="Normal 2 2 13 2 2" xfId="163"/>
    <cellStyle name="Normal 2 2 14" xfId="164"/>
    <cellStyle name="Normal 2 2 14 2" xfId="165"/>
    <cellStyle name="Normal 2 2 15" xfId="166"/>
    <cellStyle name="Normal 2 2 15 2" xfId="167"/>
    <cellStyle name="Normal 2 2 16" xfId="168"/>
    <cellStyle name="Normal 2 2 16 2" xfId="169"/>
    <cellStyle name="Normal 2 2 16 3" xfId="170"/>
    <cellStyle name="Normal 2 2 17" xfId="171"/>
    <cellStyle name="Normal 2 2 18" xfId="172"/>
    <cellStyle name="Normal 2 2 19" xfId="173"/>
    <cellStyle name="Normal 2 2 2" xfId="174"/>
    <cellStyle name="Normal 2 2 2 2" xfId="175"/>
    <cellStyle name="Normal 2 2 2 2 2" xfId="176"/>
    <cellStyle name="Normal 2 2 2 2 3" xfId="177"/>
    <cellStyle name="Normal 2 2 2 3" xfId="178"/>
    <cellStyle name="Normal 2 2 2 3 2" xfId="179"/>
    <cellStyle name="Normal 2 2 2 4" xfId="180"/>
    <cellStyle name="Normal 2 2 2 4 2" xfId="181"/>
    <cellStyle name="Normal 2 2 2 5" xfId="182"/>
    <cellStyle name="Normal 2 2 2 5 2" xfId="183"/>
    <cellStyle name="Normal 2 2 2 6" xfId="184"/>
    <cellStyle name="Normal 2 2 2 6 2" xfId="185"/>
    <cellStyle name="Normal 2 2 2 7" xfId="186"/>
    <cellStyle name="Normal 2 2 2 8" xfId="187"/>
    <cellStyle name="Normal 2 2 20" xfId="188"/>
    <cellStyle name="Normal 2 2 21" xfId="189"/>
    <cellStyle name="Normal 2 2 22" xfId="190"/>
    <cellStyle name="Normal 2 2 3" xfId="191"/>
    <cellStyle name="Normal 2 2 3 2" xfId="192"/>
    <cellStyle name="Normal 2 2 4" xfId="193"/>
    <cellStyle name="Normal 2 2 4 2" xfId="194"/>
    <cellStyle name="Normal 2 2 5" xfId="195"/>
    <cellStyle name="Normal 2 2 5 2" xfId="196"/>
    <cellStyle name="Normal 2 2 6" xfId="197"/>
    <cellStyle name="Normal 2 2 6 2" xfId="198"/>
    <cellStyle name="Normal 2 2 7" xfId="199"/>
    <cellStyle name="Normal 2 2 7 2" xfId="200"/>
    <cellStyle name="Normal 2 2 8" xfId="201"/>
    <cellStyle name="Normal 2 2 8 2" xfId="202"/>
    <cellStyle name="Normal 2 2 9" xfId="203"/>
    <cellStyle name="Normal 2 2 9 2" xfId="204"/>
    <cellStyle name="Normal 2 3" xfId="205"/>
    <cellStyle name="Normal 2 3 10" xfId="206"/>
    <cellStyle name="Normal 2 3 11" xfId="207"/>
    <cellStyle name="Normal 2 3 12" xfId="208"/>
    <cellStyle name="Normal 2 3 13" xfId="209"/>
    <cellStyle name="Normal 2 3 14" xfId="210"/>
    <cellStyle name="Normal 2 3 15" xfId="211"/>
    <cellStyle name="Normal 2 3 2" xfId="212"/>
    <cellStyle name="Normal 2 3 2 2" xfId="213"/>
    <cellStyle name="Normal 2 3 2 2 2" xfId="214"/>
    <cellStyle name="Normal 2 3 2 2 3" xfId="215"/>
    <cellStyle name="Normal 2 3 2 3" xfId="216"/>
    <cellStyle name="Normal 2 3 2 4" xfId="217"/>
    <cellStyle name="Normal 2 3 3" xfId="218"/>
    <cellStyle name="Normal 2 3 3 2" xfId="219"/>
    <cellStyle name="Normal 2 3 3 3" xfId="220"/>
    <cellStyle name="Normal 2 3 4" xfId="221"/>
    <cellStyle name="Normal 2 3 5" xfId="222"/>
    <cellStyle name="Normal 2 3 6" xfId="223"/>
    <cellStyle name="Normal 2 3 7" xfId="224"/>
    <cellStyle name="Normal 2 3 8" xfId="225"/>
    <cellStyle name="Normal 2 3 9" xfId="226"/>
    <cellStyle name="Normal 2 4" xfId="227"/>
    <cellStyle name="Normal 2 4 10" xfId="228"/>
    <cellStyle name="Normal 2 4 11" xfId="229"/>
    <cellStyle name="Normal 2 4 12" xfId="230"/>
    <cellStyle name="Normal 2 4 13" xfId="231"/>
    <cellStyle name="Normal 2 4 2" xfId="232"/>
    <cellStyle name="Normal 2 4 2 2" xfId="233"/>
    <cellStyle name="Normal 2 4 2 2 2" xfId="234"/>
    <cellStyle name="Normal 2 4 2 2 3" xfId="235"/>
    <cellStyle name="Normal 2 4 2 3" xfId="236"/>
    <cellStyle name="Normal 2 4 2 4" xfId="237"/>
    <cellStyle name="Normal 2 4 3" xfId="238"/>
    <cellStyle name="Normal 2 4 3 2" xfId="239"/>
    <cellStyle name="Normal 2 4 3 3" xfId="240"/>
    <cellStyle name="Normal 2 4 4" xfId="241"/>
    <cellStyle name="Normal 2 4 5" xfId="242"/>
    <cellStyle name="Normal 2 4 6" xfId="243"/>
    <cellStyle name="Normal 2 4 7" xfId="244"/>
    <cellStyle name="Normal 2 4 8" xfId="245"/>
    <cellStyle name="Normal 2 4 9" xfId="246"/>
    <cellStyle name="Normal 2 5" xfId="247"/>
    <cellStyle name="Normal 2 5 10" xfId="248"/>
    <cellStyle name="Normal 2 5 11" xfId="249"/>
    <cellStyle name="Normal 2 5 12" xfId="250"/>
    <cellStyle name="Normal 2 5 12 2" xfId="251"/>
    <cellStyle name="Normal 2 5 2" xfId="252"/>
    <cellStyle name="Normal 2 5 2 2" xfId="253"/>
    <cellStyle name="Normal 2 5 3" xfId="254"/>
    <cellStyle name="Normal 2 5 3 2" xfId="255"/>
    <cellStyle name="Normal 2 5 4" xfId="256"/>
    <cellStyle name="Normal 2 5 5" xfId="257"/>
    <cellStyle name="Normal 2 5 6" xfId="258"/>
    <cellStyle name="Normal 2 5 7" xfId="259"/>
    <cellStyle name="Normal 2 5 8" xfId="260"/>
    <cellStyle name="Normal 2 5 9" xfId="261"/>
    <cellStyle name="Normal 2 6" xfId="262"/>
    <cellStyle name="Normal 2 6 10" xfId="263"/>
    <cellStyle name="Normal 2 6 11" xfId="264"/>
    <cellStyle name="Normal 2 6 12" xfId="265"/>
    <cellStyle name="Normal 2 6 2" xfId="266"/>
    <cellStyle name="Normal 2 6 2 2" xfId="267"/>
    <cellStyle name="Normal 2 6 3" xfId="268"/>
    <cellStyle name="Normal 2 6 3 2" xfId="269"/>
    <cellStyle name="Normal 2 6 4" xfId="270"/>
    <cellStyle name="Normal 2 6 5" xfId="271"/>
    <cellStyle name="Normal 2 6 6" xfId="272"/>
    <cellStyle name="Normal 2 6 7" xfId="273"/>
    <cellStyle name="Normal 2 6 8" xfId="274"/>
    <cellStyle name="Normal 2 6 9" xfId="275"/>
    <cellStyle name="Normal 2 7" xfId="276"/>
    <cellStyle name="Normal 2 7 10" xfId="277"/>
    <cellStyle name="Normal 2 7 11" xfId="278"/>
    <cellStyle name="Normal 2 7 2" xfId="279"/>
    <cellStyle name="Normal 2 7 2 2" xfId="280"/>
    <cellStyle name="Normal 2 7 2 3" xfId="281"/>
    <cellStyle name="Normal 2 7 3" xfId="282"/>
    <cellStyle name="Normal 2 7 3 2" xfId="283"/>
    <cellStyle name="Normal 2 7 4" xfId="284"/>
    <cellStyle name="Normal 2 7 4 2" xfId="285"/>
    <cellStyle name="Normal 2 7 5" xfId="286"/>
    <cellStyle name="Normal 2 7 5 2" xfId="287"/>
    <cellStyle name="Normal 2 7 6" xfId="288"/>
    <cellStyle name="Normal 2 7 6 2" xfId="289"/>
    <cellStyle name="Normal 2 7 7" xfId="290"/>
    <cellStyle name="Normal 2 7 7 2" xfId="291"/>
    <cellStyle name="Normal 2 7 8" xfId="292"/>
    <cellStyle name="Normal 2 7 8 2" xfId="293"/>
    <cellStyle name="Normal 2 7 9" xfId="294"/>
    <cellStyle name="Normal 2 8" xfId="295"/>
    <cellStyle name="Normal 2 8 10" xfId="296"/>
    <cellStyle name="Normal 2 8 11" xfId="297"/>
    <cellStyle name="Normal 2 8 2" xfId="298"/>
    <cellStyle name="Normal 2 8 2 2" xfId="299"/>
    <cellStyle name="Normal 2 8 3" xfId="300"/>
    <cellStyle name="Normal 2 8 3 2" xfId="301"/>
    <cellStyle name="Normal 2 8 4" xfId="302"/>
    <cellStyle name="Normal 2 8 4 2" xfId="303"/>
    <cellStyle name="Normal 2 8 5" xfId="304"/>
    <cellStyle name="Normal 2 8 5 2" xfId="305"/>
    <cellStyle name="Normal 2 8 6" xfId="306"/>
    <cellStyle name="Normal 2 8 6 2" xfId="307"/>
    <cellStyle name="Normal 2 8 7" xfId="308"/>
    <cellStyle name="Normal 2 8 7 2" xfId="309"/>
    <cellStyle name="Normal 2 8 8" xfId="310"/>
    <cellStyle name="Normal 2 8 8 2" xfId="311"/>
    <cellStyle name="Normal 2 8 9" xfId="312"/>
    <cellStyle name="Normal 2 9" xfId="313"/>
    <cellStyle name="Normal 2 9 10" xfId="314"/>
    <cellStyle name="Normal 2 9 11" xfId="315"/>
    <cellStyle name="Normal 2 9 2" xfId="316"/>
    <cellStyle name="Normal 2 9 2 2" xfId="317"/>
    <cellStyle name="Normal 2 9 3" xfId="318"/>
    <cellStyle name="Normal 2 9 3 2" xfId="319"/>
    <cellStyle name="Normal 2 9 4" xfId="320"/>
    <cellStyle name="Normal 2 9 4 2" xfId="321"/>
    <cellStyle name="Normal 2 9 5" xfId="322"/>
    <cellStyle name="Normal 2 9 5 2" xfId="323"/>
    <cellStyle name="Normal 2 9 6" xfId="324"/>
    <cellStyle name="Normal 2 9 6 2" xfId="325"/>
    <cellStyle name="Normal 2 9 7" xfId="326"/>
    <cellStyle name="Normal 2 9 7 2" xfId="327"/>
    <cellStyle name="Normal 2 9 8" xfId="328"/>
    <cellStyle name="Normal 2 9 8 2" xfId="329"/>
    <cellStyle name="Normal 2 9 9" xfId="330"/>
    <cellStyle name="Normal 20" xfId="331"/>
    <cellStyle name="Normal 20 2" xfId="332"/>
    <cellStyle name="Normal 20 3" xfId="333"/>
    <cellStyle name="Normal 21" xfId="334"/>
    <cellStyle name="Normal 21 2" xfId="335"/>
    <cellStyle name="Normal 21 3" xfId="336"/>
    <cellStyle name="Normal 22" xfId="337"/>
    <cellStyle name="Normal 22 2" xfId="338"/>
    <cellStyle name="Normal 22 3" xfId="339"/>
    <cellStyle name="Normal 23" xfId="340"/>
    <cellStyle name="Normal 23 2" xfId="341"/>
    <cellStyle name="Normal 23 3" xfId="342"/>
    <cellStyle name="Normal 24" xfId="343"/>
    <cellStyle name="Normal 24 2" xfId="344"/>
    <cellStyle name="Normal 24 3" xfId="345"/>
    <cellStyle name="Normal 25" xfId="346"/>
    <cellStyle name="Normal 25 2" xfId="347"/>
    <cellStyle name="Normal 25 3" xfId="348"/>
    <cellStyle name="Normal 26" xfId="349"/>
    <cellStyle name="Normal 3" xfId="350"/>
    <cellStyle name="Normal 3 10" xfId="351"/>
    <cellStyle name="Normal 3 2" xfId="352"/>
    <cellStyle name="Normal 3 2 2" xfId="353"/>
    <cellStyle name="Normal 3 2 2 2" xfId="354"/>
    <cellStyle name="Normal 3 2 3" xfId="355"/>
    <cellStyle name="Normal 3 2 4" xfId="356"/>
    <cellStyle name="Normal 3 3" xfId="357"/>
    <cellStyle name="Normal 3 3 2" xfId="358"/>
    <cellStyle name="Normal 3 3 2 2" xfId="359"/>
    <cellStyle name="Normal 3 3 3" xfId="360"/>
    <cellStyle name="Normal 3 4" xfId="361"/>
    <cellStyle name="Normal 3 5" xfId="362"/>
    <cellStyle name="Normal 3 6" xfId="363"/>
    <cellStyle name="Normal 3 7" xfId="364"/>
    <cellStyle name="Normal 3 8" xfId="365"/>
    <cellStyle name="Normal 3 9" xfId="366"/>
    <cellStyle name="Normal 4" xfId="367"/>
    <cellStyle name="Normal 4 2" xfId="368"/>
    <cellStyle name="Normal 4 2 2" xfId="369"/>
    <cellStyle name="Normal 4 2 2 2" xfId="370"/>
    <cellStyle name="Normal 4 2 3" xfId="371"/>
    <cellStyle name="Normal 4 2 4" xfId="372"/>
    <cellStyle name="Normal 4 3" xfId="373"/>
    <cellStyle name="Normal 4 3 2" xfId="374"/>
    <cellStyle name="Normal 4 3 3" xfId="375"/>
    <cellStyle name="Normal 4 4" xfId="376"/>
    <cellStyle name="Normal 4 5" xfId="377"/>
    <cellStyle name="Normal 4 6" xfId="378"/>
    <cellStyle name="Normal 5" xfId="379"/>
    <cellStyle name="Normal 5 2" xfId="380"/>
    <cellStyle name="Normal 5 3" xfId="381"/>
    <cellStyle name="Normal 5 3 2" xfId="382"/>
    <cellStyle name="Normal 5 3 3" xfId="383"/>
    <cellStyle name="Normal 5 4" xfId="384"/>
    <cellStyle name="Normal 5 5" xfId="385"/>
    <cellStyle name="Normal 5 6" xfId="386"/>
    <cellStyle name="Normal 6" xfId="387"/>
    <cellStyle name="Normal 6 2" xfId="388"/>
    <cellStyle name="Normal 6 3" xfId="389"/>
    <cellStyle name="Normal 6 4" xfId="390"/>
    <cellStyle name="Normal 6 5" xfId="391"/>
    <cellStyle name="Normal 7 2" xfId="392"/>
    <cellStyle name="Normal 7 2 2" xfId="393"/>
    <cellStyle name="Normal 7 2 2 2" xfId="394"/>
    <cellStyle name="Normal 7 2 3" xfId="395"/>
    <cellStyle name="Normal 7 2 4" xfId="396"/>
    <cellStyle name="Normal 7 3" xfId="397"/>
    <cellStyle name="Normal 7 4" xfId="398"/>
    <cellStyle name="Normal 7 4 2" xfId="399"/>
    <cellStyle name="Normal 7 4 3" xfId="400"/>
    <cellStyle name="Normal 7 5" xfId="401"/>
    <cellStyle name="Normal 7 5 2" xfId="402"/>
    <cellStyle name="Normal 7 5 3" xfId="403"/>
    <cellStyle name="Normal 7 6" xfId="404"/>
    <cellStyle name="Normal 8" xfId="405"/>
    <cellStyle name="Normal 8 2" xfId="406"/>
    <cellStyle name="Normal 8 3" xfId="407"/>
    <cellStyle name="Normal 9" xfId="408"/>
    <cellStyle name="Normal 9 2" xfId="409"/>
    <cellStyle name="Normal 9 2 2" xfId="410"/>
    <cellStyle name="Normal 9 3" xfId="411"/>
    <cellStyle name="Normal 9 4" xfId="412"/>
    <cellStyle name="Normal 9 5" xfId="413"/>
    <cellStyle name="Normal 9 6" xfId="414"/>
    <cellStyle name="Normal_debt" xfId="415"/>
    <cellStyle name="Normal_lpform" xfId="416"/>
  </cellStyles>
  <dxfs count="12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condense val="0"/>
        <extend val="0"/>
        <color indexed="43"/>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409575</xdr:colOff>
      <xdr:row>83</xdr:row>
      <xdr:rowOff>85725</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2144375" cy="166878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409575</xdr:colOff>
      <xdr:row>83</xdr:row>
      <xdr:rowOff>85725</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2144375" cy="166878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peter.haxton@library.ks.gov"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dimension ref="A1:A111"/>
  <sheetViews>
    <sheetView zoomScaleNormal="100" workbookViewId="0">
      <selection activeCell="D14" sqref="D14"/>
    </sheetView>
  </sheetViews>
  <sheetFormatPr defaultRowHeight="15.75"/>
  <cols>
    <col min="1" max="1" width="81.59765625" style="79" customWidth="1"/>
    <col min="2" max="16384" width="8.796875" style="79"/>
  </cols>
  <sheetData>
    <row r="1" spans="1:1">
      <c r="A1" s="333" t="s">
        <v>181</v>
      </c>
    </row>
    <row r="3" spans="1:1" ht="34.5" customHeight="1">
      <c r="A3" s="332" t="s">
        <v>172</v>
      </c>
    </row>
    <row r="4" spans="1:1">
      <c r="A4" s="335"/>
    </row>
    <row r="5" spans="1:1" ht="52.5" customHeight="1">
      <c r="A5" s="331" t="s">
        <v>319</v>
      </c>
    </row>
    <row r="6" spans="1:1">
      <c r="A6" s="331"/>
    </row>
    <row r="7" spans="1:1" ht="34.5" customHeight="1">
      <c r="A7" s="331" t="s">
        <v>846</v>
      </c>
    </row>
    <row r="8" spans="1:1">
      <c r="A8" s="331"/>
    </row>
    <row r="9" spans="1:1">
      <c r="A9" s="331" t="s">
        <v>173</v>
      </c>
    </row>
    <row r="12" spans="1:1">
      <c r="A12" s="333" t="s">
        <v>216</v>
      </c>
    </row>
    <row r="13" spans="1:1">
      <c r="A13" s="333"/>
    </row>
    <row r="14" spans="1:1" ht="18.75" customHeight="1">
      <c r="A14" s="335" t="s">
        <v>218</v>
      </c>
    </row>
    <row r="16" spans="1:1" ht="39" customHeight="1">
      <c r="A16" s="336" t="s">
        <v>350</v>
      </c>
    </row>
    <row r="17" spans="1:1" ht="9.75" customHeight="1">
      <c r="A17" s="336"/>
    </row>
    <row r="20" spans="1:1">
      <c r="A20" s="333" t="s">
        <v>174</v>
      </c>
    </row>
    <row r="22" spans="1:1" ht="34.5" customHeight="1">
      <c r="A22" s="331" t="s">
        <v>219</v>
      </c>
    </row>
    <row r="23" spans="1:1" ht="9.75" customHeight="1">
      <c r="A23" s="331"/>
    </row>
    <row r="24" spans="1:1">
      <c r="A24" s="337" t="s">
        <v>175</v>
      </c>
    </row>
    <row r="25" spans="1:1">
      <c r="A25" s="331"/>
    </row>
    <row r="26" spans="1:1" ht="17.25" customHeight="1">
      <c r="A26" s="338" t="s">
        <v>176</v>
      </c>
    </row>
    <row r="27" spans="1:1" ht="17.25" customHeight="1">
      <c r="A27" s="339"/>
    </row>
    <row r="28" spans="1:1" ht="87.75" customHeight="1">
      <c r="A28" s="340" t="s">
        <v>197</v>
      </c>
    </row>
    <row r="30" spans="1:1">
      <c r="A30" s="341" t="s">
        <v>177</v>
      </c>
    </row>
    <row r="32" spans="1:1">
      <c r="A32" s="120" t="s">
        <v>217</v>
      </c>
    </row>
    <row r="34" spans="1:1">
      <c r="A34" s="331" t="s">
        <v>178</v>
      </c>
    </row>
    <row r="37" spans="1:1">
      <c r="A37" s="333" t="s">
        <v>179</v>
      </c>
    </row>
    <row r="39" spans="1:1" ht="68.25" customHeight="1">
      <c r="A39" s="331" t="s">
        <v>918</v>
      </c>
    </row>
    <row r="40" spans="1:1" ht="32.25" customHeight="1">
      <c r="A40" s="734" t="s">
        <v>847</v>
      </c>
    </row>
    <row r="41" spans="1:1" ht="51.75" customHeight="1">
      <c r="A41" s="735" t="s">
        <v>848</v>
      </c>
    </row>
    <row r="42" spans="1:1" ht="88.5" customHeight="1">
      <c r="A42" s="735" t="s">
        <v>850</v>
      </c>
    </row>
    <row r="43" spans="1:1" ht="10.5" customHeight="1">
      <c r="A43" s="331"/>
    </row>
    <row r="44" spans="1:1" ht="65.25" customHeight="1">
      <c r="A44" s="331" t="s">
        <v>715</v>
      </c>
    </row>
    <row r="45" spans="1:1" ht="59.25" customHeight="1">
      <c r="A45" s="331" t="s">
        <v>180</v>
      </c>
    </row>
    <row r="46" spans="1:1" ht="84.75" customHeight="1">
      <c r="A46" s="331" t="s">
        <v>256</v>
      </c>
    </row>
    <row r="47" spans="1:1" ht="12" customHeight="1">
      <c r="A47" s="331"/>
    </row>
    <row r="48" spans="1:1" ht="67.5" customHeight="1">
      <c r="A48" s="736" t="s">
        <v>851</v>
      </c>
    </row>
    <row r="49" spans="1:1" ht="69.95" customHeight="1">
      <c r="A49" s="365" t="s">
        <v>588</v>
      </c>
    </row>
    <row r="50" spans="1:1" ht="54" customHeight="1">
      <c r="A50" s="737" t="s">
        <v>852</v>
      </c>
    </row>
    <row r="51" spans="1:1" ht="12" customHeight="1">
      <c r="A51" s="331"/>
    </row>
    <row r="52" spans="1:1" ht="68.25" customHeight="1">
      <c r="A52" s="331" t="s">
        <v>589</v>
      </c>
    </row>
    <row r="53" spans="1:1" ht="74.25" customHeight="1">
      <c r="A53" s="331" t="s">
        <v>590</v>
      </c>
    </row>
    <row r="54" spans="1:1" ht="45" customHeight="1">
      <c r="A54" s="331" t="s">
        <v>853</v>
      </c>
    </row>
    <row r="55" spans="1:1" ht="72" customHeight="1">
      <c r="A55" s="734" t="s">
        <v>854</v>
      </c>
    </row>
    <row r="56" spans="1:1" ht="15.75" customHeight="1"/>
    <row r="57" spans="1:1" ht="80.25" customHeight="1">
      <c r="A57" s="331" t="s">
        <v>591</v>
      </c>
    </row>
    <row r="58" spans="1:1" ht="40.5" customHeight="1">
      <c r="A58" s="331" t="s">
        <v>592</v>
      </c>
    </row>
    <row r="59" spans="1:1" ht="45" customHeight="1">
      <c r="A59" s="331" t="s">
        <v>593</v>
      </c>
    </row>
    <row r="60" spans="1:1">
      <c r="A60" s="331"/>
    </row>
    <row r="61" spans="1:1" ht="68.25" customHeight="1">
      <c r="A61" s="734" t="s">
        <v>855</v>
      </c>
    </row>
    <row r="62" spans="1:1">
      <c r="A62" s="331"/>
    </row>
    <row r="63" spans="1:1" ht="40.5" customHeight="1">
      <c r="A63" s="331" t="s">
        <v>594</v>
      </c>
    </row>
    <row r="64" spans="1:1" ht="34.5" customHeight="1">
      <c r="A64" s="331" t="s">
        <v>602</v>
      </c>
    </row>
    <row r="65" spans="1:1" ht="77.25" customHeight="1">
      <c r="A65" s="331" t="s">
        <v>603</v>
      </c>
    </row>
    <row r="66" spans="1:1" ht="41.25" customHeight="1">
      <c r="A66" s="331" t="s">
        <v>600</v>
      </c>
    </row>
    <row r="67" spans="1:1" ht="41.25" customHeight="1">
      <c r="A67" s="331" t="s">
        <v>601</v>
      </c>
    </row>
    <row r="68" spans="1:1" ht="9" customHeight="1">
      <c r="A68" s="331"/>
    </row>
    <row r="69" spans="1:1" ht="58.5" customHeight="1">
      <c r="A69" s="331" t="s">
        <v>595</v>
      </c>
    </row>
    <row r="70" spans="1:1" ht="9.75" customHeight="1"/>
    <row r="71" spans="1:1" s="331" customFormat="1" ht="69" customHeight="1">
      <c r="A71" s="331" t="s">
        <v>596</v>
      </c>
    </row>
    <row r="72" spans="1:1" ht="14.25" customHeight="1"/>
    <row r="73" spans="1:1" ht="121.5" customHeight="1">
      <c r="A73" s="734" t="s">
        <v>856</v>
      </c>
    </row>
    <row r="74" spans="1:1" ht="12" customHeight="1">
      <c r="A74" s="734"/>
    </row>
    <row r="75" spans="1:1" ht="70.5" customHeight="1">
      <c r="A75" s="331" t="s">
        <v>857</v>
      </c>
    </row>
    <row r="76" spans="1:1" ht="60.75" customHeight="1">
      <c r="A76" s="734" t="s">
        <v>858</v>
      </c>
    </row>
    <row r="77" spans="1:1" ht="90.75" customHeight="1">
      <c r="A77" s="534" t="s">
        <v>859</v>
      </c>
    </row>
    <row r="78" spans="1:1" ht="60.75" customHeight="1">
      <c r="A78" s="534" t="s">
        <v>860</v>
      </c>
    </row>
    <row r="79" spans="1:1" ht="60.75" customHeight="1">
      <c r="A79" s="534" t="s">
        <v>861</v>
      </c>
    </row>
    <row r="80" spans="1:1" ht="60" customHeight="1">
      <c r="A80" s="331" t="s">
        <v>864</v>
      </c>
    </row>
    <row r="81" spans="1:1" ht="117.75" customHeight="1">
      <c r="A81" s="331" t="s">
        <v>862</v>
      </c>
    </row>
    <row r="82" spans="1:1" ht="59.25" customHeight="1">
      <c r="A82" s="331" t="s">
        <v>863</v>
      </c>
    </row>
    <row r="83" spans="1:1" ht="84.75" customHeight="1">
      <c r="A83" s="331" t="s">
        <v>865</v>
      </c>
    </row>
    <row r="84" spans="1:1" ht="102.75" customHeight="1">
      <c r="A84" s="331" t="s">
        <v>866</v>
      </c>
    </row>
    <row r="85" spans="1:1" ht="102.75" customHeight="1">
      <c r="A85" s="342" t="s">
        <v>867</v>
      </c>
    </row>
    <row r="86" spans="1:1" ht="54" customHeight="1">
      <c r="A86" s="334" t="s">
        <v>868</v>
      </c>
    </row>
    <row r="87" spans="1:1" ht="115.5" customHeight="1">
      <c r="A87" s="331" t="s">
        <v>919</v>
      </c>
    </row>
    <row r="88" spans="1:1" ht="78" customHeight="1">
      <c r="A88" s="342" t="s">
        <v>869</v>
      </c>
    </row>
    <row r="89" spans="1:1" ht="124.5" customHeight="1">
      <c r="A89" s="342" t="s">
        <v>920</v>
      </c>
    </row>
    <row r="90" spans="1:1" ht="138" customHeight="1">
      <c r="A90" s="331" t="s">
        <v>870</v>
      </c>
    </row>
    <row r="91" spans="1:1" ht="147" customHeight="1">
      <c r="A91" s="331" t="s">
        <v>871</v>
      </c>
    </row>
    <row r="92" spans="1:1" ht="101.25" customHeight="1">
      <c r="A92" s="331" t="s">
        <v>872</v>
      </c>
    </row>
    <row r="94" spans="1:1" ht="102.75" customHeight="1">
      <c r="A94" s="331" t="s">
        <v>873</v>
      </c>
    </row>
    <row r="95" spans="1:1" ht="89.25" customHeight="1">
      <c r="A95" s="342" t="s">
        <v>874</v>
      </c>
    </row>
    <row r="96" spans="1:1" ht="57" customHeight="1">
      <c r="A96" s="342" t="s">
        <v>875</v>
      </c>
    </row>
    <row r="97" spans="1:1" ht="20.25" customHeight="1">
      <c r="A97" s="331" t="s">
        <v>876</v>
      </c>
    </row>
    <row r="99" spans="1:1" ht="53.25" customHeight="1">
      <c r="A99" s="331" t="s">
        <v>877</v>
      </c>
    </row>
    <row r="100" spans="1:1" ht="21" customHeight="1">
      <c r="A100" s="331" t="s">
        <v>878</v>
      </c>
    </row>
    <row r="101" spans="1:1" ht="39.75" customHeight="1">
      <c r="A101" s="534" t="s">
        <v>879</v>
      </c>
    </row>
    <row r="102" spans="1:1" ht="103.5" customHeight="1">
      <c r="A102" s="534" t="s">
        <v>880</v>
      </c>
    </row>
    <row r="103" spans="1:1" ht="114" customHeight="1">
      <c r="A103" s="534" t="s">
        <v>881</v>
      </c>
    </row>
    <row r="104" spans="1:1" ht="74.25" customHeight="1">
      <c r="A104" s="738" t="s">
        <v>883</v>
      </c>
    </row>
    <row r="105" spans="1:1" ht="51.75" customHeight="1">
      <c r="A105" s="331" t="s">
        <v>882</v>
      </c>
    </row>
    <row r="106" spans="1:1" ht="14.25" customHeight="1"/>
    <row r="107" spans="1:1" ht="69.75" customHeight="1">
      <c r="A107" s="331" t="s">
        <v>884</v>
      </c>
    </row>
    <row r="109" spans="1:1" ht="54" customHeight="1">
      <c r="A109" s="534" t="s">
        <v>885</v>
      </c>
    </row>
    <row r="110" spans="1:1" ht="85.5" customHeight="1">
      <c r="A110" s="534" t="s">
        <v>886</v>
      </c>
    </row>
    <row r="111" spans="1:1" ht="99" customHeight="1">
      <c r="A111" s="534" t="s">
        <v>887</v>
      </c>
    </row>
  </sheetData>
  <sheetProtection sheet="1"/>
  <phoneticPr fontId="0" type="noConversion"/>
  <pageMargins left="0.5" right="0.5" top="0.5" bottom="0.5" header="0.5" footer="0"/>
  <pageSetup fitToHeight="2"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H85"/>
  <sheetViews>
    <sheetView workbookViewId="0">
      <selection activeCell="E5" sqref="E5"/>
    </sheetView>
  </sheetViews>
  <sheetFormatPr defaultRowHeight="15.75"/>
  <cols>
    <col min="1" max="1" width="10.69921875" style="16" customWidth="1"/>
    <col min="2" max="2" width="20.69921875" style="16" customWidth="1"/>
    <col min="3" max="3" width="11.69921875" style="16" customWidth="1"/>
    <col min="4" max="4" width="15" style="16" customWidth="1"/>
    <col min="5" max="5" width="14.09765625" style="16" customWidth="1"/>
    <col min="6" max="6" width="1.69921875" style="16" customWidth="1"/>
    <col min="7" max="7" width="18.59765625" style="16" customWidth="1"/>
    <col min="8" max="16384" width="8.796875" style="16"/>
  </cols>
  <sheetData>
    <row r="1" spans="1:8">
      <c r="A1" s="302" t="s">
        <v>264</v>
      </c>
      <c r="B1" s="14"/>
      <c r="C1" s="14"/>
      <c r="D1" s="14"/>
      <c r="E1" s="14"/>
    </row>
    <row r="2" spans="1:8">
      <c r="A2" s="67" t="s">
        <v>221</v>
      </c>
      <c r="B2" s="14"/>
      <c r="C2" s="14"/>
      <c r="D2" s="377" t="s">
        <v>928</v>
      </c>
      <c r="E2" s="19"/>
    </row>
    <row r="3" spans="1:8">
      <c r="A3" s="67" t="s">
        <v>220</v>
      </c>
      <c r="B3" s="14"/>
      <c r="C3" s="14"/>
      <c r="D3" s="378" t="s">
        <v>929</v>
      </c>
      <c r="E3" s="19"/>
    </row>
    <row r="4" spans="1:8">
      <c r="A4" s="14"/>
      <c r="B4" s="14"/>
      <c r="C4" s="14"/>
      <c r="D4" s="14"/>
      <c r="E4" s="14"/>
    </row>
    <row r="5" spans="1:8">
      <c r="A5" s="17" t="s">
        <v>140</v>
      </c>
      <c r="B5" s="14"/>
      <c r="C5" s="14"/>
      <c r="D5" s="303">
        <v>2013</v>
      </c>
      <c r="E5" s="14"/>
    </row>
    <row r="6" spans="1:8">
      <c r="A6" s="14"/>
      <c r="B6" s="14"/>
      <c r="C6" s="14"/>
      <c r="D6" s="14"/>
      <c r="E6" s="14"/>
    </row>
    <row r="7" spans="1:8">
      <c r="A7" s="143" t="s">
        <v>142</v>
      </c>
      <c r="B7" s="147"/>
      <c r="C7" s="147"/>
      <c r="D7" s="147"/>
      <c r="E7" s="147"/>
      <c r="F7" s="14"/>
      <c r="G7" s="749" t="s">
        <v>750</v>
      </c>
      <c r="H7" s="750"/>
    </row>
    <row r="8" spans="1:8">
      <c r="A8" s="143" t="s">
        <v>195</v>
      </c>
      <c r="B8" s="147"/>
      <c r="C8" s="147"/>
      <c r="D8" s="147"/>
      <c r="E8" s="147"/>
      <c r="F8" s="14"/>
      <c r="G8" s="751"/>
      <c r="H8" s="750"/>
    </row>
    <row r="9" spans="1:8">
      <c r="A9" s="14"/>
      <c r="B9" s="14"/>
      <c r="C9" s="14"/>
      <c r="D9" s="14"/>
      <c r="E9" s="14"/>
      <c r="F9" s="14"/>
      <c r="G9" s="751"/>
      <c r="H9" s="750"/>
    </row>
    <row r="10" spans="1:8">
      <c r="A10" s="747" t="s">
        <v>152</v>
      </c>
      <c r="B10" s="748"/>
      <c r="C10" s="748"/>
      <c r="D10" s="748"/>
      <c r="E10" s="748"/>
      <c r="F10" s="14"/>
      <c r="G10" s="751"/>
      <c r="H10" s="750"/>
    </row>
    <row r="11" spans="1:8">
      <c r="A11" s="67"/>
      <c r="B11" s="14"/>
      <c r="C11" s="14"/>
      <c r="D11" s="14"/>
      <c r="E11" s="14"/>
      <c r="F11" s="14"/>
      <c r="G11" s="751"/>
      <c r="H11" s="750"/>
    </row>
    <row r="12" spans="1:8">
      <c r="A12" s="304" t="s">
        <v>141</v>
      </c>
      <c r="B12" s="290"/>
      <c r="C12" s="14"/>
      <c r="D12" s="49"/>
      <c r="E12" s="305"/>
      <c r="F12" s="14"/>
      <c r="G12" s="751"/>
      <c r="H12" s="750"/>
    </row>
    <row r="13" spans="1:8">
      <c r="A13" s="306" t="str">
        <f>CONCATENATE("the ",D5-1," Budget, Certificate Page:")</f>
        <v>the 2012 Budget, Certificate Page:</v>
      </c>
      <c r="B13" s="307"/>
      <c r="C13" s="49"/>
      <c r="D13" s="14"/>
      <c r="E13" s="14"/>
      <c r="F13" s="14"/>
      <c r="G13" s="19"/>
      <c r="H13" s="391"/>
    </row>
    <row r="14" spans="1:8">
      <c r="A14" s="306" t="s">
        <v>310</v>
      </c>
      <c r="B14" s="307"/>
      <c r="C14" s="49"/>
      <c r="D14" s="308">
        <f>$D$5-1</f>
        <v>2012</v>
      </c>
      <c r="E14" s="309">
        <f>$D$5-2</f>
        <v>2011</v>
      </c>
      <c r="G14" s="168" t="s">
        <v>751</v>
      </c>
      <c r="H14" s="176" t="s">
        <v>29</v>
      </c>
    </row>
    <row r="15" spans="1:8">
      <c r="A15" s="22" t="s">
        <v>266</v>
      </c>
      <c r="B15" s="14"/>
      <c r="C15" s="310" t="s">
        <v>265</v>
      </c>
      <c r="D15" s="311" t="s">
        <v>337</v>
      </c>
      <c r="E15" s="312" t="s">
        <v>16</v>
      </c>
      <c r="G15" s="174" t="str">
        <f>CONCATENATE("",E14," Ad Valorem Tax")</f>
        <v>2011 Ad Valorem Tax</v>
      </c>
      <c r="H15" s="733">
        <v>0</v>
      </c>
    </row>
    <row r="16" spans="1:8">
      <c r="A16" s="14"/>
      <c r="B16" s="71" t="s">
        <v>267</v>
      </c>
      <c r="C16" s="159" t="s">
        <v>268</v>
      </c>
      <c r="D16" s="184">
        <v>2800</v>
      </c>
      <c r="E16" s="184">
        <v>0</v>
      </c>
      <c r="G16" s="32">
        <f>IF(H15&gt;0,ROUND(E16-(E16*H15),0),0)</f>
        <v>0</v>
      </c>
    </row>
    <row r="17" spans="1:7">
      <c r="A17" s="14"/>
      <c r="B17" s="71" t="s">
        <v>294</v>
      </c>
      <c r="C17" s="159" t="s">
        <v>147</v>
      </c>
      <c r="D17" s="184"/>
      <c r="E17" s="184"/>
      <c r="G17" s="32">
        <f>IF(H15&gt;0,ROUND(E17-(E17*H15),0),0)</f>
        <v>0</v>
      </c>
    </row>
    <row r="18" spans="1:7">
      <c r="A18" s="14"/>
      <c r="B18" s="71" t="s">
        <v>821</v>
      </c>
      <c r="C18" s="683" t="s">
        <v>822</v>
      </c>
      <c r="D18" s="184"/>
      <c r="E18" s="184"/>
      <c r="G18" s="32">
        <f>IF(H15&gt;0,ROUND(E18-(E18*H15),0),0)</f>
        <v>0</v>
      </c>
    </row>
    <row r="19" spans="1:7">
      <c r="A19" s="14"/>
      <c r="B19" s="71" t="s">
        <v>269</v>
      </c>
      <c r="C19" s="176" t="s">
        <v>309</v>
      </c>
      <c r="D19" s="184">
        <v>21061</v>
      </c>
      <c r="E19" s="184">
        <v>8479</v>
      </c>
      <c r="G19" s="32">
        <f>IF(H15&gt;0,ROUND(E19-(E19*H15),0),0)</f>
        <v>0</v>
      </c>
    </row>
    <row r="20" spans="1:7">
      <c r="A20" s="14"/>
      <c r="B20" s="379" t="s">
        <v>930</v>
      </c>
      <c r="C20" s="380" t="s">
        <v>932</v>
      </c>
      <c r="D20" s="184">
        <v>964</v>
      </c>
      <c r="E20" s="184"/>
      <c r="G20" s="32">
        <f>IF(H15&gt;0,ROUND(E20-(E20*H15),0),0)</f>
        <v>0</v>
      </c>
    </row>
    <row r="21" spans="1:7">
      <c r="A21" s="14"/>
      <c r="B21" s="184" t="s">
        <v>931</v>
      </c>
      <c r="C21" s="392" t="s">
        <v>933</v>
      </c>
      <c r="D21" s="184">
        <v>146</v>
      </c>
      <c r="E21" s="184"/>
      <c r="G21" s="32">
        <f>IF(H15&gt;0,ROUND(E21-(E21*H15),0),0)</f>
        <v>0</v>
      </c>
    </row>
    <row r="22" spans="1:7">
      <c r="A22" s="14"/>
      <c r="B22" s="75"/>
      <c r="C22" s="392"/>
      <c r="D22" s="184"/>
      <c r="E22" s="184"/>
      <c r="G22" s="32">
        <f>IF(H15&gt;0,ROUND(E22-(E22*H15),0),0)</f>
        <v>0</v>
      </c>
    </row>
    <row r="23" spans="1:7">
      <c r="A23" s="14"/>
      <c r="B23" s="75"/>
      <c r="C23" s="392"/>
      <c r="D23" s="184"/>
      <c r="E23" s="184"/>
      <c r="G23" s="32">
        <f>IF(H15&gt;0,ROUND(E23-(E23*H15),0),0)</f>
        <v>0</v>
      </c>
    </row>
    <row r="24" spans="1:7">
      <c r="A24" s="14"/>
      <c r="B24" s="75"/>
      <c r="C24" s="392"/>
      <c r="D24" s="184"/>
      <c r="E24" s="184"/>
      <c r="G24" s="32">
        <f>IF(H15&gt;0,ROUND(E24-(E24*H15),0),0)</f>
        <v>0</v>
      </c>
    </row>
    <row r="25" spans="1:7">
      <c r="A25" s="14"/>
      <c r="B25" s="75"/>
      <c r="C25" s="392"/>
      <c r="D25" s="184"/>
      <c r="E25" s="184"/>
      <c r="G25" s="32">
        <f>IF(H15&gt;0,ROUND(E25-(E25*H15),0),0)</f>
        <v>0</v>
      </c>
    </row>
    <row r="26" spans="1:7">
      <c r="A26" s="313" t="str">
        <f>CONCATENATE("Total Ad Valorem Tax for ",D5-1," Budgeted Year")</f>
        <v>Total Ad Valorem Tax for 2012 Budgeted Year</v>
      </c>
      <c r="B26" s="20"/>
      <c r="C26" s="264"/>
      <c r="D26" s="314"/>
      <c r="E26" s="315">
        <f>SUM(E16:E25)</f>
        <v>8479</v>
      </c>
    </row>
    <row r="27" spans="1:7">
      <c r="A27" s="19"/>
      <c r="B27" s="19"/>
      <c r="C27" s="19"/>
      <c r="D27" s="24"/>
      <c r="E27" s="139"/>
    </row>
    <row r="28" spans="1:7">
      <c r="A28" s="14" t="s">
        <v>136</v>
      </c>
      <c r="B28" s="14"/>
      <c r="C28" s="14"/>
      <c r="D28" s="14"/>
      <c r="E28" s="14"/>
    </row>
    <row r="29" spans="1:7">
      <c r="A29" s="14"/>
      <c r="B29" s="221"/>
      <c r="C29" s="14"/>
      <c r="D29" s="36"/>
      <c r="E29" s="19"/>
    </row>
    <row r="30" spans="1:7">
      <c r="A30" s="14"/>
      <c r="B30" s="221"/>
      <c r="C30" s="14"/>
      <c r="D30" s="36"/>
      <c r="E30" s="19"/>
    </row>
    <row r="31" spans="1:7">
      <c r="A31" s="313" t="str">
        <f>CONCATENATE("Total Expenditures for ",D5-1,"")</f>
        <v>Total Expenditures for 2012</v>
      </c>
      <c r="B31" s="316"/>
      <c r="C31" s="256"/>
      <c r="D31" s="157">
        <f>SUM(D16:D25,D29:D30)</f>
        <v>24971</v>
      </c>
      <c r="E31" s="14"/>
    </row>
    <row r="32" spans="1:7">
      <c r="A32" s="14"/>
      <c r="B32" s="14"/>
      <c r="C32" s="14"/>
      <c r="D32" s="14"/>
      <c r="E32" s="14"/>
    </row>
    <row r="33" spans="1:5">
      <c r="A33" s="271" t="s">
        <v>332</v>
      </c>
      <c r="B33" s="19"/>
      <c r="C33" s="14"/>
      <c r="D33" s="14"/>
      <c r="E33" s="14"/>
    </row>
    <row r="34" spans="1:5">
      <c r="A34" s="317">
        <v>1</v>
      </c>
      <c r="B34" s="221"/>
      <c r="C34" s="14"/>
      <c r="D34" s="14"/>
      <c r="E34" s="14"/>
    </row>
    <row r="35" spans="1:5">
      <c r="A35" s="317">
        <v>2</v>
      </c>
      <c r="B35" s="221"/>
      <c r="C35" s="14"/>
      <c r="D35" s="14"/>
      <c r="E35" s="14"/>
    </row>
    <row r="36" spans="1:5">
      <c r="A36" s="317">
        <v>3</v>
      </c>
      <c r="B36" s="221"/>
      <c r="C36" s="14"/>
      <c r="D36" s="14"/>
      <c r="E36" s="14"/>
    </row>
    <row r="37" spans="1:5">
      <c r="A37" s="317">
        <v>4</v>
      </c>
      <c r="B37" s="221"/>
      <c r="C37" s="14"/>
      <c r="D37" s="14"/>
      <c r="E37" s="14"/>
    </row>
    <row r="38" spans="1:5">
      <c r="A38" s="317">
        <v>5</v>
      </c>
      <c r="B38" s="221"/>
      <c r="C38" s="14"/>
      <c r="D38" s="14"/>
      <c r="E38" s="14"/>
    </row>
    <row r="39" spans="1:5">
      <c r="A39" s="14"/>
      <c r="B39" s="14"/>
      <c r="C39" s="14"/>
      <c r="D39" s="14"/>
      <c r="E39" s="14"/>
    </row>
    <row r="40" spans="1:5" ht="15.75" customHeight="1">
      <c r="A40" s="304" t="s">
        <v>141</v>
      </c>
      <c r="B40" s="290"/>
      <c r="C40" s="14"/>
      <c r="D40" s="745" t="str">
        <f>CONCATENATE("",D5-3," Tax Rate                    (",D5-2," Column)")</f>
        <v>2010 Tax Rate                    (2011 Column)</v>
      </c>
      <c r="E40" s="14"/>
    </row>
    <row r="41" spans="1:5">
      <c r="A41" s="306" t="str">
        <f>CONCATENATE("the ",D5-1," Budget, Budget Summary Page:")</f>
        <v>the 2012 Budget, Budget Summary Page:</v>
      </c>
      <c r="B41" s="278"/>
      <c r="C41" s="14"/>
      <c r="D41" s="746"/>
      <c r="E41" s="14"/>
    </row>
    <row r="42" spans="1:5">
      <c r="A42" s="14"/>
      <c r="B42" s="84" t="str">
        <f>B16</f>
        <v>General</v>
      </c>
      <c r="C42" s="14"/>
      <c r="D42" s="318">
        <v>0</v>
      </c>
      <c r="E42" s="14"/>
    </row>
    <row r="43" spans="1:5">
      <c r="A43" s="14"/>
      <c r="B43" s="84" t="str">
        <f>B17</f>
        <v>Debt Service</v>
      </c>
      <c r="C43" s="14"/>
      <c r="D43" s="319"/>
      <c r="E43" s="14"/>
    </row>
    <row r="44" spans="1:5">
      <c r="A44" s="14"/>
      <c r="B44" s="84" t="str">
        <f>B18</f>
        <v>Library</v>
      </c>
      <c r="C44" s="14"/>
      <c r="D44" s="319"/>
      <c r="E44" s="14"/>
    </row>
    <row r="45" spans="1:5">
      <c r="A45" s="14"/>
      <c r="B45" s="84" t="str">
        <f t="shared" ref="B45:B51" si="0">B19</f>
        <v>Road</v>
      </c>
      <c r="C45" s="14"/>
      <c r="D45" s="319">
        <v>2.5390000000000001</v>
      </c>
      <c r="E45" s="14"/>
    </row>
    <row r="46" spans="1:5">
      <c r="A46" s="14"/>
      <c r="B46" s="71" t="str">
        <f t="shared" si="0"/>
        <v>Prairie Dog</v>
      </c>
      <c r="C46" s="14"/>
      <c r="D46" s="319"/>
      <c r="E46" s="14"/>
    </row>
    <row r="47" spans="1:5">
      <c r="A47" s="14"/>
      <c r="B47" s="71" t="str">
        <f t="shared" si="0"/>
        <v>Noxious Weed</v>
      </c>
      <c r="C47" s="14"/>
      <c r="D47" s="319"/>
      <c r="E47" s="14"/>
    </row>
    <row r="48" spans="1:5">
      <c r="A48" s="14"/>
      <c r="B48" s="71">
        <f t="shared" si="0"/>
        <v>0</v>
      </c>
      <c r="C48" s="14"/>
      <c r="D48" s="319"/>
      <c r="E48" s="14"/>
    </row>
    <row r="49" spans="1:5">
      <c r="A49" s="14"/>
      <c r="B49" s="71">
        <f t="shared" si="0"/>
        <v>0</v>
      </c>
      <c r="C49" s="14"/>
      <c r="D49" s="319"/>
      <c r="E49" s="14"/>
    </row>
    <row r="50" spans="1:5">
      <c r="A50" s="14"/>
      <c r="B50" s="71">
        <f t="shared" si="0"/>
        <v>0</v>
      </c>
      <c r="C50" s="14"/>
      <c r="D50" s="319"/>
      <c r="E50" s="14"/>
    </row>
    <row r="51" spans="1:5">
      <c r="A51" s="14"/>
      <c r="B51" s="71">
        <f t="shared" si="0"/>
        <v>0</v>
      </c>
      <c r="C51" s="14"/>
      <c r="D51" s="319"/>
      <c r="E51" s="14"/>
    </row>
    <row r="52" spans="1:5" ht="16.5" thickBot="1">
      <c r="A52" s="70" t="str">
        <f>CONCATENATE("Total ",D5-3," Tax Levy Rate")</f>
        <v>Total 2010 Tax Levy Rate</v>
      </c>
      <c r="B52" s="320"/>
      <c r="C52" s="256"/>
      <c r="D52" s="321">
        <f>SUM(D42:D51)</f>
        <v>2.5390000000000001</v>
      </c>
      <c r="E52" s="14"/>
    </row>
    <row r="53" spans="1:5" ht="16.5" thickTop="1">
      <c r="A53" s="14"/>
      <c r="B53" s="14"/>
      <c r="C53" s="14"/>
      <c r="D53" s="14"/>
      <c r="E53" s="14"/>
    </row>
    <row r="54" spans="1:5">
      <c r="A54" s="322" t="str">
        <f>CONCATENATE("Total Tax Levied (",D5-2," budget column)")</f>
        <v>Total Tax Levied (2011 budget column)</v>
      </c>
      <c r="B54" s="323"/>
      <c r="C54" s="20"/>
      <c r="D54" s="256"/>
      <c r="E54" s="184">
        <v>8292</v>
      </c>
    </row>
    <row r="55" spans="1:5">
      <c r="A55" s="324" t="str">
        <f>CONCATENATE("Assessed Valuation (",D5-2," budget column)")</f>
        <v>Assessed Valuation (2011 budget column)</v>
      </c>
      <c r="B55" s="325"/>
      <c r="C55" s="264"/>
      <c r="D55" s="28"/>
      <c r="E55" s="184">
        <v>3266277</v>
      </c>
    </row>
    <row r="56" spans="1:5">
      <c r="A56" s="271"/>
      <c r="B56" s="19"/>
      <c r="C56" s="19"/>
      <c r="D56" s="19"/>
      <c r="E56" s="281"/>
    </row>
    <row r="57" spans="1:5">
      <c r="A57" s="14"/>
      <c r="B57" s="14"/>
      <c r="C57" s="14"/>
      <c r="D57" s="14"/>
      <c r="E57" s="55"/>
    </row>
    <row r="58" spans="1:5">
      <c r="A58" s="290" t="s">
        <v>196</v>
      </c>
      <c r="B58" s="290"/>
      <c r="C58" s="128"/>
      <c r="D58" s="326">
        <f>D5-3</f>
        <v>2010</v>
      </c>
      <c r="E58" s="326">
        <f>D5-2</f>
        <v>2011</v>
      </c>
    </row>
    <row r="59" spans="1:5">
      <c r="A59" s="323" t="s">
        <v>159</v>
      </c>
      <c r="B59" s="323"/>
      <c r="C59" s="327"/>
      <c r="D59" s="36"/>
      <c r="E59" s="36"/>
    </row>
    <row r="60" spans="1:5">
      <c r="A60" s="325" t="s">
        <v>160</v>
      </c>
      <c r="B60" s="325"/>
      <c r="C60" s="328"/>
      <c r="D60" s="36"/>
      <c r="E60" s="36"/>
    </row>
    <row r="61" spans="1:5">
      <c r="A61" s="325" t="s">
        <v>161</v>
      </c>
      <c r="B61" s="325"/>
      <c r="C61" s="328"/>
      <c r="D61" s="36"/>
      <c r="E61" s="36"/>
    </row>
    <row r="62" spans="1:5">
      <c r="A62" s="325"/>
      <c r="B62" s="325"/>
      <c r="C62" s="329"/>
      <c r="D62" s="36"/>
      <c r="E62" s="36"/>
    </row>
    <row r="63" spans="1:5">
      <c r="A63" s="12"/>
      <c r="B63" s="12"/>
      <c r="C63" s="12"/>
      <c r="D63" s="12"/>
      <c r="E63" s="12"/>
    </row>
    <row r="64" spans="1:5">
      <c r="A64" s="12"/>
      <c r="B64" s="12"/>
      <c r="C64" s="12"/>
      <c r="D64" s="12"/>
      <c r="E64" s="12"/>
    </row>
    <row r="65" spans="1:5">
      <c r="A65" s="12"/>
      <c r="B65" s="12"/>
      <c r="C65" s="12"/>
      <c r="D65" s="12"/>
      <c r="E65" s="12"/>
    </row>
    <row r="66" spans="1:5">
      <c r="A66" s="12"/>
      <c r="B66" s="12"/>
      <c r="C66" s="12"/>
      <c r="D66" s="12"/>
      <c r="E66" s="12"/>
    </row>
    <row r="67" spans="1:5">
      <c r="A67" s="12"/>
      <c r="B67" s="12"/>
      <c r="C67" s="12"/>
      <c r="D67" s="12"/>
      <c r="E67" s="12"/>
    </row>
    <row r="68" spans="1:5">
      <c r="A68" s="12"/>
      <c r="B68" s="12"/>
      <c r="C68" s="12"/>
      <c r="D68" s="12"/>
      <c r="E68" s="12"/>
    </row>
    <row r="69" spans="1:5">
      <c r="A69" s="12"/>
      <c r="B69" s="12"/>
      <c r="C69" s="12"/>
      <c r="D69" s="12"/>
      <c r="E69" s="12"/>
    </row>
    <row r="70" spans="1:5">
      <c r="A70" s="12"/>
      <c r="B70" s="12"/>
      <c r="C70" s="12"/>
      <c r="D70" s="12"/>
      <c r="E70" s="12"/>
    </row>
    <row r="71" spans="1:5">
      <c r="A71" s="12"/>
      <c r="B71" s="12"/>
      <c r="C71" s="12"/>
      <c r="D71" s="12"/>
      <c r="E71" s="12"/>
    </row>
    <row r="72" spans="1:5">
      <c r="A72" s="12"/>
      <c r="B72" s="12"/>
      <c r="C72" s="12"/>
      <c r="D72" s="12"/>
      <c r="E72" s="12"/>
    </row>
    <row r="73" spans="1:5" s="330" customFormat="1">
      <c r="A73" s="12"/>
      <c r="B73" s="12"/>
      <c r="C73" s="12"/>
      <c r="D73" s="12"/>
      <c r="E73" s="12"/>
    </row>
    <row r="74" spans="1:5">
      <c r="A74" s="12"/>
      <c r="B74" s="12"/>
      <c r="C74" s="12"/>
      <c r="D74" s="12"/>
      <c r="E74" s="12"/>
    </row>
    <row r="75" spans="1:5">
      <c r="A75" s="12"/>
      <c r="B75" s="12"/>
      <c r="C75" s="12"/>
      <c r="D75" s="12"/>
      <c r="E75" s="12"/>
    </row>
    <row r="76" spans="1:5">
      <c r="A76" s="12"/>
      <c r="B76" s="12"/>
      <c r="C76" s="12"/>
      <c r="D76" s="12"/>
      <c r="E76" s="12"/>
    </row>
    <row r="77" spans="1:5">
      <c r="A77" s="12"/>
      <c r="B77" s="12"/>
      <c r="C77" s="12"/>
      <c r="D77" s="12"/>
      <c r="E77" s="12"/>
    </row>
    <row r="78" spans="1:5">
      <c r="A78" s="12"/>
      <c r="B78" s="12"/>
      <c r="C78" s="12"/>
      <c r="D78" s="12"/>
      <c r="E78" s="12"/>
    </row>
    <row r="79" spans="1:5">
      <c r="A79" s="12"/>
      <c r="B79" s="12"/>
      <c r="C79" s="12"/>
      <c r="D79" s="12"/>
      <c r="E79" s="12"/>
    </row>
    <row r="80" spans="1:5">
      <c r="A80" s="12"/>
      <c r="B80" s="12"/>
      <c r="C80" s="12"/>
      <c r="D80" s="12"/>
      <c r="E80" s="12"/>
    </row>
    <row r="81" spans="1:7">
      <c r="A81" s="12"/>
      <c r="B81" s="12"/>
      <c r="C81" s="12"/>
      <c r="D81" s="12"/>
      <c r="E81" s="12"/>
    </row>
    <row r="82" spans="1:7">
      <c r="A82" s="12"/>
      <c r="B82" s="12"/>
      <c r="C82" s="12"/>
      <c r="D82" s="12"/>
      <c r="E82" s="12"/>
    </row>
    <row r="83" spans="1:7" s="79" customFormat="1">
      <c r="A83" s="12"/>
      <c r="B83" s="12"/>
      <c r="C83" s="12"/>
      <c r="D83" s="12"/>
      <c r="E83" s="12"/>
      <c r="G83" s="16"/>
    </row>
    <row r="84" spans="1:7" s="79" customFormat="1">
      <c r="A84" s="12"/>
      <c r="B84" s="12"/>
      <c r="C84" s="12"/>
      <c r="D84" s="12"/>
      <c r="E84" s="12"/>
      <c r="G84" s="16"/>
    </row>
    <row r="85" spans="1:7">
      <c r="A85" s="12"/>
      <c r="B85" s="12"/>
      <c r="C85" s="12"/>
      <c r="D85" s="12"/>
      <c r="E85" s="12"/>
    </row>
  </sheetData>
  <sheetProtection sheet="1"/>
  <mergeCells count="3">
    <mergeCell ref="D40:D41"/>
    <mergeCell ref="A10:E10"/>
    <mergeCell ref="G7:H12"/>
  </mergeCells>
  <phoneticPr fontId="0" type="noConversion"/>
  <pageMargins left="0.3" right="0.3" top="0.5" bottom="0.5" header="0.3" footer="0.3"/>
  <pageSetup fitToHeight="2" orientation="portrait" blackAndWhite="1" horizontalDpi="4294967292" verticalDpi="96"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57"/>
  <sheetViews>
    <sheetView topLeftCell="A20" workbookViewId="0">
      <selection activeCell="E37" sqref="E37"/>
    </sheetView>
  </sheetViews>
  <sheetFormatPr defaultRowHeight="15.75"/>
  <cols>
    <col min="1" max="1" width="14.19921875" style="79" customWidth="1"/>
    <col min="2" max="2" width="18.69921875" style="79" customWidth="1"/>
    <col min="3" max="3" width="9.69921875" style="79" customWidth="1"/>
    <col min="4" max="4" width="14.09765625" style="79" customWidth="1"/>
    <col min="5" max="5" width="12.796875" style="79" customWidth="1"/>
    <col min="6" max="16384" width="8.796875" style="79"/>
  </cols>
  <sheetData>
    <row r="1" spans="1:5">
      <c r="A1" s="87" t="str">
        <f>inputPrYr!D2</f>
        <v>Paxton Township</v>
      </c>
      <c r="B1" s="89"/>
      <c r="C1" s="89"/>
      <c r="D1" s="89"/>
      <c r="E1" s="89">
        <f>inputPrYr!D5</f>
        <v>2013</v>
      </c>
    </row>
    <row r="2" spans="1:5">
      <c r="A2" s="87" t="str">
        <f>inputPrYr!D3</f>
        <v>Logan County</v>
      </c>
      <c r="B2" s="89"/>
      <c r="C2" s="89"/>
      <c r="D2" s="89"/>
      <c r="E2" s="89"/>
    </row>
    <row r="3" spans="1:5">
      <c r="A3" s="89"/>
      <c r="B3" s="89"/>
      <c r="C3" s="89"/>
      <c r="D3" s="89"/>
      <c r="E3" s="89"/>
    </row>
    <row r="4" spans="1:5">
      <c r="A4" s="747" t="s">
        <v>152</v>
      </c>
      <c r="B4" s="748"/>
      <c r="C4" s="748"/>
      <c r="D4" s="748"/>
      <c r="E4" s="748"/>
    </row>
    <row r="5" spans="1:5">
      <c r="A5" s="89"/>
      <c r="B5" s="89"/>
      <c r="C5" s="89"/>
      <c r="D5" s="89"/>
      <c r="E5" s="89"/>
    </row>
    <row r="6" spans="1:5">
      <c r="A6" s="277" t="str">
        <f>CONCATENATE("From the County Clerks Budget Information for ",E1,":")</f>
        <v>From the County Clerks Budget Information for 2013:</v>
      </c>
      <c r="B6" s="278"/>
      <c r="C6" s="278"/>
      <c r="D6" s="14"/>
      <c r="E6" s="55"/>
    </row>
    <row r="7" spans="1:5">
      <c r="A7" s="22" t="str">
        <f>CONCATENATE("Total Assessed Valuation for ",E1-1,"")</f>
        <v>Total Assessed Valuation for 2012</v>
      </c>
      <c r="B7" s="19"/>
      <c r="C7" s="19"/>
      <c r="D7" s="19"/>
      <c r="E7" s="279">
        <v>3461441</v>
      </c>
    </row>
    <row r="8" spans="1:5">
      <c r="A8" s="22" t="str">
        <f>CONCATENATE("New Improvements for ",E1-1,"")</f>
        <v>New Improvements for 2012</v>
      </c>
      <c r="B8" s="19"/>
      <c r="C8" s="19"/>
      <c r="D8" s="19"/>
      <c r="E8" s="280"/>
    </row>
    <row r="9" spans="1:5">
      <c r="A9" s="22" t="str">
        <f>CONCATENATE("Personal Property excluding oil, gas, and mobile homes - ",E1-1,"")</f>
        <v>Personal Property excluding oil, gas, and mobile homes - 2012</v>
      </c>
      <c r="B9" s="19"/>
      <c r="C9" s="19"/>
      <c r="D9" s="19"/>
      <c r="E9" s="280">
        <v>7683</v>
      </c>
    </row>
    <row r="10" spans="1:5">
      <c r="A10" s="22" t="str">
        <f>CONCATENATE("Property that has changed in use for ",E1-1,"")</f>
        <v>Property that has changed in use for 2012</v>
      </c>
      <c r="B10" s="19"/>
      <c r="C10" s="19"/>
      <c r="D10" s="19"/>
      <c r="E10" s="280">
        <v>1575</v>
      </c>
    </row>
    <row r="11" spans="1:5">
      <c r="A11" s="22" t="str">
        <f>CONCATENATE("Personal Property excluding oil, gas, and mobile homes- ",E1-2,"")</f>
        <v>Personal Property excluding oil, gas, and mobile homes- 2011</v>
      </c>
      <c r="B11" s="19"/>
      <c r="C11" s="19"/>
      <c r="D11" s="19"/>
      <c r="E11" s="280">
        <v>8620</v>
      </c>
    </row>
    <row r="12" spans="1:5">
      <c r="A12" s="22" t="str">
        <f>CONCATENATE("Gross earnings (intangible) tax estimate for ",E1,"")</f>
        <v>Gross earnings (intangible) tax estimate for 2013</v>
      </c>
      <c r="B12" s="19"/>
      <c r="C12" s="19"/>
      <c r="D12" s="19"/>
      <c r="E12" s="280"/>
    </row>
    <row r="13" spans="1:5">
      <c r="A13" s="22" t="str">
        <f>CONCATENATE("Neighborhood Revitalization - ",E1,"")</f>
        <v>Neighborhood Revitalization - 2013</v>
      </c>
      <c r="B13" s="19"/>
      <c r="C13" s="19"/>
      <c r="D13" s="19"/>
      <c r="E13" s="280">
        <v>31915</v>
      </c>
    </row>
    <row r="14" spans="1:5">
      <c r="A14" s="22"/>
      <c r="B14" s="19"/>
      <c r="C14" s="19"/>
      <c r="D14" s="19"/>
      <c r="E14" s="281"/>
    </row>
    <row r="15" spans="1:5">
      <c r="A15" s="282" t="str">
        <f>CONCATENATE("Actual Tax Rates for the ",E1-1," Budget:")</f>
        <v>Actual Tax Rates for the 2012 Budget:</v>
      </c>
      <c r="B15" s="19"/>
      <c r="C15" s="19"/>
      <c r="D15" s="19"/>
      <c r="E15" s="283"/>
    </row>
    <row r="16" spans="1:5">
      <c r="A16" s="752" t="s">
        <v>280</v>
      </c>
      <c r="B16" s="753"/>
      <c r="C16" s="89"/>
      <c r="D16" s="284" t="s">
        <v>3</v>
      </c>
      <c r="E16" s="283"/>
    </row>
    <row r="17" spans="1:5">
      <c r="A17" s="70" t="str">
        <f>inputPrYr!B16</f>
        <v>General</v>
      </c>
      <c r="B17" s="20"/>
      <c r="C17" s="19"/>
      <c r="D17" s="285">
        <v>0</v>
      </c>
      <c r="E17" s="283"/>
    </row>
    <row r="18" spans="1:5">
      <c r="A18" s="70" t="str">
        <f>inputPrYr!B17</f>
        <v>Debt Service</v>
      </c>
      <c r="B18" s="264"/>
      <c r="C18" s="19"/>
      <c r="D18" s="286"/>
      <c r="E18" s="283"/>
    </row>
    <row r="19" spans="1:5">
      <c r="A19" s="70" t="str">
        <f>inputPrYr!B18</f>
        <v>Library</v>
      </c>
      <c r="B19" s="264"/>
      <c r="C19" s="19"/>
      <c r="D19" s="286"/>
      <c r="E19" s="283"/>
    </row>
    <row r="20" spans="1:5">
      <c r="A20" s="70" t="str">
        <f>inputPrYr!B19</f>
        <v>Road</v>
      </c>
      <c r="B20" s="264"/>
      <c r="C20" s="19"/>
      <c r="D20" s="286">
        <v>2.5310000000000001</v>
      </c>
      <c r="E20" s="283"/>
    </row>
    <row r="21" spans="1:5">
      <c r="A21" s="70" t="str">
        <f>inputPrYr!B20</f>
        <v>Prairie Dog</v>
      </c>
      <c r="B21" s="264"/>
      <c r="C21" s="19"/>
      <c r="D21" s="286"/>
      <c r="E21" s="283"/>
    </row>
    <row r="22" spans="1:5">
      <c r="A22" s="70" t="str">
        <f>inputPrYr!B21</f>
        <v>Noxious Weed</v>
      </c>
      <c r="B22" s="264"/>
      <c r="C22" s="19"/>
      <c r="D22" s="286"/>
      <c r="E22" s="283"/>
    </row>
    <row r="23" spans="1:5">
      <c r="A23" s="70">
        <f>inputPrYr!B22</f>
        <v>0</v>
      </c>
      <c r="B23" s="264"/>
      <c r="C23" s="19"/>
      <c r="D23" s="287"/>
      <c r="E23" s="283"/>
    </row>
    <row r="24" spans="1:5">
      <c r="A24" s="70">
        <f>inputPrYr!B23</f>
        <v>0</v>
      </c>
      <c r="B24" s="264"/>
      <c r="C24" s="19"/>
      <c r="D24" s="287"/>
      <c r="E24" s="283"/>
    </row>
    <row r="25" spans="1:5">
      <c r="A25" s="70">
        <f>inputPrYr!B24</f>
        <v>0</v>
      </c>
      <c r="B25" s="264"/>
      <c r="C25" s="19"/>
      <c r="D25" s="287"/>
      <c r="E25" s="283"/>
    </row>
    <row r="26" spans="1:5">
      <c r="A26" s="70">
        <f>inputPrYr!B25</f>
        <v>0</v>
      </c>
      <c r="B26" s="264"/>
      <c r="C26" s="19"/>
      <c r="D26" s="287"/>
      <c r="E26" s="283"/>
    </row>
    <row r="27" spans="1:5">
      <c r="A27" s="14"/>
      <c r="B27" s="20" t="s">
        <v>270</v>
      </c>
      <c r="C27" s="256"/>
      <c r="D27" s="288">
        <f>SUM(D17:D26)</f>
        <v>2.5310000000000001</v>
      </c>
      <c r="E27" s="14"/>
    </row>
    <row r="28" spans="1:5">
      <c r="A28" s="14"/>
      <c r="B28" s="14"/>
      <c r="C28" s="14"/>
      <c r="D28" s="14"/>
      <c r="E28" s="14"/>
    </row>
    <row r="29" spans="1:5">
      <c r="A29" s="20" t="str">
        <f>CONCATENATE("Final Assessed Valuation from the November 1, ",E1-2," Abstract:")</f>
        <v>Final Assessed Valuation from the November 1, 2011 Abstract:</v>
      </c>
      <c r="B29" s="20"/>
      <c r="C29" s="20"/>
      <c r="D29" s="20"/>
      <c r="E29" s="36">
        <v>3349814</v>
      </c>
    </row>
    <row r="30" spans="1:5">
      <c r="A30" s="14"/>
      <c r="B30" s="14"/>
      <c r="C30" s="14"/>
      <c r="D30" s="14"/>
      <c r="E30" s="14"/>
    </row>
    <row r="31" spans="1:5">
      <c r="A31" s="289" t="str">
        <f>CONCATENATE("From the County Treasurer's Budget Information - ",E1," Budget Year Estimates:")</f>
        <v>From the County Treasurer's Budget Information - 2013 Budget Year Estimates:</v>
      </c>
      <c r="B31" s="290"/>
      <c r="C31" s="290"/>
      <c r="D31" s="291"/>
      <c r="E31" s="55"/>
    </row>
    <row r="32" spans="1:5">
      <c r="A32" s="70" t="s">
        <v>153</v>
      </c>
      <c r="B32" s="20"/>
      <c r="C32" s="20"/>
      <c r="D32" s="292"/>
      <c r="E32" s="34">
        <v>102</v>
      </c>
    </row>
    <row r="33" spans="1:5">
      <c r="A33" s="293" t="s">
        <v>271</v>
      </c>
      <c r="B33" s="264"/>
      <c r="C33" s="264"/>
      <c r="D33" s="31"/>
      <c r="E33" s="34"/>
    </row>
    <row r="34" spans="1:5">
      <c r="A34" s="293" t="s">
        <v>154</v>
      </c>
      <c r="B34" s="264"/>
      <c r="C34" s="264"/>
      <c r="D34" s="31"/>
      <c r="E34" s="34">
        <v>4</v>
      </c>
    </row>
    <row r="35" spans="1:5">
      <c r="A35" s="293" t="s">
        <v>155</v>
      </c>
      <c r="B35" s="264"/>
      <c r="C35" s="264"/>
      <c r="D35" s="31"/>
      <c r="E35" s="34"/>
    </row>
    <row r="36" spans="1:5">
      <c r="A36" s="293" t="s">
        <v>97</v>
      </c>
      <c r="B36" s="20"/>
      <c r="C36" s="20"/>
      <c r="D36" s="292"/>
      <c r="E36" s="34">
        <v>1090</v>
      </c>
    </row>
    <row r="37" spans="1:5">
      <c r="A37" s="14" t="s">
        <v>156</v>
      </c>
      <c r="B37" s="14"/>
      <c r="C37" s="14"/>
      <c r="D37" s="14"/>
      <c r="E37" s="14"/>
    </row>
    <row r="38" spans="1:5">
      <c r="A38" s="67" t="s">
        <v>157</v>
      </c>
      <c r="B38" s="144"/>
      <c r="C38" s="144"/>
      <c r="D38" s="14"/>
      <c r="E38" s="14"/>
    </row>
    <row r="39" spans="1:5">
      <c r="A39" s="70" t="str">
        <f>CONCATENATE("Actual Delinquency for ",E1-3," Tax - (rate .01213 = 1.213%, key in 1.2)")</f>
        <v>Actual Delinquency for 2010 Tax - (rate .01213 = 1.213%, key in 1.2)</v>
      </c>
      <c r="B39" s="20"/>
      <c r="C39" s="20"/>
      <c r="D39" s="256"/>
      <c r="E39" s="732">
        <v>0</v>
      </c>
    </row>
    <row r="40" spans="1:5">
      <c r="A40" s="293" t="s">
        <v>849</v>
      </c>
      <c r="B40" s="271"/>
      <c r="C40" s="19"/>
      <c r="D40" s="19"/>
      <c r="E40" s="733">
        <v>0</v>
      </c>
    </row>
    <row r="41" spans="1:5">
      <c r="A41" s="294" t="s">
        <v>158</v>
      </c>
      <c r="B41" s="294"/>
      <c r="C41" s="295"/>
      <c r="D41" s="295"/>
      <c r="E41" s="296"/>
    </row>
    <row r="42" spans="1:5">
      <c r="A42" s="139"/>
      <c r="B42" s="139"/>
      <c r="C42" s="139"/>
      <c r="D42" s="139"/>
      <c r="E42" s="139"/>
    </row>
    <row r="43" spans="1:5">
      <c r="A43" s="754" t="str">
        <f>CONCATENATE("From the ",E1-2," Budget Certificate Page")</f>
        <v>From the 2011 Budget Certificate Page</v>
      </c>
      <c r="B43" s="755"/>
      <c r="C43" s="139"/>
      <c r="D43" s="139"/>
      <c r="E43" s="139"/>
    </row>
    <row r="44" spans="1:5">
      <c r="A44" s="297"/>
      <c r="B44" s="297" t="str">
        <f>CONCATENATE("",E1-2," Expenditure Amounts")</f>
        <v>2011 Expenditure Amounts</v>
      </c>
      <c r="C44" s="756" t="str">
        <f>CONCATENATE("Note: If the ",E1-2," budget was amended, then the")</f>
        <v>Note: If the 2011 budget was amended, then the</v>
      </c>
      <c r="D44" s="757"/>
      <c r="E44" s="757"/>
    </row>
    <row r="45" spans="1:5">
      <c r="A45" s="298" t="s">
        <v>202</v>
      </c>
      <c r="B45" s="298" t="s">
        <v>203</v>
      </c>
      <c r="C45" s="299" t="s">
        <v>204</v>
      </c>
      <c r="D45" s="300"/>
      <c r="E45" s="300"/>
    </row>
    <row r="46" spans="1:5">
      <c r="A46" s="301" t="str">
        <f>inputPrYr!B16</f>
        <v>General</v>
      </c>
      <c r="B46" s="36">
        <v>2750</v>
      </c>
      <c r="C46" s="299" t="s">
        <v>205</v>
      </c>
      <c r="D46" s="300"/>
      <c r="E46" s="300"/>
    </row>
    <row r="47" spans="1:5">
      <c r="A47" s="301" t="str">
        <f>inputPrYr!B17</f>
        <v>Debt Service</v>
      </c>
      <c r="B47" s="36"/>
      <c r="C47" s="299"/>
      <c r="D47" s="300"/>
      <c r="E47" s="300"/>
    </row>
    <row r="48" spans="1:5">
      <c r="A48" s="301" t="str">
        <f>inputPrYr!B18</f>
        <v>Library</v>
      </c>
      <c r="B48" s="36"/>
      <c r="C48" s="299"/>
      <c r="D48" s="300"/>
      <c r="E48" s="300"/>
    </row>
    <row r="49" spans="1:5">
      <c r="A49" s="301" t="str">
        <f>inputPrYr!B19</f>
        <v>Road</v>
      </c>
      <c r="B49" s="36">
        <v>17766</v>
      </c>
      <c r="C49" s="139"/>
      <c r="D49" s="139"/>
      <c r="E49" s="139"/>
    </row>
    <row r="50" spans="1:5">
      <c r="A50" s="301" t="str">
        <f>inputPrYr!B20</f>
        <v>Prairie Dog</v>
      </c>
      <c r="B50" s="36">
        <v>0</v>
      </c>
      <c r="C50" s="139"/>
      <c r="D50" s="139"/>
      <c r="E50" s="139"/>
    </row>
    <row r="51" spans="1:5">
      <c r="A51" s="301" t="str">
        <f>inputPrYr!B21</f>
        <v>Noxious Weed</v>
      </c>
      <c r="B51" s="36">
        <v>0</v>
      </c>
      <c r="C51" s="139"/>
      <c r="D51" s="139"/>
      <c r="E51" s="139"/>
    </row>
    <row r="52" spans="1:5">
      <c r="A52" s="301">
        <f>inputPrYr!B22</f>
        <v>0</v>
      </c>
      <c r="B52" s="36"/>
      <c r="C52" s="139"/>
      <c r="D52" s="139"/>
      <c r="E52" s="139"/>
    </row>
    <row r="53" spans="1:5">
      <c r="A53" s="301">
        <f>inputPrYr!B23</f>
        <v>0</v>
      </c>
      <c r="B53" s="36"/>
      <c r="C53" s="139"/>
      <c r="D53" s="139"/>
      <c r="E53" s="139"/>
    </row>
    <row r="54" spans="1:5">
      <c r="A54" s="301">
        <f>inputPrYr!B24</f>
        <v>0</v>
      </c>
      <c r="B54" s="36"/>
      <c r="C54" s="139"/>
      <c r="D54" s="139"/>
      <c r="E54" s="139"/>
    </row>
    <row r="55" spans="1:5">
      <c r="A55" s="301">
        <f>inputPrYr!B25</f>
        <v>0</v>
      </c>
      <c r="B55" s="36"/>
      <c r="C55" s="139"/>
      <c r="D55" s="139"/>
      <c r="E55" s="139"/>
    </row>
    <row r="56" spans="1:5">
      <c r="A56" s="301">
        <f>inputPrYr!B29</f>
        <v>0</v>
      </c>
      <c r="B56" s="36"/>
      <c r="C56" s="139"/>
      <c r="D56" s="139"/>
      <c r="E56" s="139"/>
    </row>
    <row r="57" spans="1:5">
      <c r="A57" s="301">
        <f>inputPrYr!B30</f>
        <v>0</v>
      </c>
      <c r="B57" s="36"/>
      <c r="C57" s="139"/>
      <c r="D57" s="139"/>
      <c r="E57" s="139"/>
    </row>
  </sheetData>
  <sheetProtection sheet="1"/>
  <mergeCells count="4">
    <mergeCell ref="A4:E4"/>
    <mergeCell ref="A16:B16"/>
    <mergeCell ref="A43:B43"/>
    <mergeCell ref="C44:E44"/>
  </mergeCells>
  <phoneticPr fontId="11" type="noConversion"/>
  <pageMargins left="0.75" right="0.75" top="1" bottom="1" header="0.5" footer="0.5"/>
  <pageSetup scale="83" orientation="portrait" blackAndWhite="1" r:id="rId1"/>
  <headerFooter alignWithMargins="0"/>
</worksheet>
</file>

<file path=xl/worksheets/sheet4.xml><?xml version="1.0" encoding="utf-8"?>
<worksheet xmlns="http://schemas.openxmlformats.org/spreadsheetml/2006/main" xmlns:r="http://schemas.openxmlformats.org/officeDocument/2006/relationships">
  <dimension ref="A1:J26"/>
  <sheetViews>
    <sheetView workbookViewId="0">
      <selection activeCell="B1" sqref="B1"/>
    </sheetView>
  </sheetViews>
  <sheetFormatPr defaultRowHeight="15.75"/>
  <cols>
    <col min="1" max="1" width="13.69921875" customWidth="1"/>
    <col min="2" max="2" width="16" customWidth="1"/>
  </cols>
  <sheetData>
    <row r="1" spans="1:10">
      <c r="J1" s="713" t="s">
        <v>833</v>
      </c>
    </row>
    <row r="2" spans="1:10" ht="54" customHeight="1">
      <c r="A2" s="758" t="s">
        <v>366</v>
      </c>
      <c r="B2" s="759"/>
      <c r="C2" s="759"/>
      <c r="D2" s="759"/>
      <c r="E2" s="759"/>
      <c r="F2" s="759"/>
      <c r="J2" s="713" t="s">
        <v>834</v>
      </c>
    </row>
    <row r="3" spans="1:10">
      <c r="J3" s="713" t="s">
        <v>835</v>
      </c>
    </row>
    <row r="4" spans="1:10">
      <c r="A4" s="475" t="s">
        <v>831</v>
      </c>
      <c r="B4" s="356" t="s">
        <v>939</v>
      </c>
      <c r="C4" s="712"/>
      <c r="J4" s="713" t="s">
        <v>836</v>
      </c>
    </row>
    <row r="5" spans="1:10">
      <c r="A5" s="475"/>
      <c r="B5" s="712"/>
      <c r="J5" s="713" t="s">
        <v>837</v>
      </c>
    </row>
    <row r="6" spans="1:10">
      <c r="A6" s="475" t="s">
        <v>832</v>
      </c>
      <c r="B6" s="356" t="s">
        <v>940</v>
      </c>
      <c r="J6" s="713" t="s">
        <v>838</v>
      </c>
    </row>
    <row r="7" spans="1:10">
      <c r="A7" s="353"/>
      <c r="B7" s="353"/>
      <c r="C7" s="353"/>
      <c r="D7" s="355"/>
      <c r="E7" s="353"/>
      <c r="F7" s="353"/>
      <c r="J7" s="713" t="s">
        <v>839</v>
      </c>
    </row>
    <row r="8" spans="1:10">
      <c r="A8" s="354" t="s">
        <v>367</v>
      </c>
      <c r="B8" s="356" t="s">
        <v>949</v>
      </c>
      <c r="C8" s="357"/>
      <c r="D8" s="354" t="s">
        <v>830</v>
      </c>
      <c r="E8" s="353"/>
      <c r="F8" s="353"/>
      <c r="J8" s="713" t="s">
        <v>840</v>
      </c>
    </row>
    <row r="9" spans="1:10">
      <c r="A9" s="354"/>
      <c r="B9" s="358"/>
      <c r="C9" s="359"/>
      <c r="D9" s="354" t="str">
        <f ca="1">IF(B8="","",CONCATENATE("Latest date for notice to be published in your newspaper: ",G19," ",G23,", ",G24))</f>
        <v>Latest date for notice to be published in your newspaper: September 18, 2012</v>
      </c>
      <c r="E9" s="353"/>
      <c r="F9" s="353"/>
      <c r="J9" s="713" t="s">
        <v>841</v>
      </c>
    </row>
    <row r="10" spans="1:10">
      <c r="A10" s="354" t="s">
        <v>368</v>
      </c>
      <c r="B10" s="356" t="s">
        <v>950</v>
      </c>
      <c r="C10" s="360"/>
      <c r="D10" s="354"/>
      <c r="E10" s="353"/>
      <c r="F10" s="353"/>
      <c r="J10" s="713" t="s">
        <v>842</v>
      </c>
    </row>
    <row r="11" spans="1:10">
      <c r="A11" s="354"/>
      <c r="B11" s="354"/>
      <c r="C11" s="354"/>
      <c r="D11" s="354"/>
      <c r="E11" s="353"/>
      <c r="F11" s="353"/>
      <c r="J11" s="713" t="s">
        <v>843</v>
      </c>
    </row>
    <row r="12" spans="1:10">
      <c r="A12" s="354" t="s">
        <v>369</v>
      </c>
      <c r="B12" s="361" t="s">
        <v>951</v>
      </c>
      <c r="C12" s="361"/>
      <c r="D12" s="361"/>
      <c r="E12" s="362"/>
      <c r="F12" s="353"/>
      <c r="J12" s="713" t="s">
        <v>844</v>
      </c>
    </row>
    <row r="13" spans="1:10">
      <c r="A13" s="354"/>
      <c r="B13" s="354"/>
      <c r="C13" s="354"/>
      <c r="D13" s="354"/>
      <c r="E13" s="353"/>
      <c r="F13" s="353"/>
    </row>
    <row r="14" spans="1:10">
      <c r="A14" s="354"/>
      <c r="B14" s="354"/>
      <c r="C14" s="354"/>
      <c r="D14" s="354"/>
      <c r="E14" s="353"/>
      <c r="F14" s="353"/>
    </row>
    <row r="15" spans="1:10">
      <c r="A15" s="354" t="s">
        <v>370</v>
      </c>
      <c r="B15" s="361" t="s">
        <v>941</v>
      </c>
      <c r="C15" s="361"/>
      <c r="D15" s="361"/>
      <c r="E15" s="362"/>
      <c r="F15" s="353"/>
    </row>
    <row r="18" spans="1:7">
      <c r="A18" s="760" t="s">
        <v>371</v>
      </c>
      <c r="B18" s="760"/>
      <c r="C18" s="354"/>
      <c r="D18" s="354"/>
      <c r="E18" s="354"/>
      <c r="F18" s="353"/>
    </row>
    <row r="19" spans="1:7">
      <c r="A19" s="354"/>
      <c r="B19" s="354"/>
      <c r="C19" s="354"/>
      <c r="D19" s="354"/>
      <c r="E19" s="354"/>
      <c r="F19" s="353"/>
      <c r="G19" s="713" t="str">
        <f ca="1">IF(B8="","",INDIRECT(G20))</f>
        <v>September</v>
      </c>
    </row>
    <row r="20" spans="1:7">
      <c r="A20" s="354" t="s">
        <v>367</v>
      </c>
      <c r="B20" s="358" t="s">
        <v>372</v>
      </c>
      <c r="C20" s="354"/>
      <c r="D20" s="354"/>
      <c r="E20" s="354"/>
      <c r="G20" s="714" t="str">
        <f>IF(B8="","",CONCATENATE("J",G22))</f>
        <v>J9</v>
      </c>
    </row>
    <row r="21" spans="1:7">
      <c r="A21" s="354"/>
      <c r="B21" s="354"/>
      <c r="C21" s="354"/>
      <c r="D21" s="354"/>
      <c r="E21" s="354"/>
      <c r="G21" s="715">
        <f>B8-10</f>
        <v>41170</v>
      </c>
    </row>
    <row r="22" spans="1:7">
      <c r="A22" s="354" t="s">
        <v>368</v>
      </c>
      <c r="B22" s="354" t="s">
        <v>373</v>
      </c>
      <c r="C22" s="354"/>
      <c r="D22" s="354"/>
      <c r="E22" s="354"/>
      <c r="G22" s="716">
        <f>IF(B8="","",MONTH(G21))</f>
        <v>9</v>
      </c>
    </row>
    <row r="23" spans="1:7">
      <c r="A23" s="354"/>
      <c r="B23" s="354"/>
      <c r="C23" s="354"/>
      <c r="D23" s="354"/>
      <c r="E23" s="354"/>
      <c r="G23" s="717">
        <f>IF(B8="","",DAY(G21))</f>
        <v>18</v>
      </c>
    </row>
    <row r="24" spans="1:7">
      <c r="A24" s="354" t="s">
        <v>369</v>
      </c>
      <c r="B24" s="354" t="s">
        <v>375</v>
      </c>
      <c r="C24" s="354"/>
      <c r="D24" s="354"/>
      <c r="E24" s="354"/>
      <c r="G24" s="718">
        <f>IF(B8="","",YEAR(G21))</f>
        <v>2012</v>
      </c>
    </row>
    <row r="25" spans="1:7">
      <c r="A25" s="354"/>
      <c r="B25" s="354"/>
      <c r="C25" s="354"/>
      <c r="D25" s="354"/>
      <c r="E25" s="354"/>
    </row>
    <row r="26" spans="1:7">
      <c r="A26" s="354" t="s">
        <v>370</v>
      </c>
      <c r="B26" s="354" t="s">
        <v>374</v>
      </c>
      <c r="C26" s="354"/>
      <c r="D26" s="354"/>
      <c r="E26" s="354"/>
    </row>
  </sheetData>
  <sheetProtection sheet="1"/>
  <mergeCells count="2">
    <mergeCell ref="A2:F2"/>
    <mergeCell ref="A18:B18"/>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sheetPr>
    <pageSetUpPr fitToPage="1"/>
  </sheetPr>
  <dimension ref="B1:H64"/>
  <sheetViews>
    <sheetView tabSelected="1" zoomScaleNormal="100" workbookViewId="0">
      <selection activeCell="D12" sqref="D12"/>
    </sheetView>
  </sheetViews>
  <sheetFormatPr defaultRowHeight="15.75"/>
  <cols>
    <col min="1" max="1" width="8.796875" style="79"/>
    <col min="2" max="2" width="20.69921875" style="79" customWidth="1"/>
    <col min="3" max="3" width="9.69921875" style="79" customWidth="1"/>
    <col min="4" max="4" width="5.69921875" style="79" customWidth="1"/>
    <col min="5" max="5" width="15.69921875" style="79" customWidth="1"/>
    <col min="6" max="6" width="12.69921875" style="79" customWidth="1"/>
    <col min="7" max="7" width="10.69921875" style="79" customWidth="1"/>
    <col min="8" max="16384" width="8.796875" style="79"/>
  </cols>
  <sheetData>
    <row r="1" spans="2:8" s="14" customFormat="1">
      <c r="B1" s="763" t="s">
        <v>67</v>
      </c>
      <c r="C1" s="763"/>
      <c r="D1" s="763"/>
      <c r="E1" s="763"/>
      <c r="F1" s="763"/>
      <c r="G1" s="763"/>
      <c r="H1" s="14">
        <f>inputPrYr!D5</f>
        <v>2013</v>
      </c>
    </row>
    <row r="2" spans="2:8" s="14" customFormat="1">
      <c r="C2" s="144"/>
      <c r="D2" s="144"/>
      <c r="E2" s="144"/>
      <c r="F2" s="144"/>
      <c r="G2" s="61"/>
    </row>
    <row r="3" spans="2:8" s="14" customFormat="1">
      <c r="B3" s="772" t="str">
        <f>CONCATENATE("To the Clerk of ",inputPrYr!D3,", State of Kansas")</f>
        <v>To the Clerk of Logan County, State of Kansas</v>
      </c>
      <c r="C3" s="771"/>
      <c r="D3" s="771"/>
      <c r="E3" s="771"/>
      <c r="F3" s="771"/>
      <c r="G3" s="771"/>
      <c r="H3" s="771"/>
    </row>
    <row r="4" spans="2:8" s="14" customFormat="1">
      <c r="B4" s="772" t="s">
        <v>146</v>
      </c>
      <c r="C4" s="780"/>
      <c r="D4" s="780"/>
      <c r="E4" s="780"/>
      <c r="F4" s="780"/>
      <c r="G4" s="780"/>
    </row>
    <row r="5" spans="2:8" s="14" customFormat="1">
      <c r="B5" s="781" t="str">
        <f>inputPrYr!D2</f>
        <v>Paxton Township</v>
      </c>
      <c r="C5" s="780"/>
      <c r="D5" s="780"/>
      <c r="E5" s="780"/>
      <c r="F5" s="780"/>
      <c r="G5" s="780"/>
    </row>
    <row r="6" spans="2:8" s="14" customFormat="1">
      <c r="B6" s="770" t="s">
        <v>144</v>
      </c>
      <c r="C6" s="771"/>
      <c r="D6" s="771"/>
      <c r="E6" s="771"/>
      <c r="F6" s="771"/>
      <c r="G6" s="771"/>
    </row>
    <row r="7" spans="2:8" s="14" customFormat="1" ht="15.75" customHeight="1">
      <c r="B7" s="772" t="s">
        <v>145</v>
      </c>
      <c r="C7" s="773"/>
      <c r="D7" s="773"/>
      <c r="E7" s="773"/>
      <c r="F7" s="773"/>
      <c r="G7" s="773"/>
    </row>
    <row r="8" spans="2:8" s="14" customFormat="1" ht="15.75" customHeight="1">
      <c r="B8" s="772" t="str">
        <f>CONCATENATE("maximum expenditures for the various funds for the year ",H1,"; and (3) the")</f>
        <v>maximum expenditures for the various funds for the year 2013; and (3) the</v>
      </c>
      <c r="C8" s="780"/>
      <c r="D8" s="780"/>
      <c r="E8" s="780"/>
      <c r="F8" s="780"/>
      <c r="G8" s="780"/>
    </row>
    <row r="9" spans="2:8" s="14" customFormat="1" ht="15.75" customHeight="1">
      <c r="B9" s="772" t="str">
        <f>CONCATENATE("Amount(s) of ",H1-1," Ad Valorem Tax are within statutory limitations for the ",H1," Budget.")</f>
        <v>Amount(s) of 2012 Ad Valorem Tax are within statutory limitations for the 2013 Budget.</v>
      </c>
      <c r="C9" s="780"/>
      <c r="D9" s="780"/>
      <c r="E9" s="780"/>
      <c r="F9" s="780"/>
      <c r="G9" s="780"/>
    </row>
    <row r="10" spans="2:8" s="14" customFormat="1" ht="15.75" customHeight="1">
      <c r="E10" s="65"/>
      <c r="F10" s="65"/>
      <c r="G10" s="65"/>
    </row>
    <row r="11" spans="2:8" s="14" customFormat="1">
      <c r="D11" s="19"/>
      <c r="E11" s="767" t="str">
        <f>CONCATENATE("",H1," Adopted Budget")</f>
        <v>2013 Adopted Budget</v>
      </c>
      <c r="F11" s="768"/>
      <c r="G11" s="769"/>
    </row>
    <row r="12" spans="2:8" s="14" customFormat="1">
      <c r="B12" s="22"/>
      <c r="D12" s="65"/>
      <c r="E12" s="252" t="s">
        <v>272</v>
      </c>
      <c r="F12" s="764" t="str">
        <f>CONCATENATE("Amount of ",H1-1," Ad Valorem Tax")</f>
        <v>Amount of 2012 Ad Valorem Tax</v>
      </c>
      <c r="G12" s="23" t="s">
        <v>273</v>
      </c>
    </row>
    <row r="13" spans="2:8" s="14" customFormat="1">
      <c r="D13" s="23" t="s">
        <v>274</v>
      </c>
      <c r="E13" s="520" t="s">
        <v>203</v>
      </c>
      <c r="F13" s="765"/>
      <c r="G13" s="155" t="s">
        <v>275</v>
      </c>
    </row>
    <row r="14" spans="2:8" s="14" customFormat="1">
      <c r="B14" s="70" t="s">
        <v>276</v>
      </c>
      <c r="C14" s="20"/>
      <c r="D14" s="26" t="s">
        <v>277</v>
      </c>
      <c r="E14" s="521" t="s">
        <v>713</v>
      </c>
      <c r="F14" s="766"/>
      <c r="G14" s="26" t="s">
        <v>279</v>
      </c>
    </row>
    <row r="15" spans="2:8" s="14" customFormat="1">
      <c r="B15" s="27" t="str">
        <f>CONCATENATE("Computation to Determine Limit for ",H1,"")</f>
        <v>Computation to Determine Limit for 2013</v>
      </c>
      <c r="C15" s="28"/>
      <c r="D15" s="23">
        <v>2</v>
      </c>
      <c r="E15" s="19"/>
      <c r="F15" s="19"/>
      <c r="G15" s="253"/>
    </row>
    <row r="16" spans="2:8" s="14" customFormat="1">
      <c r="B16" s="27" t="s">
        <v>828</v>
      </c>
      <c r="C16" s="28"/>
      <c r="D16" s="159">
        <v>3</v>
      </c>
      <c r="E16" s="19"/>
      <c r="F16" s="19"/>
      <c r="G16" s="254"/>
    </row>
    <row r="17" spans="2:7" s="14" customFormat="1">
      <c r="B17" s="63" t="s">
        <v>163</v>
      </c>
      <c r="C17" s="28"/>
      <c r="D17" s="159">
        <v>4</v>
      </c>
      <c r="E17" s="19"/>
      <c r="F17" s="19"/>
      <c r="G17" s="254"/>
    </row>
    <row r="18" spans="2:7" s="14" customFormat="1">
      <c r="B18" s="63" t="s">
        <v>135</v>
      </c>
      <c r="C18" s="28"/>
      <c r="D18" s="159">
        <v>5</v>
      </c>
      <c r="E18" s="19"/>
      <c r="F18" s="19"/>
      <c r="G18" s="254"/>
    </row>
    <row r="19" spans="2:7" s="14" customFormat="1">
      <c r="B19" s="63" t="str">
        <f>IF(inputPrYr!E18="","","Computation to Determine State Library Grant")</f>
        <v/>
      </c>
      <c r="C19" s="28"/>
      <c r="D19" s="159" t="str">
        <f>IF(inputPrYr!D18="","",'Library Grant'!F40)</f>
        <v/>
      </c>
      <c r="E19" s="19"/>
      <c r="F19" s="19"/>
      <c r="G19" s="254"/>
    </row>
    <row r="20" spans="2:7" s="14" customFormat="1">
      <c r="B20" s="255" t="s">
        <v>280</v>
      </c>
      <c r="C20" s="145" t="s">
        <v>281</v>
      </c>
      <c r="D20" s="176"/>
      <c r="G20" s="256"/>
    </row>
    <row r="21" spans="2:7" s="14" customFormat="1">
      <c r="B21" s="84" t="str">
        <f>inputPrYr!B16</f>
        <v>General</v>
      </c>
      <c r="C21" s="257" t="str">
        <f>inputPrYr!C16</f>
        <v>79-1962</v>
      </c>
      <c r="D21" s="258">
        <f>IF(gen!C51&gt;0,gen!C51,"  ")</f>
        <v>6</v>
      </c>
      <c r="E21" s="724">
        <f>IF(gen!$E$40&lt;&gt;0,gen!$E$40,"  ")</f>
        <v>16990</v>
      </c>
      <c r="F21" s="724">
        <f>IF(gen!$E$47&lt;&gt;0,gen!$E$47,0)</f>
        <v>0</v>
      </c>
      <c r="G21" s="725" t="str">
        <f>IF(AND(gen!E47=0,$C$40&gt;=0)," ",IF(AND(F21&gt;0,$C$40=0)," ",IF(AND(F21&gt;0,$C$40&gt;0),ROUND(F21/$C$40*1000,3))))</f>
        <v xml:space="preserve"> </v>
      </c>
    </row>
    <row r="22" spans="2:7" s="14" customFormat="1">
      <c r="B22" s="84" t="s">
        <v>294</v>
      </c>
      <c r="C22" s="257" t="str">
        <f>inputPrYr!C17</f>
        <v>10-113</v>
      </c>
      <c r="D22" s="258" t="str">
        <f>IF('DebtSvs-Library'!C83&gt;0,'DebtSvs-Library'!C83,"  ")</f>
        <v xml:space="preserve">  </v>
      </c>
      <c r="E22" s="724" t="str">
        <f>IF('DebtSvs-Library'!E33&lt;&gt;0,'DebtSvs-Library'!E33,"  ")</f>
        <v xml:space="preserve">  </v>
      </c>
      <c r="F22" s="724" t="str">
        <f>IF('DebtSvs-Library'!E40&lt;&gt;0,'DebtSvs-Library'!E40,"  ")</f>
        <v xml:space="preserve">  </v>
      </c>
      <c r="G22" s="725" t="str">
        <f>IF(AND('DebtSvs-Library'!E40=0,$C$40&gt;=0)," ",IF(AND(F22&gt;0,$C$40=0)," ",IF(AND(F22&gt;0,$C$40&gt;0),ROUND(F22/$C$40*1000,3))))</f>
        <v xml:space="preserve"> </v>
      </c>
    </row>
    <row r="23" spans="2:7" s="14" customFormat="1">
      <c r="B23" s="84" t="str">
        <f>inputPrYr!B18</f>
        <v>Library</v>
      </c>
      <c r="C23" s="257" t="str">
        <f>inputPrYr!C18</f>
        <v>12-1220</v>
      </c>
      <c r="D23" s="258" t="str">
        <f>IF('DebtSvs-Library'!C83&gt;0,'DebtSvs-Library'!C83,"  ")</f>
        <v xml:space="preserve">  </v>
      </c>
      <c r="E23" s="724" t="str">
        <f>IF('DebtSvs-Library'!E73&lt;&gt;0,'DebtSvs-Library'!E73,"  ")</f>
        <v xml:space="preserve">  </v>
      </c>
      <c r="F23" s="724" t="str">
        <f>IF('DebtSvs-Library'!E80&lt;&gt;0,'DebtSvs-Library'!E80,"  ")</f>
        <v xml:space="preserve">  </v>
      </c>
      <c r="G23" s="725" t="str">
        <f>IF(AND('DebtSvs-Library'!E80=0,$C$40&gt;=0)," ",IF(AND(F23&gt;0,$C$40=0)," ",IF(AND(F23&gt;0,$C$40&gt;0),ROUND(F23/$C$40*1000,3))))</f>
        <v xml:space="preserve"> </v>
      </c>
    </row>
    <row r="24" spans="2:7" s="14" customFormat="1">
      <c r="B24" s="84" t="str">
        <f>IF(inputPrYr!$B19&gt;"  ",inputPrYr!$B19,"  ")</f>
        <v>Road</v>
      </c>
      <c r="C24" s="257" t="str">
        <f>IF(inputPrYr!C19&gt;0,inputPrYr!C19,"  ")</f>
        <v>68-518c</v>
      </c>
      <c r="D24" s="258">
        <f>IF(road!C62&gt;0,road!C62,"  ")</f>
        <v>7</v>
      </c>
      <c r="E24" s="724">
        <f>IF(road!$E$38&lt;&gt;0,road!$E$38,"  ")</f>
        <v>21664</v>
      </c>
      <c r="F24" s="724">
        <f>IF(road!$E$45&lt;&gt;0,road!$E$45,"  ")</f>
        <v>8483</v>
      </c>
      <c r="G24" s="725" t="str">
        <f>IF(AND(road!E45=0,$C$40&gt;=0)," ",IF(AND(F24&gt;0,$C$40=0)," ",IF(AND(F24&gt;0,$C$40&gt;0),ROUND(F24/$C$40*1000,3))))</f>
        <v xml:space="preserve"> </v>
      </c>
    </row>
    <row r="25" spans="2:7" s="14" customFormat="1">
      <c r="B25" s="84" t="str">
        <f>IF(inputPrYr!$B20&gt;"  ",inputPrYr!$B20,"  ")</f>
        <v>Prairie Dog</v>
      </c>
      <c r="C25" s="257" t="str">
        <f>IF(inputPrYr!C20&gt;0,inputPrYr!C20,"  ")</f>
        <v>80-1203</v>
      </c>
      <c r="D25" s="258">
        <f>IF('PrDog-NoxWeed'!C68&gt;0,'PrDog-NoxWeed'!C68,"  ")</f>
        <v>8</v>
      </c>
      <c r="E25" s="724" t="str">
        <f>IF('PrDog-NoxWeed'!$E$27&lt;&gt;0,'PrDog-NoxWeed'!$E$27,"  ")</f>
        <v xml:space="preserve">  </v>
      </c>
      <c r="F25" s="724" t="str">
        <f>IF('PrDog-NoxWeed'!$E$34&lt;&gt;0,'PrDog-NoxWeed'!$E$34,"  ")</f>
        <v xml:space="preserve">  </v>
      </c>
      <c r="G25" s="725" t="str">
        <f>IF(AND('PrDog-NoxWeed'!E34=0,$C$40&gt;=0)," ",IF(AND(F25&gt;0,$C$40=0)," ",IF(AND(F25&gt;0,$C$40&gt;0),ROUND(F25/$C$40*1000,3))))</f>
        <v xml:space="preserve"> </v>
      </c>
    </row>
    <row r="26" spans="2:7" s="14" customFormat="1">
      <c r="B26" s="84" t="str">
        <f>IF(inputPrYr!$B21&gt;"  ",inputPrYr!$B21,"  ")</f>
        <v>Noxious Weed</v>
      </c>
      <c r="C26" s="257" t="str">
        <f>IF(inputPrYr!C21&gt;0,inputPrYr!C21,"  ")</f>
        <v>2-1318</v>
      </c>
      <c r="D26" s="258">
        <f>IF('PrDog-NoxWeed'!C68&gt;0,'PrDog-NoxWeed'!C68,"  ")</f>
        <v>8</v>
      </c>
      <c r="E26" s="724" t="str">
        <f>IF('PrDog-NoxWeed'!$E$60&lt;&gt;0,'PrDog-NoxWeed'!$E$60,"  ")</f>
        <v xml:space="preserve">  </v>
      </c>
      <c r="F26" s="724" t="str">
        <f>IF('PrDog-NoxWeed'!$E$67&lt;&gt;0,'PrDog-NoxWeed'!$E$67,"  ")</f>
        <v xml:space="preserve">  </v>
      </c>
      <c r="G26" s="725" t="str">
        <f>IF(AND('PrDog-NoxWeed'!E67=0,$C$40&gt;=0)," ",IF(AND(F26&gt;0,$C$40=0)," ",IF(AND(F26&gt;0,$C$40&gt;0),ROUND(F26/$C$40*1000,3))))</f>
        <v xml:space="preserve"> </v>
      </c>
    </row>
    <row r="27" spans="2:7" s="14" customFormat="1">
      <c r="B27" s="84" t="str">
        <f>IF(inputPrYr!$B22&gt;"  ",inputPrYr!$B22,"  ")</f>
        <v xml:space="preserve">  </v>
      </c>
      <c r="C27" s="257" t="str">
        <f>IF(inputPrYr!C22&gt;0,inputPrYr!C22,"  ")</f>
        <v xml:space="preserve">  </v>
      </c>
      <c r="D27" s="258" t="str">
        <f>IF(levypage10!C81&gt;0,levypage10!C81,"  ")</f>
        <v xml:space="preserve">  </v>
      </c>
      <c r="E27" s="724" t="str">
        <f>IF(levypage10!$E$33&lt;&gt;0,levypage10!$E$33,"  ")</f>
        <v xml:space="preserve">  </v>
      </c>
      <c r="F27" s="724" t="str">
        <f>IF(levypage10!$E$40&lt;&gt;0,levypage10!$E$40,"  ")</f>
        <v xml:space="preserve">  </v>
      </c>
      <c r="G27" s="725" t="str">
        <f>IF(AND(levypage10!$E$40=0,$C$40&gt;=0)," ",IF(AND(F27&gt;0,$C$40=0)," ",IF(AND(F27&gt;0,$C$40&gt;0),ROUND(F27/$C$40*1000,3))))</f>
        <v xml:space="preserve"> </v>
      </c>
    </row>
    <row r="28" spans="2:7" s="14" customFormat="1">
      <c r="B28" s="84" t="str">
        <f>IF(inputPrYr!$B23&gt;"  ",inputPrYr!$B23,"  ")</f>
        <v xml:space="preserve">  </v>
      </c>
      <c r="C28" s="257" t="str">
        <f>IF(inputPrYr!C23&gt;0,inputPrYr!C23,"  ")</f>
        <v xml:space="preserve">  </v>
      </c>
      <c r="D28" s="258" t="str">
        <f>IF(levypage10!C81&gt;0,levypage10!C81,"  ")</f>
        <v xml:space="preserve">  </v>
      </c>
      <c r="E28" s="724" t="str">
        <f>IF(levypage10!$E$73&lt;&gt;0,levypage10!$E$73,"  ")</f>
        <v xml:space="preserve">  </v>
      </c>
      <c r="F28" s="724" t="str">
        <f>IF(levypage10!$E$80&lt;&gt;0,levypage10!$E$80,"  ")</f>
        <v xml:space="preserve">  </v>
      </c>
      <c r="G28" s="725" t="str">
        <f>IF(AND(levypage10!$E$80=0,$C$40&gt;=0)," ",IF(AND(F28&gt;0,$C$40=0)," ",IF(AND(F28&gt;0,$C$40&gt;0),ROUND(F28/$C$40*1000,3))))</f>
        <v xml:space="preserve"> </v>
      </c>
    </row>
    <row r="29" spans="2:7" s="14" customFormat="1">
      <c r="B29" s="84" t="str">
        <f>IF(inputPrYr!$B24&gt;"  ",inputPrYr!$B24,"  ")</f>
        <v xml:space="preserve">  </v>
      </c>
      <c r="C29" s="257" t="str">
        <f>IF(inputPrYr!C24&gt;0,inputPrYr!C24,"  ")</f>
        <v xml:space="preserve">  </v>
      </c>
      <c r="D29" s="258" t="str">
        <f>IF(levypage11!C81&gt;0,levypage11!C81,"  ")</f>
        <v xml:space="preserve">  </v>
      </c>
      <c r="E29" s="724" t="str">
        <f>IF(levypage11!$E$33&lt;&gt;0,levypage11!$E$33,"  ")</f>
        <v xml:space="preserve">  </v>
      </c>
      <c r="F29" s="724" t="str">
        <f>IF(levypage11!$E$40&lt;&gt;0,levypage11!$E$40,"  ")</f>
        <v xml:space="preserve">  </v>
      </c>
      <c r="G29" s="725" t="str">
        <f>IF(AND(levypage11!$E$40=0,$C$40&gt;=0)," ",IF(AND(F29&gt;0,$C$40=0)," ",IF(AND(F29&gt;0,$C$40&gt;0),ROUND(F29/$C$40*1000,3))))</f>
        <v xml:space="preserve"> </v>
      </c>
    </row>
    <row r="30" spans="2:7" s="14" customFormat="1">
      <c r="B30" s="84" t="str">
        <f>IF(inputPrYr!$B25&gt;"  ",inputPrYr!$B25,"  ")</f>
        <v xml:space="preserve">  </v>
      </c>
      <c r="C30" s="257" t="str">
        <f>IF(inputPrYr!C25&gt;0,inputPrYr!C25,"  ")</f>
        <v xml:space="preserve">  </v>
      </c>
      <c r="D30" s="258" t="str">
        <f>IF(levypage11!C81&gt;0,levypage11!C81,"  ")</f>
        <v xml:space="preserve">  </v>
      </c>
      <c r="E30" s="724" t="str">
        <f>IF(levypage11!$E$73&lt;&gt;0,levypage11!$E$73,"  ")</f>
        <v xml:space="preserve">  </v>
      </c>
      <c r="F30" s="724" t="str">
        <f>IF(levypage11!$E$80&lt;&gt;0,levypage11!$E$80,"  ")</f>
        <v xml:space="preserve">  </v>
      </c>
      <c r="G30" s="725" t="str">
        <f>IF(AND(levypage11!$E$80=0,$C$40&gt;=0)," ",IF(AND(F30&gt;0,$C$40=0)," ",IF(AND(F30&gt;0,$C$40&gt;0),ROUND(F30/$C$40*1000,3))))</f>
        <v xml:space="preserve"> </v>
      </c>
    </row>
    <row r="31" spans="2:7" s="14" customFormat="1">
      <c r="B31" s="259" t="str">
        <f>IF(inputPrYr!$B29&gt;"  ",inputPrYr!$B29,"  ")</f>
        <v xml:space="preserve">  </v>
      </c>
      <c r="C31" s="260"/>
      <c r="D31" s="261" t="str">
        <f>IF(nolevypage12!$C$65&gt;0,nolevypage12!$C$65,"  ")</f>
        <v xml:space="preserve">  </v>
      </c>
      <c r="E31" s="724" t="str">
        <f>IF(nolevypage12!$E$28&lt;&gt;0,nolevypage12!$E$28,"  ")</f>
        <v xml:space="preserve">  </v>
      </c>
      <c r="F31" s="724"/>
      <c r="G31" s="725"/>
    </row>
    <row r="32" spans="2:7" s="14" customFormat="1">
      <c r="B32" s="262" t="str">
        <f>IF(inputPrYr!$B30&gt;"  ",inputPrYr!$B30,"  ")</f>
        <v xml:space="preserve">  </v>
      </c>
      <c r="C32" s="25"/>
      <c r="D32" s="261" t="str">
        <f>IF(nolevypage12!$C$65&gt;0,nolevypage12!$C$65,"  ")</f>
        <v xml:space="preserve">  </v>
      </c>
      <c r="E32" s="724" t="str">
        <f>IF(nolevypage12!$E$59&lt;&gt;0,nolevypage12!$E$59,"  ")</f>
        <v xml:space="preserve">  </v>
      </c>
      <c r="F32" s="724"/>
      <c r="G32" s="725"/>
    </row>
    <row r="33" spans="2:8" s="14" customFormat="1">
      <c r="B33" s="259" t="str">
        <f>IF((inputPrYr!$B34&gt;"  "),(nonbud!$A3),"  ")</f>
        <v xml:space="preserve">  </v>
      </c>
      <c r="C33" s="25"/>
      <c r="D33" s="261" t="str">
        <f>IF(nonbud!$F$33&gt;0,nonbud!$F$33,"  ")</f>
        <v xml:space="preserve">  </v>
      </c>
      <c r="E33" s="724"/>
      <c r="F33" s="724"/>
      <c r="G33" s="725"/>
    </row>
    <row r="34" spans="2:8" s="14" customFormat="1">
      <c r="B34" s="27" t="s">
        <v>282</v>
      </c>
      <c r="C34" s="260"/>
      <c r="D34" s="261">
        <f>IF(road!C62&gt;0,road!C62,"  ")</f>
        <v>7</v>
      </c>
      <c r="E34" s="233"/>
      <c r="F34" s="233"/>
      <c r="G34" s="725"/>
    </row>
    <row r="35" spans="2:8" s="14" customFormat="1" ht="16.5" thickBot="1">
      <c r="B35" s="263" t="s">
        <v>283</v>
      </c>
      <c r="C35" s="264"/>
      <c r="D35" s="158" t="s">
        <v>284</v>
      </c>
      <c r="E35" s="726">
        <f>SUM(E21:E30)</f>
        <v>38654</v>
      </c>
      <c r="F35" s="726">
        <f>SUM(F21:F30)</f>
        <v>8483</v>
      </c>
      <c r="G35" s="727" t="str">
        <f>IF(SUM(G21:G30)&gt;0,SUM(G21:G30),"")</f>
        <v/>
      </c>
    </row>
    <row r="36" spans="2:8" s="14" customFormat="1" ht="16.5" thickTop="1">
      <c r="B36" s="27" t="s">
        <v>162</v>
      </c>
      <c r="C36" s="256"/>
      <c r="D36" s="261">
        <f>summ!D35</f>
        <v>9</v>
      </c>
    </row>
    <row r="37" spans="2:8" s="14" customFormat="1">
      <c r="B37" s="27" t="s">
        <v>209</v>
      </c>
      <c r="C37" s="28"/>
      <c r="D37" s="261" t="str">
        <f>IF(nhood!C38&gt;0,nhood!C38,"")</f>
        <v/>
      </c>
      <c r="E37" s="265" t="s">
        <v>151</v>
      </c>
      <c r="F37" s="266" t="str">
        <f>IF(F35&gt;computation!J34,"Yes","No")</f>
        <v>No</v>
      </c>
    </row>
    <row r="38" spans="2:8" s="14" customFormat="1">
      <c r="B38" s="27" t="s">
        <v>150</v>
      </c>
      <c r="C38" s="28"/>
      <c r="D38" s="261" t="str">
        <f>IF(Resolution!D50&gt;0,Resolution!D50,"")</f>
        <v/>
      </c>
      <c r="E38" s="267"/>
      <c r="F38" s="268"/>
    </row>
    <row r="39" spans="2:8" s="14" customFormat="1">
      <c r="B39" s="63" t="s">
        <v>94</v>
      </c>
      <c r="C39" s="774" t="s">
        <v>120</v>
      </c>
      <c r="D39" s="775"/>
      <c r="E39" s="269"/>
      <c r="G39" s="22" t="s">
        <v>285</v>
      </c>
    </row>
    <row r="40" spans="2:8" s="14" customFormat="1">
      <c r="B40" s="27" t="s">
        <v>95</v>
      </c>
      <c r="C40" s="776"/>
      <c r="D40" s="777"/>
      <c r="E40" s="270"/>
      <c r="G40" s="22"/>
    </row>
    <row r="41" spans="2:8" s="14" customFormat="1">
      <c r="B41" s="271"/>
      <c r="C41" s="778" t="str">
        <f>CONCATENATE("Nov. 1, ",H1-1," Valuation")</f>
        <v>Nov. 1, 2012 Valuation</v>
      </c>
      <c r="D41" s="779"/>
      <c r="E41" s="269"/>
      <c r="G41" s="22"/>
    </row>
    <row r="42" spans="2:8" s="14" customFormat="1">
      <c r="B42" s="271" t="s">
        <v>286</v>
      </c>
      <c r="E42" s="19"/>
      <c r="G42" s="22"/>
    </row>
    <row r="43" spans="2:8" s="14" customFormat="1">
      <c r="B43" s="128" t="s">
        <v>924</v>
      </c>
      <c r="C43" s="272"/>
      <c r="E43" s="728" t="s">
        <v>845</v>
      </c>
      <c r="F43" s="728"/>
      <c r="G43" s="728"/>
    </row>
    <row r="44" spans="2:8" s="14" customFormat="1">
      <c r="B44" s="272"/>
      <c r="C44" s="273"/>
      <c r="E44" s="729"/>
      <c r="F44" s="729"/>
      <c r="G44" s="729"/>
    </row>
    <row r="45" spans="2:8" s="14" customFormat="1">
      <c r="B45" s="271" t="s">
        <v>139</v>
      </c>
      <c r="E45" s="728" t="s">
        <v>845</v>
      </c>
      <c r="F45" s="728"/>
      <c r="G45" s="728"/>
    </row>
    <row r="46" spans="2:8" s="14" customFormat="1">
      <c r="B46" s="272" t="s">
        <v>925</v>
      </c>
      <c r="C46" s="272"/>
      <c r="D46" s="22"/>
      <c r="E46" s="728"/>
      <c r="F46" s="728"/>
      <c r="G46" s="728"/>
    </row>
    <row r="47" spans="2:8" s="14" customFormat="1">
      <c r="B47" s="273" t="s">
        <v>926</v>
      </c>
      <c r="C47" s="273"/>
      <c r="D47" s="22"/>
      <c r="E47" s="728" t="s">
        <v>845</v>
      </c>
      <c r="F47" s="730"/>
      <c r="G47" s="730"/>
    </row>
    <row r="48" spans="2:8">
      <c r="B48" s="271" t="s">
        <v>829</v>
      </c>
      <c r="C48" s="14"/>
      <c r="D48" s="22"/>
      <c r="E48" s="731"/>
      <c r="F48" s="728"/>
      <c r="G48" s="728"/>
      <c r="H48" s="89"/>
    </row>
    <row r="49" spans="2:8">
      <c r="B49" s="272" t="s">
        <v>927</v>
      </c>
      <c r="C49" s="272"/>
      <c r="D49" s="22"/>
      <c r="E49" s="728" t="s">
        <v>845</v>
      </c>
      <c r="F49" s="730"/>
      <c r="G49" s="730"/>
      <c r="H49" s="89"/>
    </row>
    <row r="50" spans="2:8">
      <c r="B50" s="65"/>
      <c r="C50" s="14"/>
      <c r="D50" s="22"/>
      <c r="E50" s="731"/>
      <c r="F50" s="728"/>
      <c r="G50" s="728"/>
      <c r="H50" s="89"/>
    </row>
    <row r="51" spans="2:8">
      <c r="B51" s="529" t="s">
        <v>143</v>
      </c>
      <c r="C51" s="276">
        <f>H1-1</f>
        <v>2012</v>
      </c>
      <c r="D51" s="22"/>
      <c r="E51" s="728" t="s">
        <v>845</v>
      </c>
      <c r="F51" s="730"/>
      <c r="G51" s="730"/>
      <c r="H51" s="89"/>
    </row>
    <row r="52" spans="2:8">
      <c r="B52" s="14"/>
      <c r="C52" s="14"/>
      <c r="D52" s="14"/>
      <c r="E52" s="728"/>
      <c r="F52" s="731"/>
      <c r="G52" s="728"/>
      <c r="H52" s="89"/>
    </row>
    <row r="53" spans="2:8">
      <c r="B53" s="519"/>
      <c r="C53" s="14"/>
      <c r="D53" s="14"/>
      <c r="E53" s="728" t="s">
        <v>845</v>
      </c>
      <c r="F53" s="728"/>
      <c r="G53" s="728"/>
      <c r="H53" s="89"/>
    </row>
    <row r="54" spans="2:8">
      <c r="B54" s="49" t="s">
        <v>288</v>
      </c>
      <c r="C54" s="14"/>
      <c r="D54" s="14"/>
      <c r="E54" s="761" t="s">
        <v>287</v>
      </c>
      <c r="F54" s="762"/>
      <c r="G54" s="762"/>
    </row>
    <row r="55" spans="2:8">
      <c r="B55" s="14"/>
      <c r="C55" s="14"/>
      <c r="D55" s="14"/>
      <c r="E55" s="14"/>
      <c r="F55" s="14"/>
      <c r="G55" s="14"/>
    </row>
    <row r="56" spans="2:8">
      <c r="B56" s="14"/>
      <c r="C56" s="14"/>
      <c r="D56" s="14"/>
      <c r="E56" s="14"/>
      <c r="F56" s="14"/>
      <c r="G56" s="14"/>
    </row>
    <row r="57" spans="2:8">
      <c r="B57" s="14"/>
      <c r="C57" s="14"/>
      <c r="D57" s="14"/>
      <c r="E57" s="14"/>
      <c r="F57" s="14"/>
      <c r="G57" s="14"/>
    </row>
    <row r="58" spans="2:8">
      <c r="B58" s="275" t="s">
        <v>0</v>
      </c>
      <c r="C58" s="274"/>
      <c r="D58" s="274"/>
      <c r="E58" s="274"/>
      <c r="F58" s="391"/>
      <c r="G58" s="14"/>
    </row>
    <row r="59" spans="2:8">
      <c r="B59" s="275" t="s">
        <v>1</v>
      </c>
      <c r="C59" s="274"/>
      <c r="D59" s="274"/>
      <c r="E59" s="274"/>
      <c r="F59" s="391"/>
      <c r="G59" s="14"/>
    </row>
    <row r="60" spans="2:8">
      <c r="B60" s="275"/>
      <c r="C60" s="274"/>
      <c r="D60" s="274"/>
      <c r="E60" s="274"/>
      <c r="F60" s="391"/>
      <c r="G60" s="14"/>
    </row>
    <row r="61" spans="2:8">
      <c r="B61" s="14"/>
      <c r="C61" s="14"/>
      <c r="D61" s="14"/>
      <c r="E61" s="14"/>
      <c r="F61" s="14"/>
      <c r="G61" s="14"/>
    </row>
    <row r="62" spans="2:8">
      <c r="B62" s="536"/>
      <c r="C62" s="537"/>
      <c r="D62" s="537"/>
      <c r="E62" s="537"/>
      <c r="F62" s="537"/>
      <c r="G62" s="537"/>
    </row>
    <row r="63" spans="2:8">
      <c r="B63" s="536"/>
      <c r="C63" s="537"/>
      <c r="D63" s="537"/>
      <c r="E63" s="537"/>
      <c r="F63" s="537"/>
      <c r="G63" s="537"/>
    </row>
    <row r="64" spans="2:8">
      <c r="B64" s="536"/>
      <c r="C64" s="537"/>
      <c r="D64" s="537"/>
      <c r="E64" s="538"/>
      <c r="F64" s="539"/>
      <c r="G64" s="537"/>
    </row>
  </sheetData>
  <sheetProtection sheet="1"/>
  <mergeCells count="14">
    <mergeCell ref="E54:G54"/>
    <mergeCell ref="B1:G1"/>
    <mergeCell ref="F12:F14"/>
    <mergeCell ref="E11:G11"/>
    <mergeCell ref="B6:G6"/>
    <mergeCell ref="B7:G7"/>
    <mergeCell ref="B3:H3"/>
    <mergeCell ref="C39:D39"/>
    <mergeCell ref="C40:D40"/>
    <mergeCell ref="C41:D41"/>
    <mergeCell ref="B8:G8"/>
    <mergeCell ref="B9:G9"/>
    <mergeCell ref="B5:G5"/>
    <mergeCell ref="B4:G4"/>
  </mergeCells>
  <phoneticPr fontId="0" type="noConversion"/>
  <conditionalFormatting sqref="F21">
    <cfRule type="cellIs" dxfId="128" priority="1" stopIfTrue="1" operator="equal">
      <formula>0</formula>
    </cfRule>
  </conditionalFormatting>
  <pageMargins left="0.4" right="0.4" top="0.83" bottom="0.85" header="0.3" footer="0.6"/>
  <pageSetup scale="79" orientation="portrait" blackAndWhite="1" horizontalDpi="300" verticalDpi="300" r:id="rId1"/>
  <headerFooter alignWithMargins="0">
    <oddHeader xml:space="preserve">&amp;RState of Kansas
Township
</oddHeader>
    <oddFooter>&amp;CPage No. 1</oddFooter>
  </headerFooter>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7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5.7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sheetPr>
    <pageSetUpPr fitToPage="1"/>
  </sheetPr>
  <dimension ref="A1:J37"/>
  <sheetViews>
    <sheetView zoomScale="80" workbookViewId="0">
      <selection activeCell="J33" sqref="J33"/>
    </sheetView>
  </sheetViews>
  <sheetFormatPr defaultRowHeight="15.75"/>
  <cols>
    <col min="1" max="2" width="3" style="79" customWidth="1"/>
    <col min="3" max="3" width="28.19921875" style="79" customWidth="1"/>
    <col min="4" max="4" width="2.09765625" style="79" customWidth="1"/>
    <col min="5" max="5" width="15.69921875" style="79" customWidth="1"/>
    <col min="6" max="6" width="1.796875" style="79" customWidth="1"/>
    <col min="7" max="7" width="15.69921875" style="79" customWidth="1"/>
    <col min="8" max="8" width="1.69921875" style="79" customWidth="1"/>
    <col min="9" max="9" width="1.59765625" style="79" customWidth="1"/>
    <col min="10" max="10" width="15.69921875" style="79" customWidth="1"/>
    <col min="11" max="16384" width="8.796875" style="79"/>
  </cols>
  <sheetData>
    <row r="1" spans="1:10">
      <c r="A1" s="14"/>
      <c r="B1" s="14"/>
      <c r="C1" s="13" t="str">
        <f>inputPrYr!D2</f>
        <v>Paxton Township</v>
      </c>
      <c r="D1" s="14"/>
      <c r="E1" s="14"/>
      <c r="F1" s="14"/>
      <c r="G1" s="14"/>
      <c r="H1" s="14"/>
      <c r="I1" s="14"/>
      <c r="J1" s="14">
        <f>inputPrYr!D5</f>
        <v>2013</v>
      </c>
    </row>
    <row r="2" spans="1:10">
      <c r="A2" s="14"/>
      <c r="B2" s="14"/>
      <c r="C2" s="14"/>
      <c r="D2" s="14"/>
      <c r="E2" s="14"/>
      <c r="F2" s="14"/>
      <c r="G2" s="14"/>
      <c r="H2" s="14"/>
      <c r="I2" s="14"/>
      <c r="J2" s="14"/>
    </row>
    <row r="3" spans="1:10">
      <c r="A3" s="783" t="str">
        <f>CONCATENATE("Computation to Determine Limit for ",J1,"")</f>
        <v>Computation to Determine Limit for 2013</v>
      </c>
      <c r="B3" s="763"/>
      <c r="C3" s="763"/>
      <c r="D3" s="763"/>
      <c r="E3" s="763"/>
      <c r="F3" s="763"/>
      <c r="G3" s="763"/>
      <c r="H3" s="763"/>
      <c r="I3" s="763"/>
      <c r="J3" s="763"/>
    </row>
    <row r="4" spans="1:10">
      <c r="A4" s="14"/>
      <c r="B4" s="14"/>
      <c r="C4" s="14"/>
      <c r="D4" s="14"/>
      <c r="E4" s="763"/>
      <c r="F4" s="763"/>
      <c r="G4" s="763"/>
      <c r="H4" s="124"/>
      <c r="I4" s="14"/>
      <c r="J4" s="241" t="s">
        <v>76</v>
      </c>
    </row>
    <row r="5" spans="1:10">
      <c r="A5" s="242" t="s">
        <v>77</v>
      </c>
      <c r="B5" s="14" t="str">
        <f>CONCATENATE("Total Tax Levy Amount in ",J1-1,"")</f>
        <v>Total Tax Levy Amount in 2012</v>
      </c>
      <c r="C5" s="14"/>
      <c r="D5" s="14"/>
      <c r="E5" s="55"/>
      <c r="F5" s="55"/>
      <c r="G5" s="55"/>
      <c r="H5" s="243" t="s">
        <v>15</v>
      </c>
      <c r="I5" s="55" t="s">
        <v>2</v>
      </c>
      <c r="J5" s="244">
        <f>inputPrYr!E26</f>
        <v>8479</v>
      </c>
    </row>
    <row r="6" spans="1:10">
      <c r="A6" s="242" t="s">
        <v>78</v>
      </c>
      <c r="B6" s="14" t="str">
        <f>CONCATENATE("Debt Service Levy in ",J1-1,"")</f>
        <v>Debt Service Levy in 2012</v>
      </c>
      <c r="C6" s="14"/>
      <c r="D6" s="14"/>
      <c r="E6" s="55"/>
      <c r="F6" s="55"/>
      <c r="G6" s="55"/>
      <c r="H6" s="243" t="s">
        <v>79</v>
      </c>
      <c r="I6" s="55" t="s">
        <v>2</v>
      </c>
      <c r="J6" s="245">
        <f>inputPrYr!E17</f>
        <v>0</v>
      </c>
    </row>
    <row r="7" spans="1:10">
      <c r="A7" s="242" t="s">
        <v>80</v>
      </c>
      <c r="B7" s="17" t="s">
        <v>103</v>
      </c>
      <c r="C7" s="14"/>
      <c r="D7" s="14"/>
      <c r="E7" s="55"/>
      <c r="F7" s="55"/>
      <c r="G7" s="55"/>
      <c r="H7" s="55"/>
      <c r="I7" s="55" t="s">
        <v>2</v>
      </c>
      <c r="J7" s="246">
        <f>J5-J6</f>
        <v>8479</v>
      </c>
    </row>
    <row r="8" spans="1:10">
      <c r="A8" s="14"/>
      <c r="B8" s="14"/>
      <c r="C8" s="14"/>
      <c r="D8" s="14"/>
      <c r="E8" s="55"/>
      <c r="F8" s="55"/>
      <c r="G8" s="55"/>
      <c r="H8" s="55"/>
      <c r="I8" s="55"/>
      <c r="J8" s="55"/>
    </row>
    <row r="9" spans="1:10">
      <c r="A9" s="14"/>
      <c r="B9" s="17" t="str">
        <f>CONCATENATE("",J1-1," Valuation Information for Valuation Adjustments:")</f>
        <v>2012 Valuation Information for Valuation Adjustments:</v>
      </c>
      <c r="C9" s="14"/>
      <c r="D9" s="14"/>
      <c r="E9" s="55"/>
      <c r="F9" s="55"/>
      <c r="G9" s="55"/>
      <c r="H9" s="55"/>
      <c r="I9" s="55"/>
      <c r="J9" s="55"/>
    </row>
    <row r="10" spans="1:10">
      <c r="A10" s="14"/>
      <c r="B10" s="14"/>
      <c r="C10" s="17"/>
      <c r="D10" s="14"/>
      <c r="E10" s="55"/>
      <c r="F10" s="55"/>
      <c r="G10" s="55"/>
      <c r="H10" s="55"/>
      <c r="I10" s="55"/>
      <c r="J10" s="55"/>
    </row>
    <row r="11" spans="1:10">
      <c r="A11" s="242" t="s">
        <v>81</v>
      </c>
      <c r="B11" s="17" t="str">
        <f>CONCATENATE("New Improvements for ",J1-1,":")</f>
        <v>New Improvements for 2012:</v>
      </c>
      <c r="C11" s="14"/>
      <c r="D11" s="14"/>
      <c r="E11" s="243"/>
      <c r="F11" s="243" t="s">
        <v>15</v>
      </c>
      <c r="G11" s="244">
        <f>inputOth!E8</f>
        <v>0</v>
      </c>
      <c r="H11" s="53"/>
      <c r="I11" s="55"/>
      <c r="J11" s="55"/>
    </row>
    <row r="12" spans="1:10">
      <c r="A12" s="242"/>
      <c r="B12" s="242"/>
      <c r="C12" s="14"/>
      <c r="D12" s="14"/>
      <c r="E12" s="243"/>
      <c r="F12" s="243"/>
      <c r="G12" s="53"/>
      <c r="H12" s="53"/>
      <c r="I12" s="55"/>
      <c r="J12" s="55"/>
    </row>
    <row r="13" spans="1:10">
      <c r="A13" s="242" t="s">
        <v>82</v>
      </c>
      <c r="B13" s="17" t="str">
        <f>CONCATENATE("Increase in Personal Property for ",J1-1,":")</f>
        <v>Increase in Personal Property for 2012:</v>
      </c>
      <c r="C13" s="14"/>
      <c r="D13" s="14"/>
      <c r="E13" s="243"/>
      <c r="F13" s="243"/>
      <c r="G13" s="53"/>
      <c r="H13" s="53"/>
      <c r="I13" s="55"/>
      <c r="J13" s="55"/>
    </row>
    <row r="14" spans="1:10">
      <c r="A14" s="14"/>
      <c r="B14" s="14" t="s">
        <v>83</v>
      </c>
      <c r="C14" s="14" t="str">
        <f>CONCATENATE("Personal Property ",J1-1,"")</f>
        <v>Personal Property 2012</v>
      </c>
      <c r="D14" s="242" t="s">
        <v>15</v>
      </c>
      <c r="E14" s="244">
        <f>inputOth!E9</f>
        <v>7683</v>
      </c>
      <c r="F14" s="243"/>
      <c r="G14" s="55"/>
      <c r="H14" s="55"/>
      <c r="I14" s="53"/>
      <c r="J14" s="55"/>
    </row>
    <row r="15" spans="1:10">
      <c r="A15" s="242"/>
      <c r="B15" s="14" t="s">
        <v>84</v>
      </c>
      <c r="C15" s="14" t="str">
        <f>CONCATENATE("Personal Property ",J1-2,"")</f>
        <v>Personal Property 2011</v>
      </c>
      <c r="D15" s="242" t="s">
        <v>79</v>
      </c>
      <c r="E15" s="246">
        <f>inputOth!E11</f>
        <v>8620</v>
      </c>
      <c r="F15" s="243"/>
      <c r="G15" s="53"/>
      <c r="H15" s="53"/>
      <c r="I15" s="55"/>
      <c r="J15" s="55"/>
    </row>
    <row r="16" spans="1:10">
      <c r="A16" s="242"/>
      <c r="B16" s="14" t="s">
        <v>85</v>
      </c>
      <c r="C16" s="14" t="s">
        <v>104</v>
      </c>
      <c r="D16" s="14"/>
      <c r="E16" s="55"/>
      <c r="F16" s="55" t="s">
        <v>15</v>
      </c>
      <c r="G16" s="244">
        <f>IF(E14&gt;E15,E14-E15,0)</f>
        <v>0</v>
      </c>
      <c r="H16" s="53"/>
      <c r="I16" s="55"/>
      <c r="J16" s="55"/>
    </row>
    <row r="17" spans="1:10">
      <c r="A17" s="242"/>
      <c r="B17" s="242"/>
      <c r="C17" s="14"/>
      <c r="D17" s="14"/>
      <c r="E17" s="55"/>
      <c r="F17" s="55"/>
      <c r="G17" s="53" t="s">
        <v>93</v>
      </c>
      <c r="H17" s="53"/>
      <c r="I17" s="55"/>
      <c r="J17" s="55"/>
    </row>
    <row r="18" spans="1:10">
      <c r="A18" s="242" t="s">
        <v>86</v>
      </c>
      <c r="B18" s="17" t="str">
        <f>CONCATENATE("Valuation of Property that Changed in Use during ",J1-1,":")</f>
        <v>Valuation of Property that Changed in Use during 2012:</v>
      </c>
      <c r="C18" s="14"/>
      <c r="D18" s="14"/>
      <c r="E18" s="55"/>
      <c r="F18" s="243" t="s">
        <v>15</v>
      </c>
      <c r="G18" s="244">
        <f>inputOth!E10</f>
        <v>1575</v>
      </c>
      <c r="H18" s="55"/>
      <c r="I18" s="55"/>
      <c r="J18" s="55"/>
    </row>
    <row r="19" spans="1:10">
      <c r="A19" s="14" t="s">
        <v>272</v>
      </c>
      <c r="B19" s="14"/>
      <c r="C19" s="14"/>
      <c r="D19" s="242"/>
      <c r="E19" s="53"/>
      <c r="F19" s="53"/>
      <c r="G19" s="53"/>
      <c r="H19" s="55"/>
      <c r="I19" s="55"/>
      <c r="J19" s="55"/>
    </row>
    <row r="20" spans="1:10">
      <c r="A20" s="242" t="s">
        <v>87</v>
      </c>
      <c r="B20" s="17" t="s">
        <v>105</v>
      </c>
      <c r="C20" s="14"/>
      <c r="D20" s="14"/>
      <c r="E20" s="55"/>
      <c r="F20" s="55"/>
      <c r="G20" s="244">
        <f>G11+G16+G18</f>
        <v>1575</v>
      </c>
      <c r="H20" s="53"/>
      <c r="I20" s="55"/>
      <c r="J20" s="55"/>
    </row>
    <row r="21" spans="1:10">
      <c r="A21" s="242"/>
      <c r="B21" s="242"/>
      <c r="C21" s="17"/>
      <c r="D21" s="14"/>
      <c r="E21" s="55"/>
      <c r="F21" s="55"/>
      <c r="G21" s="53"/>
      <c r="H21" s="53"/>
      <c r="I21" s="55"/>
      <c r="J21" s="55"/>
    </row>
    <row r="22" spans="1:10">
      <c r="A22" s="242" t="s">
        <v>88</v>
      </c>
      <c r="B22" s="14" t="str">
        <f>CONCATENATE("Total Estimated Valuation July 1,",J1-1,"")</f>
        <v>Total Estimated Valuation July 1,2012</v>
      </c>
      <c r="C22" s="14"/>
      <c r="D22" s="14"/>
      <c r="E22" s="244">
        <f>inputOth!E7</f>
        <v>3461441</v>
      </c>
      <c r="F22" s="55"/>
      <c r="G22" s="55"/>
      <c r="H22" s="55"/>
      <c r="I22" s="243"/>
      <c r="J22" s="55"/>
    </row>
    <row r="23" spans="1:10">
      <c r="A23" s="242"/>
      <c r="B23" s="242"/>
      <c r="C23" s="14"/>
      <c r="D23" s="14"/>
      <c r="E23" s="53"/>
      <c r="F23" s="55"/>
      <c r="G23" s="55"/>
      <c r="H23" s="55"/>
      <c r="I23" s="243"/>
      <c r="J23" s="55"/>
    </row>
    <row r="24" spans="1:10">
      <c r="A24" s="242" t="s">
        <v>89</v>
      </c>
      <c r="B24" s="17" t="s">
        <v>106</v>
      </c>
      <c r="C24" s="14"/>
      <c r="D24" s="14"/>
      <c r="E24" s="55"/>
      <c r="F24" s="55"/>
      <c r="G24" s="244">
        <f>E22-G20</f>
        <v>3459866</v>
      </c>
      <c r="H24" s="53"/>
      <c r="I24" s="243"/>
      <c r="J24" s="55"/>
    </row>
    <row r="25" spans="1:10">
      <c r="A25" s="242"/>
      <c r="B25" s="242"/>
      <c r="C25" s="17"/>
      <c r="D25" s="14"/>
      <c r="E25" s="14"/>
      <c r="F25" s="14"/>
      <c r="G25" s="247"/>
      <c r="H25" s="19"/>
      <c r="I25" s="242"/>
      <c r="J25" s="14"/>
    </row>
    <row r="26" spans="1:10">
      <c r="A26" s="242" t="s">
        <v>90</v>
      </c>
      <c r="B26" s="14" t="s">
        <v>107</v>
      </c>
      <c r="C26" s="14"/>
      <c r="D26" s="14"/>
      <c r="E26" s="14"/>
      <c r="F26" s="14"/>
      <c r="G26" s="248">
        <f>IF(G20&gt;0,G20/G24,0)</f>
        <v>4.5521994204399824E-4</v>
      </c>
      <c r="H26" s="19"/>
      <c r="I26" s="14"/>
      <c r="J26" s="14"/>
    </row>
    <row r="27" spans="1:10">
      <c r="A27" s="242"/>
      <c r="B27" s="242"/>
      <c r="C27" s="14"/>
      <c r="D27" s="14"/>
      <c r="E27" s="14"/>
      <c r="F27" s="14"/>
      <c r="G27" s="19"/>
      <c r="H27" s="19"/>
      <c r="I27" s="14"/>
      <c r="J27" s="14"/>
    </row>
    <row r="28" spans="1:10">
      <c r="A28" s="242" t="s">
        <v>91</v>
      </c>
      <c r="B28" s="14" t="s">
        <v>108</v>
      </c>
      <c r="C28" s="14"/>
      <c r="D28" s="14"/>
      <c r="E28" s="14"/>
      <c r="F28" s="14"/>
      <c r="G28" s="19"/>
      <c r="H28" s="249" t="s">
        <v>15</v>
      </c>
      <c r="I28" s="14" t="s">
        <v>2</v>
      </c>
      <c r="J28" s="244">
        <f>ROUND(G26*J7,0)</f>
        <v>4</v>
      </c>
    </row>
    <row r="29" spans="1:10">
      <c r="A29" s="242"/>
      <c r="B29" s="242"/>
      <c r="C29" s="14"/>
      <c r="D29" s="14"/>
      <c r="E29" s="14"/>
      <c r="F29" s="14"/>
      <c r="G29" s="19"/>
      <c r="H29" s="249"/>
      <c r="I29" s="14"/>
      <c r="J29" s="53"/>
    </row>
    <row r="30" spans="1:10" ht="16.5" thickBot="1">
      <c r="A30" s="242" t="s">
        <v>92</v>
      </c>
      <c r="B30" s="17" t="s">
        <v>112</v>
      </c>
      <c r="C30" s="14"/>
      <c r="D30" s="14"/>
      <c r="E30" s="14"/>
      <c r="F30" s="14"/>
      <c r="G30" s="14"/>
      <c r="H30" s="14"/>
      <c r="I30" s="14" t="s">
        <v>2</v>
      </c>
      <c r="J30" s="250">
        <f>J7+J28</f>
        <v>8483</v>
      </c>
    </row>
    <row r="31" spans="1:10" ht="16.5" thickTop="1">
      <c r="A31" s="14"/>
      <c r="B31" s="14"/>
      <c r="C31" s="14"/>
      <c r="D31" s="14"/>
      <c r="E31" s="14"/>
      <c r="F31" s="14"/>
      <c r="G31" s="14"/>
      <c r="H31" s="14"/>
      <c r="I31" s="14"/>
      <c r="J31" s="14"/>
    </row>
    <row r="32" spans="1:10">
      <c r="A32" s="242" t="s">
        <v>110</v>
      </c>
      <c r="B32" s="17" t="str">
        <f>CONCATENATE("Debt Service Levy in this ",J1,"")</f>
        <v>Debt Service Levy in this 2013</v>
      </c>
      <c r="C32" s="14"/>
      <c r="D32" s="14"/>
      <c r="E32" s="14"/>
      <c r="F32" s="14"/>
      <c r="G32" s="14"/>
      <c r="H32" s="14"/>
      <c r="I32" s="14"/>
      <c r="J32" s="244">
        <f>'DebtSvs-Library'!E40</f>
        <v>0</v>
      </c>
    </row>
    <row r="33" spans="1:10">
      <c r="A33" s="242"/>
      <c r="B33" s="17"/>
      <c r="C33" s="14"/>
      <c r="D33" s="14"/>
      <c r="E33" s="14"/>
      <c r="F33" s="14"/>
      <c r="G33" s="14"/>
      <c r="H33" s="14"/>
      <c r="I33" s="14"/>
      <c r="J33" s="19"/>
    </row>
    <row r="34" spans="1:10" ht="16.5" thickBot="1">
      <c r="A34" s="242" t="s">
        <v>111</v>
      </c>
      <c r="B34" s="17" t="s">
        <v>113</v>
      </c>
      <c r="C34" s="14"/>
      <c r="D34" s="14"/>
      <c r="E34" s="14"/>
      <c r="F34" s="14"/>
      <c r="G34" s="14"/>
      <c r="H34" s="14"/>
      <c r="I34" s="14"/>
      <c r="J34" s="250">
        <f>J30+J32</f>
        <v>8483</v>
      </c>
    </row>
    <row r="35" spans="1:10" ht="16.5" thickTop="1">
      <c r="A35" s="14"/>
      <c r="B35" s="14"/>
      <c r="C35" s="14"/>
      <c r="D35" s="14"/>
      <c r="E35" s="14"/>
      <c r="F35" s="14"/>
      <c r="G35" s="14"/>
      <c r="H35" s="14"/>
      <c r="I35" s="14"/>
      <c r="J35" s="14"/>
    </row>
    <row r="36" spans="1:10" s="251" customFormat="1" ht="18.75">
      <c r="A36" s="782" t="str">
        <f>CONCATENATE("If the ",J1," budget includes tax levies exceeding the total on line 14, you must")</f>
        <v>If the 2013 budget includes tax levies exceeding the total on line 14, you must</v>
      </c>
      <c r="B36" s="782"/>
      <c r="C36" s="782"/>
      <c r="D36" s="782"/>
      <c r="E36" s="782"/>
      <c r="F36" s="782"/>
      <c r="G36" s="782"/>
      <c r="H36" s="782"/>
      <c r="I36" s="782"/>
      <c r="J36" s="782"/>
    </row>
    <row r="37" spans="1:10" s="251" customFormat="1" ht="18.75">
      <c r="A37" s="782" t="s">
        <v>109</v>
      </c>
      <c r="B37" s="782"/>
      <c r="C37" s="782"/>
      <c r="D37" s="782"/>
      <c r="E37" s="782"/>
      <c r="F37" s="782"/>
      <c r="G37" s="782"/>
      <c r="H37" s="782"/>
      <c r="I37" s="782"/>
      <c r="J37" s="782"/>
    </row>
  </sheetData>
  <sheetProtection sheet="1"/>
  <mergeCells count="4">
    <mergeCell ref="A36:J36"/>
    <mergeCell ref="A37:J37"/>
    <mergeCell ref="A3:J3"/>
    <mergeCell ref="E4:G4"/>
  </mergeCells>
  <phoneticPr fontId="0" type="noConversion"/>
  <pageMargins left="0.4" right="0.4" top="0.83" bottom="0.85" header="0.3" footer="0.6"/>
  <pageSetup scale="86" orientation="portrait" blackAndWhite="1" horizontalDpi="300" verticalDpi="300" r:id="rId1"/>
  <headerFooter alignWithMargins="0">
    <oddHeader xml:space="preserve">&amp;RState of Kansas
Township
</oddHeader>
    <oddFooter>&amp;CPage No. 2</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M40"/>
  <sheetViews>
    <sheetView zoomScale="85" workbookViewId="0">
      <selection activeCell="J17" sqref="J17"/>
    </sheetView>
  </sheetViews>
  <sheetFormatPr defaultRowHeight="15.75"/>
  <cols>
    <col min="1" max="1" width="20.69921875" style="89" customWidth="1"/>
    <col min="2" max="2" width="17.796875" style="79" customWidth="1"/>
    <col min="3" max="3" width="8.69921875" style="79" hidden="1" customWidth="1"/>
    <col min="4" max="4" width="17.3984375" style="79" customWidth="1"/>
    <col min="5" max="5" width="0.19921875" style="79" customWidth="1"/>
    <col min="6" max="6" width="9.765625E-2" style="79" hidden="1" customWidth="1"/>
    <col min="7" max="7" width="13.69921875" style="79" customWidth="1"/>
    <col min="8" max="8" width="12.3984375" style="79" hidden="1" customWidth="1"/>
    <col min="9" max="10" width="13.69921875" style="79" customWidth="1"/>
    <col min="11" max="11" width="15.19921875" style="79" customWidth="1"/>
    <col min="12" max="12" width="6.296875" style="79" customWidth="1"/>
    <col min="13" max="16384" width="8.796875" style="79"/>
  </cols>
  <sheetData>
    <row r="1" spans="2:13">
      <c r="B1" s="13" t="str">
        <f>inputPrYr!D2</f>
        <v>Paxton Township</v>
      </c>
      <c r="C1" s="14"/>
      <c r="D1" s="14"/>
      <c r="E1" s="14"/>
      <c r="F1" s="14"/>
      <c r="G1" s="14"/>
      <c r="H1" s="14"/>
      <c r="I1" s="14"/>
      <c r="J1" s="15">
        <f>inputPrYr!D5</f>
        <v>2013</v>
      </c>
      <c r="K1" s="15"/>
      <c r="L1" s="89"/>
    </row>
    <row r="2" spans="2:13">
      <c r="B2" s="13" t="str">
        <f>inputPrYr!D3</f>
        <v>Logan County</v>
      </c>
      <c r="C2" s="14"/>
      <c r="D2" s="14"/>
      <c r="E2" s="14"/>
      <c r="F2" s="14"/>
      <c r="G2" s="14"/>
      <c r="H2" s="14"/>
      <c r="I2" s="14"/>
      <c r="J2" s="52"/>
      <c r="K2" s="52"/>
      <c r="L2" s="89"/>
    </row>
    <row r="3" spans="2:13">
      <c r="B3" s="13"/>
      <c r="C3" s="14"/>
      <c r="D3" s="14"/>
      <c r="E3" s="14"/>
      <c r="F3" s="14"/>
      <c r="G3" s="14"/>
      <c r="H3" s="14"/>
      <c r="I3" s="14"/>
      <c r="J3" s="52"/>
      <c r="K3" s="52"/>
      <c r="L3" s="89"/>
    </row>
    <row r="4" spans="2:13">
      <c r="B4" s="13"/>
      <c r="C4" s="14"/>
      <c r="D4" s="14"/>
      <c r="E4" s="14"/>
      <c r="F4" s="14"/>
      <c r="G4" s="14"/>
      <c r="H4" s="14"/>
      <c r="I4" s="14"/>
      <c r="J4" s="52"/>
      <c r="K4" s="52"/>
      <c r="L4" s="89"/>
    </row>
    <row r="5" spans="2:13">
      <c r="B5" s="14"/>
      <c r="C5" s="14"/>
      <c r="D5" s="14"/>
      <c r="E5" s="14"/>
      <c r="F5" s="14"/>
      <c r="G5" s="14"/>
      <c r="H5" s="14"/>
      <c r="I5" s="14"/>
      <c r="J5" s="14"/>
      <c r="K5" s="14"/>
      <c r="L5" s="89"/>
    </row>
    <row r="6" spans="2:13">
      <c r="B6" s="789" t="s">
        <v>761</v>
      </c>
      <c r="C6" s="762"/>
      <c r="D6" s="762"/>
      <c r="E6" s="762"/>
      <c r="F6" s="762"/>
      <c r="G6" s="762"/>
      <c r="H6" s="762"/>
      <c r="I6" s="762"/>
      <c r="J6" s="762"/>
      <c r="K6" s="14"/>
      <c r="L6" s="14"/>
    </row>
    <row r="7" spans="2:13">
      <c r="B7" s="227"/>
      <c r="C7" s="12"/>
      <c r="D7" s="139"/>
      <c r="E7" s="139"/>
      <c r="F7" s="139"/>
      <c r="G7" s="139"/>
      <c r="H7" s="139"/>
      <c r="I7" s="139"/>
      <c r="J7" s="139"/>
      <c r="K7" s="139"/>
      <c r="L7" s="139"/>
    </row>
    <row r="8" spans="2:13">
      <c r="B8" s="14"/>
      <c r="C8" s="228"/>
      <c r="D8" s="228"/>
      <c r="E8" s="228"/>
      <c r="F8" s="228"/>
      <c r="G8" s="229"/>
      <c r="H8" s="144"/>
      <c r="I8" s="144"/>
      <c r="J8" s="14"/>
      <c r="K8" s="19"/>
      <c r="L8" s="552"/>
    </row>
    <row r="9" spans="2:13" ht="21" customHeight="1">
      <c r="B9" s="211" t="s">
        <v>759</v>
      </c>
      <c r="C9" s="168"/>
      <c r="D9" s="554" t="s">
        <v>760</v>
      </c>
      <c r="E9" s="784" t="str">
        <f>CONCATENATE("Budget Tax Levy Rate for ",J1-1,"")</f>
        <v>Budget Tax Levy Rate for 2012</v>
      </c>
      <c r="F9" s="230"/>
      <c r="G9" s="786" t="str">
        <f>CONCATENATE("Allocation for Proposed Year ",J1,"")</f>
        <v>Allocation for Proposed Year 2013</v>
      </c>
      <c r="H9" s="787"/>
      <c r="I9" s="787"/>
      <c r="J9" s="788"/>
      <c r="K9" s="89"/>
      <c r="L9" s="89"/>
      <c r="M9" s="551"/>
    </row>
    <row r="10" spans="2:13" ht="15.75" customHeight="1">
      <c r="B10" s="553" t="str">
        <f>CONCATENATE("for ",J1-1,"")</f>
        <v>for 2012</v>
      </c>
      <c r="C10" s="174"/>
      <c r="D10" s="90" t="str">
        <f>CONCATENATE("Amount for ",J1,"")</f>
        <v>Amount for 2013</v>
      </c>
      <c r="E10" s="785"/>
      <c r="F10" s="25"/>
      <c r="G10" s="26" t="s">
        <v>74</v>
      </c>
      <c r="H10" s="26"/>
      <c r="I10" s="26" t="s">
        <v>75</v>
      </c>
      <c r="J10" s="159" t="s">
        <v>117</v>
      </c>
      <c r="K10" s="89"/>
      <c r="L10" s="89"/>
      <c r="M10" s="551"/>
    </row>
    <row r="11" spans="2:13">
      <c r="B11" s="84" t="str">
        <f>inputPrYr!B16</f>
        <v>General</v>
      </c>
      <c r="C11" s="231"/>
      <c r="D11" s="159" t="str">
        <f>IF(inputPrYr!E16&gt;0,inputPrYr!E16,"  ")</f>
        <v xml:space="preserve">  </v>
      </c>
      <c r="E11" s="130" t="str">
        <f>IF(inputOth!D17&gt;0,inputOth!D17,"  ")</f>
        <v xml:space="preserve">  </v>
      </c>
      <c r="F11" s="719"/>
      <c r="G11" s="159">
        <f>IF(inputPrYr!E16=0,0,G23-SUM(G12:G20))</f>
        <v>0</v>
      </c>
      <c r="H11" s="720"/>
      <c r="I11" s="159">
        <f>IF(inputPrYr!E16=0,0,I25-SUM(I12:I20))</f>
        <v>0</v>
      </c>
      <c r="J11" s="159">
        <f>IF(inputPrYr!E16=0,0,J27-SUM(J12:J20))</f>
        <v>0</v>
      </c>
      <c r="K11" s="89"/>
      <c r="L11" s="89"/>
      <c r="M11" s="551"/>
    </row>
    <row r="12" spans="2:13">
      <c r="B12" s="84" t="str">
        <f>inputPrYr!B17</f>
        <v>Debt Service</v>
      </c>
      <c r="C12" s="231"/>
      <c r="D12" s="159">
        <f>IF(inputPrYr!E17&gt;=0,inputPrYr!E17,"  ")</f>
        <v>0</v>
      </c>
      <c r="E12" s="130" t="str">
        <f>IF(inputOth!D18&gt;0,inputOth!D18,"  ")</f>
        <v xml:space="preserve">  </v>
      </c>
      <c r="F12" s="719"/>
      <c r="G12" s="159">
        <f>IF(inputPrYr!E17=0,0,ROUND(D12*$G$30,0))</f>
        <v>0</v>
      </c>
      <c r="H12" s="720"/>
      <c r="I12" s="159">
        <f>IF(inputPrYr!$E$17=0,0,ROUND($D$12*$I$32,0))</f>
        <v>0</v>
      </c>
      <c r="J12" s="159">
        <f>IF(inputPrYr!E17=0,0,ROUND($D12*$J$34,0))</f>
        <v>0</v>
      </c>
      <c r="K12" s="89"/>
      <c r="L12" s="89"/>
      <c r="M12" s="551"/>
    </row>
    <row r="13" spans="2:13">
      <c r="B13" s="84" t="str">
        <f>inputPrYr!B18</f>
        <v>Library</v>
      </c>
      <c r="C13" s="231"/>
      <c r="D13" s="159">
        <f>IF(inputPrYr!E18&gt;=0,inputPrYr!E18,"  ")</f>
        <v>0</v>
      </c>
      <c r="E13" s="130"/>
      <c r="F13" s="719"/>
      <c r="G13" s="159">
        <f>IF(inputPrYr!E18=0,0,ROUND(D13*$G$30,0))</f>
        <v>0</v>
      </c>
      <c r="H13" s="720"/>
      <c r="I13" s="159">
        <f>IF(inputPrYr!$E$18=0,0,ROUND($D$13*$I$32,0))</f>
        <v>0</v>
      </c>
      <c r="J13" s="159">
        <f>IF(inputPrYr!E18=0,0,ROUND($D13*$J$34,0))</f>
        <v>0</v>
      </c>
      <c r="K13" s="89"/>
      <c r="L13" s="89"/>
      <c r="M13" s="551"/>
    </row>
    <row r="14" spans="2:13">
      <c r="B14" s="84" t="str">
        <f>IF(inputPrYr!$B19&gt;"  ",inputPrYr!$B19,"  ")</f>
        <v>Road</v>
      </c>
      <c r="C14" s="231"/>
      <c r="D14" s="159">
        <f>IF(inputPrYr!E19&gt;=0,inputPrYr!E19,"  ")</f>
        <v>8479</v>
      </c>
      <c r="E14" s="130">
        <f>IF(inputOth!D20&gt;0,inputOth!D20,"  ")</f>
        <v>2.5310000000000001</v>
      </c>
      <c r="F14" s="719"/>
      <c r="G14" s="159">
        <f>IF(inputPrYr!E19=0,0,ROUND(D14*$G$30,0))</f>
        <v>102</v>
      </c>
      <c r="H14" s="720"/>
      <c r="I14" s="159">
        <f>IF(inputPrYr!$E$19=0,0,ROUND($D$14*$I$32,0))</f>
        <v>0</v>
      </c>
      <c r="J14" s="159">
        <f>IF(inputPrYr!E19=0,0,ROUND($D14*$J$34,0))</f>
        <v>4</v>
      </c>
      <c r="K14" s="89"/>
      <c r="L14" s="89"/>
      <c r="M14" s="551"/>
    </row>
    <row r="15" spans="2:13">
      <c r="B15" s="84" t="str">
        <f>IF(inputPrYr!$B20&gt;"  ",inputPrYr!$B20,"  ")</f>
        <v>Prairie Dog</v>
      </c>
      <c r="C15" s="231"/>
      <c r="D15" s="159">
        <f>IF(inputPrYr!E20&gt;=0,inputPrYr!E20,"  ")</f>
        <v>0</v>
      </c>
      <c r="E15" s="130" t="str">
        <f>IF(inputOth!D21&gt;0,inputOth!D21,"  ")</f>
        <v xml:space="preserve">  </v>
      </c>
      <c r="F15" s="719"/>
      <c r="G15" s="159">
        <f>IF(inputPrYr!E20=0,0,ROUND(D15*$G$30,0))</f>
        <v>0</v>
      </c>
      <c r="H15" s="720"/>
      <c r="I15" s="159">
        <f>IF(inputPrYr!$E$20=0,0,ROUND($D$15*$I$32,0))</f>
        <v>0</v>
      </c>
      <c r="J15" s="159">
        <f>IF(inputPrYr!E20=0,0,ROUND($D15*$J$34,0))</f>
        <v>0</v>
      </c>
      <c r="K15" s="89"/>
      <c r="L15" s="89"/>
      <c r="M15" s="551"/>
    </row>
    <row r="16" spans="2:13">
      <c r="B16" s="84" t="str">
        <f>IF(inputPrYr!$B21&gt;"  ",inputPrYr!$B21,"  ")</f>
        <v>Noxious Weed</v>
      </c>
      <c r="C16" s="231"/>
      <c r="D16" s="159">
        <f>IF(inputPrYr!E21&gt;=0,inputPrYr!E21,"  ")</f>
        <v>0</v>
      </c>
      <c r="E16" s="130" t="str">
        <f>IF(inputOth!D22&gt;0,inputOth!D22,"  ")</f>
        <v xml:space="preserve">  </v>
      </c>
      <c r="F16" s="719"/>
      <c r="G16" s="159">
        <f>IF(inputPrYr!E21=0,0,ROUND(D16*$G$30,0))</f>
        <v>0</v>
      </c>
      <c r="H16" s="720"/>
      <c r="I16" s="159">
        <f>IF(inputPrYr!$E$21=0,0,ROUND($D$16*$I$32,0))</f>
        <v>0</v>
      </c>
      <c r="J16" s="159">
        <f>IF(inputPrYr!E21=0,0,ROUND($D16*$J$34,0))</f>
        <v>0</v>
      </c>
      <c r="K16" s="89"/>
      <c r="L16" s="89"/>
      <c r="M16" s="551"/>
    </row>
    <row r="17" spans="2:13">
      <c r="B17" s="84" t="str">
        <f>IF(inputPrYr!$B22&gt;"  ",inputPrYr!$B22,"  ")</f>
        <v xml:space="preserve">  </v>
      </c>
      <c r="C17" s="231"/>
      <c r="D17" s="159">
        <f>IF(inputPrYr!E22&gt;=0,inputPrYr!E22,"  ")</f>
        <v>0</v>
      </c>
      <c r="E17" s="130" t="str">
        <f>IF(inputOth!D23&gt;0,inputOth!D23,"  ")</f>
        <v xml:space="preserve">  </v>
      </c>
      <c r="F17" s="719"/>
      <c r="G17" s="159">
        <f>IF(inputPrYr!E22=0,0,ROUND(D17*$G$30,0))</f>
        <v>0</v>
      </c>
      <c r="H17" s="720"/>
      <c r="I17" s="159">
        <f>IF(inputPrYr!$E$22=0,0,ROUND($D$17*$I$32,0))</f>
        <v>0</v>
      </c>
      <c r="J17" s="159">
        <f>IF(inputPrYr!E22=0,0,ROUND($D17*$J$34,0))</f>
        <v>0</v>
      </c>
      <c r="K17" s="89"/>
      <c r="L17" s="89"/>
      <c r="M17" s="551"/>
    </row>
    <row r="18" spans="2:13">
      <c r="B18" s="84" t="str">
        <f>IF(inputPrYr!$B23&gt;"  ",inputPrYr!$B23,"  ")</f>
        <v xml:space="preserve">  </v>
      </c>
      <c r="C18" s="231"/>
      <c r="D18" s="159">
        <f>IF(inputPrYr!E23&gt;=0,inputPrYr!E23,"  ")</f>
        <v>0</v>
      </c>
      <c r="E18" s="130" t="str">
        <f>IF(inputOth!D24&gt;0,inputOth!D24,"  ")</f>
        <v xml:space="preserve">  </v>
      </c>
      <c r="F18" s="719"/>
      <c r="G18" s="159">
        <f>IF(inputPrYr!E23=0,0,ROUND(D18*$G$30,0))</f>
        <v>0</v>
      </c>
      <c r="H18" s="720"/>
      <c r="I18" s="159">
        <f>IF(inputPrYr!$E$23=0,0,ROUND($D$18*$I$32,0))</f>
        <v>0</v>
      </c>
      <c r="J18" s="159">
        <f>IF(inputPrYr!E23=0,0,ROUND($D18*$J$34,0))</f>
        <v>0</v>
      </c>
      <c r="K18" s="89"/>
      <c r="L18" s="89"/>
      <c r="M18" s="551"/>
    </row>
    <row r="19" spans="2:13">
      <c r="B19" s="84" t="str">
        <f>IF(inputPrYr!$B24&gt;"  ",inputPrYr!$B24,"  ")</f>
        <v xml:space="preserve">  </v>
      </c>
      <c r="C19" s="231"/>
      <c r="D19" s="159">
        <f>IF(inputPrYr!E24&gt;=0,inputPrYr!E24,"  ")</f>
        <v>0</v>
      </c>
      <c r="E19" s="130" t="str">
        <f>IF(inputOth!D25&gt;0,inputOth!D25,"  ")</f>
        <v xml:space="preserve">  </v>
      </c>
      <c r="F19" s="719"/>
      <c r="G19" s="159">
        <f>IF(inputPrYr!E24=0,0,ROUND(D19*$G$30,0))</f>
        <v>0</v>
      </c>
      <c r="H19" s="720"/>
      <c r="I19" s="159">
        <f>IF(inputPrYr!$E$24=0,0,ROUND($D$19*$I$32,0))</f>
        <v>0</v>
      </c>
      <c r="J19" s="159">
        <f>IF(inputPrYr!E24=0,0,ROUND($D19*$J$34,0))</f>
        <v>0</v>
      </c>
      <c r="K19" s="89"/>
      <c r="L19" s="89"/>
      <c r="M19" s="551"/>
    </row>
    <row r="20" spans="2:13">
      <c r="B20" s="84" t="str">
        <f>IF(inputPrYr!$B25&gt;"  ",inputPrYr!$B25,"  ")</f>
        <v xml:space="preserve">  </v>
      </c>
      <c r="C20" s="231"/>
      <c r="D20" s="159">
        <f>IF(inputPrYr!E25&gt;=0,inputPrYr!E25,"  ")</f>
        <v>0</v>
      </c>
      <c r="E20" s="130" t="str">
        <f>IF(inputOth!D26&gt;0,inputOth!D26,"  ")</f>
        <v xml:space="preserve">  </v>
      </c>
      <c r="F20" s="719"/>
      <c r="G20" s="159">
        <f>IF(inputPrYr!E25=0,0,ROUND(D20*$G$30,0))</f>
        <v>0</v>
      </c>
      <c r="H20" s="720"/>
      <c r="I20" s="159">
        <f>IF(inputPrYr!$E$25=0,0,ROUND($D$20*$I$32,0))</f>
        <v>0</v>
      </c>
      <c r="J20" s="159">
        <f>IF(inputPrYr!E25=0,0,ROUND($D20*$J$34,0))</f>
        <v>0</v>
      </c>
      <c r="K20" s="89"/>
      <c r="L20" s="89"/>
      <c r="M20" s="551"/>
    </row>
    <row r="21" spans="2:13" ht="16.5" thickBot="1">
      <c r="B21" s="71" t="s">
        <v>270</v>
      </c>
      <c r="C21" s="234"/>
      <c r="D21" s="721">
        <f>SUM(D11:D20)</f>
        <v>8479</v>
      </c>
      <c r="E21" s="722">
        <f>SUM(E11:E20)</f>
        <v>2.5310000000000001</v>
      </c>
      <c r="F21" s="723"/>
      <c r="G21" s="721">
        <f>SUM(G11:G20)</f>
        <v>102</v>
      </c>
      <c r="H21" s="721"/>
      <c r="I21" s="721">
        <f>SUM(I11:I20)</f>
        <v>0</v>
      </c>
      <c r="J21" s="721">
        <f>SUM(J11:J20)</f>
        <v>4</v>
      </c>
      <c r="K21" s="89"/>
      <c r="L21" s="89"/>
      <c r="M21" s="551"/>
    </row>
    <row r="22" spans="2:13" ht="16.5" thickTop="1">
      <c r="B22" s="14"/>
      <c r="C22" s="14"/>
      <c r="D22" s="14"/>
      <c r="E22" s="14"/>
      <c r="F22" s="14"/>
      <c r="G22" s="14"/>
      <c r="H22" s="14"/>
      <c r="I22" s="14"/>
      <c r="J22" s="14"/>
      <c r="K22" s="14"/>
      <c r="L22" s="89"/>
    </row>
    <row r="23" spans="2:13">
      <c r="B23" s="22" t="s">
        <v>5</v>
      </c>
      <c r="C23" s="60"/>
      <c r="D23" s="14"/>
      <c r="E23" s="14"/>
      <c r="F23" s="14"/>
      <c r="G23" s="78">
        <f>inputOth!E32</f>
        <v>102</v>
      </c>
      <c r="H23" s="14"/>
      <c r="I23" s="14"/>
      <c r="J23" s="14"/>
      <c r="K23" s="14"/>
      <c r="L23" s="89"/>
    </row>
    <row r="24" spans="2:13">
      <c r="B24" s="14"/>
      <c r="C24" s="14"/>
      <c r="D24" s="14"/>
      <c r="E24" s="14"/>
      <c r="F24" s="14"/>
      <c r="G24" s="14"/>
      <c r="H24" s="14"/>
      <c r="I24" s="14"/>
      <c r="J24" s="14"/>
      <c r="K24" s="14"/>
      <c r="L24" s="89"/>
    </row>
    <row r="25" spans="2:13">
      <c r="B25" s="22" t="s">
        <v>6</v>
      </c>
      <c r="C25" s="14"/>
      <c r="D25" s="14"/>
      <c r="E25" s="14"/>
      <c r="F25" s="14"/>
      <c r="G25" s="14"/>
      <c r="H25" s="78">
        <f>inputPrYr!E75</f>
        <v>0</v>
      </c>
      <c r="I25" s="78">
        <f>inputOth!E33</f>
        <v>0</v>
      </c>
      <c r="J25" s="14"/>
      <c r="K25" s="14"/>
      <c r="L25" s="89"/>
    </row>
    <row r="26" spans="2:13">
      <c r="B26" s="14"/>
      <c r="C26" s="14"/>
      <c r="D26" s="14"/>
      <c r="E26" s="14"/>
      <c r="F26" s="14"/>
      <c r="G26" s="14"/>
      <c r="H26" s="14"/>
      <c r="I26" s="14"/>
      <c r="J26" s="14"/>
      <c r="K26" s="14"/>
      <c r="L26" s="89"/>
    </row>
    <row r="27" spans="2:13">
      <c r="B27" s="22" t="s">
        <v>72</v>
      </c>
      <c r="C27" s="14"/>
      <c r="D27" s="14"/>
      <c r="E27" s="14"/>
      <c r="F27" s="14"/>
      <c r="G27" s="14"/>
      <c r="H27" s="14"/>
      <c r="I27" s="14"/>
      <c r="J27" s="78">
        <f>inputOth!E34</f>
        <v>4</v>
      </c>
      <c r="K27" s="24"/>
      <c r="L27" s="89"/>
    </row>
    <row r="28" spans="2:13">
      <c r="B28" s="14"/>
      <c r="C28" s="14"/>
      <c r="D28" s="14"/>
      <c r="E28" s="14"/>
      <c r="F28" s="14"/>
      <c r="G28" s="14"/>
      <c r="H28" s="14"/>
      <c r="I28" s="14"/>
      <c r="J28" s="14"/>
      <c r="K28" s="14"/>
      <c r="L28" s="89"/>
    </row>
    <row r="29" spans="2:13">
      <c r="B29" s="14"/>
      <c r="C29" s="14"/>
      <c r="D29" s="14"/>
      <c r="E29" s="14"/>
      <c r="F29" s="14"/>
      <c r="G29" s="14"/>
      <c r="H29" s="14"/>
      <c r="I29" s="14"/>
      <c r="J29" s="14"/>
      <c r="K29" s="24"/>
      <c r="L29" s="89"/>
    </row>
    <row r="30" spans="2:13">
      <c r="B30" s="22" t="s">
        <v>7</v>
      </c>
      <c r="C30" s="14"/>
      <c r="D30" s="14"/>
      <c r="E30" s="14"/>
      <c r="F30" s="14"/>
      <c r="G30" s="235">
        <f>IF(D21=0,0,G23/D21)</f>
        <v>1.2029720485906358E-2</v>
      </c>
      <c r="H30" s="14"/>
      <c r="I30" s="14"/>
      <c r="J30" s="14"/>
      <c r="K30" s="14"/>
      <c r="L30" s="89"/>
    </row>
    <row r="31" spans="2:13">
      <c r="B31" s="14"/>
      <c r="C31" s="236"/>
      <c r="D31" s="14"/>
      <c r="E31" s="14"/>
      <c r="F31" s="14"/>
      <c r="G31" s="14"/>
      <c r="H31" s="14"/>
      <c r="I31" s="14"/>
      <c r="J31" s="14"/>
      <c r="K31" s="14"/>
      <c r="L31" s="89"/>
    </row>
    <row r="32" spans="2:13">
      <c r="B32" s="22"/>
      <c r="C32" s="14"/>
      <c r="D32" s="22" t="s">
        <v>8</v>
      </c>
      <c r="E32" s="14"/>
      <c r="F32" s="14"/>
      <c r="G32" s="14"/>
      <c r="H32" s="237">
        <f>IF(D21=0,0,H25/D21)</f>
        <v>0</v>
      </c>
      <c r="I32" s="238">
        <f>IF(D21=0,0,I25/D21)</f>
        <v>0</v>
      </c>
      <c r="J32" s="14"/>
      <c r="K32" s="14"/>
      <c r="L32" s="89"/>
    </row>
    <row r="33" spans="2:12">
      <c r="B33" s="14"/>
      <c r="C33" s="14"/>
      <c r="D33" s="14"/>
      <c r="E33" s="14"/>
      <c r="F33" s="14"/>
      <c r="G33" s="14"/>
      <c r="H33" s="14"/>
      <c r="I33" s="14"/>
      <c r="J33" s="14"/>
      <c r="K33" s="14"/>
      <c r="L33" s="89"/>
    </row>
    <row r="34" spans="2:12">
      <c r="B34" s="22"/>
      <c r="C34" s="14"/>
      <c r="D34" s="14"/>
      <c r="E34" s="14"/>
      <c r="F34" s="14"/>
      <c r="G34" s="22" t="s">
        <v>73</v>
      </c>
      <c r="H34" s="14"/>
      <c r="I34" s="14"/>
      <c r="J34" s="235">
        <f>IF(D21=0,0,J27/D21)</f>
        <v>4.7175374454534735E-4</v>
      </c>
      <c r="K34" s="239"/>
      <c r="L34" s="89"/>
    </row>
    <row r="35" spans="2:12">
      <c r="B35" s="89"/>
      <c r="C35" s="89"/>
      <c r="D35" s="89"/>
      <c r="E35" s="89"/>
      <c r="F35" s="89"/>
      <c r="G35" s="89"/>
      <c r="H35" s="89"/>
      <c r="I35" s="89"/>
      <c r="J35" s="89"/>
      <c r="K35" s="89"/>
      <c r="L35" s="89"/>
    </row>
    <row r="36" spans="2:12">
      <c r="B36" s="89"/>
      <c r="C36" s="89"/>
      <c r="D36" s="89"/>
      <c r="E36" s="89"/>
      <c r="F36" s="89"/>
      <c r="G36" s="89"/>
      <c r="H36" s="89"/>
      <c r="I36" s="89"/>
      <c r="J36" s="89"/>
      <c r="K36" s="89"/>
      <c r="L36" s="89"/>
    </row>
    <row r="40" spans="2:12">
      <c r="B40" s="240"/>
      <c r="C40" s="240"/>
      <c r="D40" s="240"/>
      <c r="E40" s="240"/>
      <c r="F40" s="240"/>
      <c r="G40" s="240"/>
      <c r="H40" s="240"/>
      <c r="I40" s="16"/>
    </row>
  </sheetData>
  <sheetProtection sheet="1"/>
  <mergeCells count="3">
    <mergeCell ref="E9:E10"/>
    <mergeCell ref="G9:J9"/>
    <mergeCell ref="B6:J6"/>
  </mergeCells>
  <phoneticPr fontId="0" type="noConversion"/>
  <pageMargins left="0.4" right="0.4" top="0.83" bottom="0.85" header="0.3" footer="0.6"/>
  <pageSetup scale="84" orientation="landscape" blackAndWhite="1" horizontalDpi="4294967292" verticalDpi="300" r:id="rId1"/>
  <headerFooter alignWithMargins="0">
    <oddHeader xml:space="preserve">&amp;RState of Kansas
Township
</oddHeader>
    <oddFooter>&amp;CPage No. 3</oddFooter>
  </headerFooter>
</worksheet>
</file>

<file path=xl/worksheets/sheet10.xml><?xml version="1.0" encoding="utf-8"?>
<worksheet xmlns="http://schemas.openxmlformats.org/spreadsheetml/2006/main" xmlns:r="http://schemas.openxmlformats.org/officeDocument/2006/relationships">
  <sheetPr>
    <pageSetUpPr fitToPage="1"/>
  </sheetPr>
  <dimension ref="A1:F32"/>
  <sheetViews>
    <sheetView workbookViewId="0">
      <selection activeCell="J17" sqref="J17"/>
    </sheetView>
  </sheetViews>
  <sheetFormatPr defaultRowHeight="15.75"/>
  <cols>
    <col min="1" max="2" width="16" style="16" customWidth="1"/>
    <col min="3" max="6" width="11.5" style="16" customWidth="1"/>
    <col min="7" max="16384" width="8.796875" style="16"/>
  </cols>
  <sheetData>
    <row r="1" spans="1:6">
      <c r="A1" s="13"/>
      <c r="B1" s="14"/>
      <c r="C1" s="14"/>
      <c r="D1" s="14"/>
      <c r="E1" s="52"/>
      <c r="F1" s="14">
        <f>inputPrYr!D5</f>
        <v>2013</v>
      </c>
    </row>
    <row r="2" spans="1:6">
      <c r="A2" s="87" t="str">
        <f>inputPrYr!D2</f>
        <v>Paxton Township</v>
      </c>
      <c r="B2" s="87"/>
      <c r="C2" s="14"/>
      <c r="D2" s="14"/>
      <c r="E2" s="52"/>
      <c r="F2" s="14"/>
    </row>
    <row r="3" spans="1:6">
      <c r="A3" s="13"/>
      <c r="B3" s="87"/>
      <c r="C3" s="14"/>
      <c r="D3" s="14"/>
      <c r="E3" s="52"/>
      <c r="F3" s="14"/>
    </row>
    <row r="4" spans="1:6">
      <c r="A4" s="13"/>
      <c r="B4" s="14"/>
      <c r="C4" s="14"/>
      <c r="D4" s="14"/>
      <c r="E4" s="52"/>
      <c r="F4" s="14"/>
    </row>
    <row r="5" spans="1:6" ht="15" customHeight="1">
      <c r="A5" s="763" t="s">
        <v>163</v>
      </c>
      <c r="B5" s="763"/>
      <c r="C5" s="763"/>
      <c r="D5" s="763"/>
      <c r="E5" s="763"/>
      <c r="F5" s="763"/>
    </row>
    <row r="6" spans="1:6" ht="14.25" customHeight="1">
      <c r="A6" s="124"/>
      <c r="B6" s="210"/>
      <c r="C6" s="210"/>
      <c r="D6" s="210"/>
      <c r="E6" s="210"/>
      <c r="F6" s="210"/>
    </row>
    <row r="7" spans="1:6" ht="15" customHeight="1">
      <c r="A7" s="211" t="s">
        <v>278</v>
      </c>
      <c r="B7" s="211" t="s">
        <v>605</v>
      </c>
      <c r="C7" s="212" t="s">
        <v>32</v>
      </c>
      <c r="D7" s="212" t="s">
        <v>164</v>
      </c>
      <c r="E7" s="211" t="s">
        <v>165</v>
      </c>
      <c r="F7" s="211" t="s">
        <v>166</v>
      </c>
    </row>
    <row r="8" spans="1:6" ht="15" customHeight="1">
      <c r="A8" s="213" t="s">
        <v>606</v>
      </c>
      <c r="B8" s="213" t="s">
        <v>607</v>
      </c>
      <c r="C8" s="214" t="s">
        <v>167</v>
      </c>
      <c r="D8" s="214" t="s">
        <v>167</v>
      </c>
      <c r="E8" s="214" t="s">
        <v>167</v>
      </c>
      <c r="F8" s="214" t="s">
        <v>168</v>
      </c>
    </row>
    <row r="9" spans="1:6" s="217" customFormat="1" ht="15" customHeight="1" thickBot="1">
      <c r="A9" s="215" t="s">
        <v>169</v>
      </c>
      <c r="B9" s="216" t="s">
        <v>170</v>
      </c>
      <c r="C9" s="216">
        <f>F1-2</f>
        <v>2011</v>
      </c>
      <c r="D9" s="216">
        <f>F1-1</f>
        <v>2012</v>
      </c>
      <c r="E9" s="216">
        <f>F1</f>
        <v>2013</v>
      </c>
      <c r="F9" s="216" t="s">
        <v>265</v>
      </c>
    </row>
    <row r="10" spans="1:6" ht="15" customHeight="1" thickTop="1">
      <c r="A10" s="218"/>
      <c r="B10" s="218"/>
      <c r="C10" s="219"/>
      <c r="D10" s="219"/>
      <c r="E10" s="219"/>
      <c r="F10" s="218"/>
    </row>
    <row r="11" spans="1:6" ht="15" customHeight="1">
      <c r="A11" s="72" t="s">
        <v>243</v>
      </c>
      <c r="B11" s="72" t="s">
        <v>282</v>
      </c>
      <c r="C11" s="220">
        <f>gen!$C$33</f>
        <v>0</v>
      </c>
      <c r="D11" s="220">
        <f>gen!$D$33</f>
        <v>0</v>
      </c>
      <c r="E11" s="220">
        <f>gen!$E$33</f>
        <v>0</v>
      </c>
      <c r="F11" s="72" t="str">
        <f>IF(C11+D11+E11&gt;0,"80-1406b","")</f>
        <v/>
      </c>
    </row>
    <row r="12" spans="1:6" ht="15" customHeight="1">
      <c r="A12" s="72" t="s">
        <v>243</v>
      </c>
      <c r="B12" s="72" t="s">
        <v>282</v>
      </c>
      <c r="C12" s="220">
        <f>gen!$C$35</f>
        <v>0</v>
      </c>
      <c r="D12" s="220">
        <f>gen!$D$35</f>
        <v>0</v>
      </c>
      <c r="E12" s="220">
        <f>gen!$E$35</f>
        <v>0</v>
      </c>
      <c r="F12" s="72" t="str">
        <f>IF(C12+D12+E12&gt;0,"80-122","")</f>
        <v/>
      </c>
    </row>
    <row r="13" spans="1:6" ht="15" customHeight="1">
      <c r="A13" s="72" t="s">
        <v>269</v>
      </c>
      <c r="B13" s="72" t="s">
        <v>282</v>
      </c>
      <c r="C13" s="220">
        <f>road!$C$33</f>
        <v>0</v>
      </c>
      <c r="D13" s="220">
        <f>road!$D$33</f>
        <v>0</v>
      </c>
      <c r="E13" s="220">
        <f>road!$E$33</f>
        <v>0</v>
      </c>
      <c r="F13" s="72" t="str">
        <f>IF(C13+D13+E13&gt;0,"68-141g","")</f>
        <v/>
      </c>
    </row>
    <row r="14" spans="1:6" ht="15" customHeight="1">
      <c r="A14" s="221"/>
      <c r="B14" s="221"/>
      <c r="C14" s="222"/>
      <c r="D14" s="222"/>
      <c r="E14" s="222"/>
      <c r="F14" s="221"/>
    </row>
    <row r="15" spans="1:6" ht="15" customHeight="1">
      <c r="A15" s="221" t="s">
        <v>931</v>
      </c>
      <c r="B15" s="221" t="s">
        <v>269</v>
      </c>
      <c r="C15" s="222"/>
      <c r="D15" s="222">
        <v>146</v>
      </c>
      <c r="E15" s="222"/>
      <c r="F15" s="221" t="s">
        <v>946</v>
      </c>
    </row>
    <row r="16" spans="1:6" ht="15" customHeight="1">
      <c r="A16" s="221" t="s">
        <v>930</v>
      </c>
      <c r="B16" s="221" t="s">
        <v>945</v>
      </c>
      <c r="C16" s="222"/>
      <c r="D16" s="222">
        <v>964</v>
      </c>
      <c r="E16" s="222"/>
      <c r="F16" s="221" t="s">
        <v>946</v>
      </c>
    </row>
    <row r="17" spans="1:6" ht="15" customHeight="1">
      <c r="A17" s="221" t="s">
        <v>282</v>
      </c>
      <c r="B17" s="221" t="s">
        <v>269</v>
      </c>
      <c r="C17" s="222"/>
      <c r="D17" s="222">
        <v>15000</v>
      </c>
      <c r="E17" s="222"/>
      <c r="F17" s="221" t="s">
        <v>952</v>
      </c>
    </row>
    <row r="18" spans="1:6" ht="15" customHeight="1">
      <c r="A18" s="221"/>
      <c r="B18" s="221"/>
      <c r="C18" s="222"/>
      <c r="D18" s="222"/>
      <c r="E18" s="222"/>
      <c r="F18" s="221"/>
    </row>
    <row r="19" spans="1:6" ht="15" customHeight="1">
      <c r="A19" s="221"/>
      <c r="B19" s="223"/>
      <c r="C19" s="222"/>
      <c r="D19" s="222"/>
      <c r="E19" s="222"/>
      <c r="F19" s="221"/>
    </row>
    <row r="20" spans="1:6" ht="15" customHeight="1">
      <c r="A20" s="221"/>
      <c r="B20" s="221"/>
      <c r="C20" s="222"/>
      <c r="D20" s="222"/>
      <c r="E20" s="222"/>
      <c r="F20" s="221"/>
    </row>
    <row r="21" spans="1:6" ht="15" customHeight="1">
      <c r="A21" s="221"/>
      <c r="B21" s="221"/>
      <c r="C21" s="222"/>
      <c r="D21" s="222"/>
      <c r="E21" s="222"/>
      <c r="F21" s="221"/>
    </row>
    <row r="22" spans="1:6" ht="15" customHeight="1">
      <c r="A22" s="221"/>
      <c r="B22" s="221"/>
      <c r="C22" s="222"/>
      <c r="D22" s="222"/>
      <c r="E22" s="222"/>
      <c r="F22" s="221"/>
    </row>
    <row r="23" spans="1:6" ht="15" customHeight="1">
      <c r="A23" s="221"/>
      <c r="B23" s="221"/>
      <c r="C23" s="222"/>
      <c r="D23" s="222"/>
      <c r="E23" s="222"/>
      <c r="F23" s="221"/>
    </row>
    <row r="24" spans="1:6" ht="15" customHeight="1">
      <c r="A24" s="221"/>
      <c r="B24" s="221"/>
      <c r="C24" s="222"/>
      <c r="D24" s="222"/>
      <c r="E24" s="222"/>
      <c r="F24" s="221"/>
    </row>
    <row r="25" spans="1:6" ht="15" customHeight="1">
      <c r="A25" s="221"/>
      <c r="B25" s="221"/>
      <c r="C25" s="222"/>
      <c r="D25" s="222"/>
      <c r="E25" s="222"/>
      <c r="F25" s="221"/>
    </row>
    <row r="26" spans="1:6" ht="15" customHeight="1">
      <c r="A26" s="221"/>
      <c r="B26" s="221"/>
      <c r="C26" s="222"/>
      <c r="D26" s="222"/>
      <c r="E26" s="222"/>
      <c r="F26" s="221"/>
    </row>
    <row r="27" spans="1:6">
      <c r="A27" s="128"/>
      <c r="B27" s="224" t="s">
        <v>270</v>
      </c>
      <c r="C27" s="225">
        <f>SUM(C10:C26)</f>
        <v>0</v>
      </c>
      <c r="D27" s="225">
        <f>SUM(D10:D26)</f>
        <v>16110</v>
      </c>
      <c r="E27" s="225">
        <f>SUM(E10:E26)</f>
        <v>0</v>
      </c>
      <c r="F27" s="128"/>
    </row>
    <row r="28" spans="1:6">
      <c r="A28" s="128"/>
      <c r="B28" s="224" t="s">
        <v>604</v>
      </c>
      <c r="C28" s="128"/>
      <c r="D28" s="221"/>
      <c r="E28" s="221"/>
      <c r="F28" s="128"/>
    </row>
    <row r="29" spans="1:6">
      <c r="A29" s="128"/>
      <c r="B29" s="176" t="s">
        <v>171</v>
      </c>
      <c r="C29" s="226">
        <f>C27</f>
        <v>0</v>
      </c>
      <c r="D29" s="226">
        <f>SUM(D27-D28)</f>
        <v>16110</v>
      </c>
      <c r="E29" s="226">
        <f>SUM(E27-E28)</f>
        <v>0</v>
      </c>
      <c r="F29" s="128"/>
    </row>
    <row r="30" spans="1:6">
      <c r="A30" s="128"/>
      <c r="B30" s="14"/>
      <c r="C30" s="14"/>
      <c r="D30" s="14"/>
      <c r="E30" s="14"/>
      <c r="F30" s="128"/>
    </row>
    <row r="31" spans="1:6">
      <c r="A31" s="128"/>
      <c r="B31" s="14"/>
      <c r="C31" s="14"/>
      <c r="D31" s="14"/>
      <c r="E31" s="14"/>
      <c r="F31" s="128"/>
    </row>
    <row r="32" spans="1:6">
      <c r="A32" s="374" t="s">
        <v>608</v>
      </c>
      <c r="B32" s="375" t="str">
        <f>CONCATENATE("Adjustments are required only if the transfer is being made in ",D9," and/or ",E9," from a non-budgeted fund.")</f>
        <v>Adjustments are required only if the transfer is being made in 2012 and/or 2013 from a non-budgeted fund.</v>
      </c>
      <c r="C32" s="14"/>
      <c r="D32" s="14"/>
      <c r="E32" s="14"/>
      <c r="F32" s="128"/>
    </row>
  </sheetData>
  <sheetProtection sheet="1"/>
  <mergeCells count="1">
    <mergeCell ref="A5:F5"/>
  </mergeCells>
  <phoneticPr fontId="11" type="noConversion"/>
  <pageMargins left="0.75" right="0.75" top="1" bottom="1" header="0.5" footer="0.5"/>
  <pageSetup scale="80" orientation="portrait" blackAndWhite="1" horizontalDpi="300" verticalDpi="300" r:id="rId1"/>
  <headerFooter alignWithMargins="0">
    <oddHeader>&amp;RState of Kansas
Township</oddHeader>
    <oddFooter>&amp;CPage No. 4</oddFooter>
  </headerFooter>
</worksheet>
</file>

<file path=xl/worksheets/sheet11.xml><?xml version="1.0" encoding="utf-8"?>
<worksheet xmlns="http://schemas.openxmlformats.org/spreadsheetml/2006/main" xmlns:r="http://schemas.openxmlformats.org/officeDocument/2006/relationships">
  <dimension ref="A1:A35"/>
  <sheetViews>
    <sheetView zoomScaleNormal="100" workbookViewId="0">
      <selection activeCell="A28" sqref="A28"/>
    </sheetView>
  </sheetViews>
  <sheetFormatPr defaultColWidth="62.3984375" defaultRowHeight="15.75"/>
  <cols>
    <col min="1" max="16384" width="62.3984375" style="12"/>
  </cols>
  <sheetData>
    <row r="1" spans="1:1" ht="18.75">
      <c r="A1" s="209" t="s">
        <v>312</v>
      </c>
    </row>
    <row r="2" spans="1:1">
      <c r="A2" s="79"/>
    </row>
    <row r="3" spans="1:1" ht="51" customHeight="1">
      <c r="A3" s="393" t="s">
        <v>705</v>
      </c>
    </row>
    <row r="4" spans="1:1" ht="17.25" customHeight="1">
      <c r="A4" s="393"/>
    </row>
    <row r="5" spans="1:1">
      <c r="A5" s="79"/>
    </row>
    <row r="6" spans="1:1" ht="52.5" customHeight="1">
      <c r="A6" s="161" t="s">
        <v>353</v>
      </c>
    </row>
    <row r="7" spans="1:1">
      <c r="A7" s="79"/>
    </row>
    <row r="8" spans="1:1">
      <c r="A8" s="79"/>
    </row>
    <row r="9" spans="1:1" ht="70.5" customHeight="1">
      <c r="A9" s="161" t="s">
        <v>354</v>
      </c>
    </row>
    <row r="10" spans="1:1">
      <c r="A10" s="162"/>
    </row>
    <row r="11" spans="1:1">
      <c r="A11" s="162"/>
    </row>
    <row r="12" spans="1:1" ht="63">
      <c r="A12" s="482" t="s">
        <v>706</v>
      </c>
    </row>
    <row r="13" spans="1:1">
      <c r="A13" s="162"/>
    </row>
    <row r="14" spans="1:1">
      <c r="A14" s="162"/>
    </row>
    <row r="15" spans="1:1" ht="63">
      <c r="A15" s="482" t="s">
        <v>707</v>
      </c>
    </row>
    <row r="16" spans="1:1">
      <c r="A16" s="162"/>
    </row>
    <row r="17" spans="1:1">
      <c r="A17" s="79"/>
    </row>
    <row r="18" spans="1:1" ht="56.25" customHeight="1">
      <c r="A18" s="161" t="s">
        <v>355</v>
      </c>
    </row>
    <row r="19" spans="1:1">
      <c r="A19" s="162"/>
    </row>
    <row r="20" spans="1:1">
      <c r="A20" s="162"/>
    </row>
    <row r="21" spans="1:1" ht="87.75" customHeight="1">
      <c r="A21" s="161" t="s">
        <v>356</v>
      </c>
    </row>
    <row r="22" spans="1:1">
      <c r="A22" s="162"/>
    </row>
    <row r="23" spans="1:1">
      <c r="A23" s="79"/>
    </row>
    <row r="24" spans="1:1" ht="54.75" customHeight="1">
      <c r="A24" s="161" t="s">
        <v>357</v>
      </c>
    </row>
    <row r="25" spans="1:1">
      <c r="A25" s="79"/>
    </row>
    <row r="26" spans="1:1" ht="15.75" customHeight="1">
      <c r="A26" s="79"/>
    </row>
    <row r="27" spans="1:1" ht="69" customHeight="1">
      <c r="A27" s="161" t="s">
        <v>358</v>
      </c>
    </row>
    <row r="28" spans="1:1" ht="15.75" customHeight="1">
      <c r="A28" s="161"/>
    </row>
    <row r="29" spans="1:1" ht="15.75" customHeight="1">
      <c r="A29" s="161"/>
    </row>
    <row r="30" spans="1:1" ht="87" customHeight="1">
      <c r="A30" s="161" t="s">
        <v>758</v>
      </c>
    </row>
    <row r="31" spans="1:1">
      <c r="A31" s="79"/>
    </row>
    <row r="32" spans="1:1">
      <c r="A32" s="206"/>
    </row>
    <row r="33" spans="1:1" ht="47.25" customHeight="1">
      <c r="A33" s="207" t="s">
        <v>359</v>
      </c>
    </row>
    <row r="34" spans="1:1">
      <c r="A34" s="208"/>
    </row>
    <row r="35" spans="1:1">
      <c r="A35" s="206"/>
    </row>
  </sheetData>
  <sheetProtection sheet="1"/>
  <pageMargins left="0.7" right="0.7" top="0.75" bottom="0.75" header="0.3" footer="0.3"/>
  <pageSetup orientation="portrait" blackAndWhite="1" r:id="rId1"/>
</worksheet>
</file>

<file path=xl/worksheets/sheet12.xml><?xml version="1.0" encoding="utf-8"?>
<worksheet xmlns="http://schemas.openxmlformats.org/spreadsheetml/2006/main" xmlns:r="http://schemas.openxmlformats.org/officeDocument/2006/relationships">
  <sheetPr>
    <pageSetUpPr fitToPage="1"/>
  </sheetPr>
  <dimension ref="B1:Y39"/>
  <sheetViews>
    <sheetView zoomScale="75" workbookViewId="0">
      <selection activeCell="B26" sqref="B26"/>
    </sheetView>
  </sheetViews>
  <sheetFormatPr defaultRowHeight="15.75"/>
  <cols>
    <col min="1" max="1" width="8.796875" style="165"/>
    <col min="2" max="2" width="18.69921875" style="165" customWidth="1"/>
    <col min="3" max="3" width="8.796875" style="165"/>
    <col min="4" max="4" width="7.8984375" style="165" customWidth="1"/>
    <col min="5" max="5" width="8.796875" style="165"/>
    <col min="6" max="6" width="16.19921875" style="165" customWidth="1"/>
    <col min="7" max="16384" width="8.796875" style="165"/>
  </cols>
  <sheetData>
    <row r="1" spans="2:12">
      <c r="B1" s="163" t="str">
        <f>inputPrYr!$D$2</f>
        <v>Paxton Township</v>
      </c>
      <c r="C1" s="164"/>
      <c r="D1" s="164"/>
      <c r="E1" s="164"/>
      <c r="F1" s="164"/>
      <c r="G1" s="164"/>
      <c r="H1" s="164"/>
      <c r="I1" s="164"/>
      <c r="J1" s="14"/>
      <c r="K1" s="14"/>
      <c r="L1" s="15">
        <f>inputPrYr!D5</f>
        <v>2013</v>
      </c>
    </row>
    <row r="2" spans="2:12">
      <c r="B2" s="163" t="str">
        <f>inputPrYr!$D$3</f>
        <v>Logan County</v>
      </c>
      <c r="C2" s="164"/>
      <c r="D2" s="164"/>
      <c r="E2" s="164"/>
      <c r="F2" s="164"/>
      <c r="G2" s="164"/>
      <c r="H2" s="164"/>
      <c r="I2" s="164"/>
      <c r="J2" s="14"/>
      <c r="K2" s="14"/>
      <c r="L2" s="52"/>
    </row>
    <row r="3" spans="2:12">
      <c r="B3" s="166" t="s">
        <v>71</v>
      </c>
      <c r="C3" s="167"/>
      <c r="D3" s="167"/>
      <c r="E3" s="144"/>
      <c r="F3" s="167"/>
      <c r="G3" s="167"/>
      <c r="H3" s="167"/>
      <c r="I3" s="167"/>
      <c r="J3" s="167"/>
      <c r="K3" s="167"/>
      <c r="L3" s="167"/>
    </row>
    <row r="4" spans="2:12">
      <c r="B4" s="164"/>
      <c r="C4" s="164"/>
      <c r="D4" s="164"/>
      <c r="E4" s="164"/>
      <c r="F4" s="164"/>
      <c r="G4" s="164"/>
      <c r="H4" s="164"/>
      <c r="I4" s="164"/>
      <c r="J4" s="164"/>
      <c r="K4" s="164"/>
      <c r="L4" s="164"/>
    </row>
    <row r="5" spans="2:12">
      <c r="B5" s="168" t="s">
        <v>823</v>
      </c>
      <c r="C5" s="168" t="s">
        <v>51</v>
      </c>
      <c r="D5" s="168" t="s">
        <v>58</v>
      </c>
      <c r="E5" s="168"/>
      <c r="F5" s="168" t="s">
        <v>4</v>
      </c>
      <c r="G5" s="169"/>
      <c r="H5" s="170"/>
      <c r="I5" s="169" t="s">
        <v>52</v>
      </c>
      <c r="J5" s="170"/>
      <c r="K5" s="169" t="s">
        <v>52</v>
      </c>
      <c r="L5" s="170"/>
    </row>
    <row r="6" spans="2:12">
      <c r="B6" s="171" t="s">
        <v>53</v>
      </c>
      <c r="C6" s="171" t="s">
        <v>53</v>
      </c>
      <c r="D6" s="171" t="s">
        <v>3</v>
      </c>
      <c r="E6" s="171" t="s">
        <v>4</v>
      </c>
      <c r="F6" s="171" t="s">
        <v>118</v>
      </c>
      <c r="G6" s="172" t="s">
        <v>54</v>
      </c>
      <c r="H6" s="173"/>
      <c r="I6" s="172">
        <f>L1-1</f>
        <v>2012</v>
      </c>
      <c r="J6" s="173"/>
      <c r="K6" s="172">
        <f>L1</f>
        <v>2013</v>
      </c>
      <c r="L6" s="173"/>
    </row>
    <row r="7" spans="2:12">
      <c r="B7" s="174" t="s">
        <v>824</v>
      </c>
      <c r="C7" s="174" t="s">
        <v>55</v>
      </c>
      <c r="D7" s="174" t="s">
        <v>29</v>
      </c>
      <c r="E7" s="174" t="s">
        <v>56</v>
      </c>
      <c r="F7" s="175" t="str">
        <f>CONCATENATE("Jan 1,",L1-1,"")</f>
        <v>Jan 1,2012</v>
      </c>
      <c r="G7" s="176" t="s">
        <v>58</v>
      </c>
      <c r="H7" s="176" t="s">
        <v>59</v>
      </c>
      <c r="I7" s="176" t="s">
        <v>58</v>
      </c>
      <c r="J7" s="176" t="s">
        <v>59</v>
      </c>
      <c r="K7" s="176" t="s">
        <v>58</v>
      </c>
      <c r="L7" s="176" t="s">
        <v>59</v>
      </c>
    </row>
    <row r="8" spans="2:12">
      <c r="B8" s="177" t="s">
        <v>49</v>
      </c>
      <c r="C8" s="178"/>
      <c r="D8" s="177"/>
      <c r="E8" s="177"/>
      <c r="F8" s="177"/>
      <c r="G8" s="179"/>
      <c r="H8" s="179"/>
      <c r="I8" s="177"/>
      <c r="J8" s="177"/>
      <c r="K8" s="177"/>
      <c r="L8" s="180"/>
    </row>
    <row r="9" spans="2:12">
      <c r="B9" s="181"/>
      <c r="C9" s="376"/>
      <c r="D9" s="183"/>
      <c r="E9" s="34"/>
      <c r="F9" s="184"/>
      <c r="G9" s="185"/>
      <c r="H9" s="185"/>
      <c r="I9" s="184"/>
      <c r="J9" s="184"/>
      <c r="K9" s="184"/>
      <c r="L9" s="184"/>
    </row>
    <row r="10" spans="2:12">
      <c r="B10" s="181"/>
      <c r="C10" s="376"/>
      <c r="D10" s="183"/>
      <c r="E10" s="34"/>
      <c r="F10" s="184"/>
      <c r="G10" s="185"/>
      <c r="H10" s="185"/>
      <c r="I10" s="184"/>
      <c r="J10" s="184"/>
      <c r="K10" s="184"/>
      <c r="L10" s="184"/>
    </row>
    <row r="11" spans="2:12">
      <c r="B11" s="72" t="s">
        <v>148</v>
      </c>
      <c r="C11" s="186"/>
      <c r="D11" s="187"/>
      <c r="E11" s="32"/>
      <c r="F11" s="157">
        <f>SUM(F9:F10)</f>
        <v>0</v>
      </c>
      <c r="G11" s="188"/>
      <c r="H11" s="188"/>
      <c r="I11" s="157">
        <f>SUM(I9:I10)</f>
        <v>0</v>
      </c>
      <c r="J11" s="157">
        <f>SUM(J9:J10)</f>
        <v>0</v>
      </c>
      <c r="K11" s="157">
        <f>SUM(K9:K10)</f>
        <v>0</v>
      </c>
      <c r="L11" s="157">
        <f>SUM(L9:L10)</f>
        <v>0</v>
      </c>
    </row>
    <row r="12" spans="2:12">
      <c r="B12" s="72" t="s">
        <v>21</v>
      </c>
      <c r="C12" s="186"/>
      <c r="D12" s="187"/>
      <c r="E12" s="32"/>
      <c r="F12" s="84"/>
      <c r="G12" s="188"/>
      <c r="H12" s="188"/>
      <c r="I12" s="84"/>
      <c r="J12" s="84"/>
      <c r="K12" s="84"/>
      <c r="L12" s="84"/>
    </row>
    <row r="13" spans="2:12">
      <c r="B13" s="181"/>
      <c r="C13" s="376"/>
      <c r="D13" s="183"/>
      <c r="E13" s="34"/>
      <c r="F13" s="184"/>
      <c r="G13" s="185"/>
      <c r="H13" s="185"/>
      <c r="I13" s="184"/>
      <c r="J13" s="184"/>
      <c r="K13" s="184"/>
      <c r="L13" s="184"/>
    </row>
    <row r="14" spans="2:12">
      <c r="B14" s="181"/>
      <c r="C14" s="376"/>
      <c r="D14" s="183"/>
      <c r="E14" s="34"/>
      <c r="F14" s="184"/>
      <c r="G14" s="185"/>
      <c r="H14" s="185"/>
      <c r="I14" s="184"/>
      <c r="J14" s="184"/>
      <c r="K14" s="184"/>
      <c r="L14" s="184"/>
    </row>
    <row r="15" spans="2:12">
      <c r="B15" s="72" t="s">
        <v>149</v>
      </c>
      <c r="C15" s="186"/>
      <c r="D15" s="187"/>
      <c r="E15" s="32"/>
      <c r="F15" s="157">
        <f>SUM(F13:F14)</f>
        <v>0</v>
      </c>
      <c r="G15" s="188"/>
      <c r="H15" s="188"/>
      <c r="I15" s="157">
        <f>SUM(I13:I14)</f>
        <v>0</v>
      </c>
      <c r="J15" s="157">
        <f>SUM(J13:J14)</f>
        <v>0</v>
      </c>
      <c r="K15" s="157">
        <f>SUM(K13:K14)</f>
        <v>0</v>
      </c>
      <c r="L15" s="157">
        <f>SUM(L13:L14)</f>
        <v>0</v>
      </c>
    </row>
    <row r="16" spans="2:12">
      <c r="B16" s="189" t="s">
        <v>825</v>
      </c>
      <c r="C16" s="684"/>
      <c r="D16" s="685"/>
      <c r="E16" s="686"/>
      <c r="F16" s="191">
        <f>SUM(F11+F15)</f>
        <v>0</v>
      </c>
      <c r="G16" s="684"/>
      <c r="H16" s="687"/>
      <c r="I16" s="191">
        <f>SUM(I11+I15)</f>
        <v>0</v>
      </c>
      <c r="J16" s="191">
        <f>SUM(J11+J15)</f>
        <v>0</v>
      </c>
      <c r="K16" s="191">
        <f>SUM(K11+K15)</f>
        <v>0</v>
      </c>
      <c r="L16" s="191">
        <f>SUM(L11+L15)</f>
        <v>0</v>
      </c>
    </row>
    <row r="17" spans="2:25">
      <c r="B17" s="14"/>
      <c r="C17" s="14"/>
      <c r="D17" s="19"/>
      <c r="E17" s="19"/>
      <c r="F17" s="19"/>
      <c r="G17" s="19"/>
      <c r="H17" s="19"/>
      <c r="I17" s="19"/>
      <c r="J17" s="19"/>
      <c r="K17" s="19"/>
      <c r="L17" s="19"/>
      <c r="M17" s="79"/>
      <c r="N17" s="79"/>
      <c r="O17" s="79"/>
      <c r="P17" s="79"/>
      <c r="Q17" s="79"/>
      <c r="R17" s="79"/>
      <c r="S17" s="79"/>
      <c r="T17" s="79"/>
      <c r="U17" s="79"/>
      <c r="V17" s="79"/>
      <c r="W17" s="79"/>
      <c r="X17" s="79"/>
      <c r="Y17" s="79"/>
    </row>
    <row r="18" spans="2:25" s="194" customFormat="1">
      <c r="B18" s="790" t="s">
        <v>70</v>
      </c>
      <c r="C18" s="780"/>
      <c r="D18" s="780"/>
      <c r="E18" s="780"/>
      <c r="F18" s="780"/>
      <c r="G18" s="780"/>
      <c r="H18" s="780"/>
      <c r="I18" s="780"/>
      <c r="J18" s="192"/>
      <c r="K18" s="192"/>
      <c r="L18" s="193"/>
    </row>
    <row r="19" spans="2:25" s="194" customFormat="1">
      <c r="B19" s="19"/>
      <c r="C19" s="195"/>
      <c r="D19" s="195"/>
      <c r="E19" s="195"/>
      <c r="F19" s="195"/>
      <c r="G19" s="195"/>
      <c r="H19" s="195"/>
      <c r="I19" s="195"/>
      <c r="J19" s="196"/>
      <c r="K19" s="196"/>
      <c r="L19" s="193"/>
    </row>
    <row r="20" spans="2:25" s="194" customFormat="1">
      <c r="B20" s="154"/>
      <c r="C20" s="154"/>
      <c r="D20" s="168" t="s">
        <v>57</v>
      </c>
      <c r="E20" s="154"/>
      <c r="F20" s="168" t="s">
        <v>270</v>
      </c>
      <c r="G20" s="154"/>
      <c r="H20" s="154"/>
      <c r="I20" s="154"/>
      <c r="J20" s="197"/>
      <c r="K20" s="198"/>
      <c r="L20" s="193"/>
    </row>
    <row r="21" spans="2:25" s="194" customFormat="1">
      <c r="B21" s="199"/>
      <c r="C21" s="171"/>
      <c r="D21" s="171" t="s">
        <v>53</v>
      </c>
      <c r="E21" s="171" t="s">
        <v>58</v>
      </c>
      <c r="F21" s="171" t="s">
        <v>4</v>
      </c>
      <c r="G21" s="171" t="s">
        <v>59</v>
      </c>
      <c r="H21" s="171" t="s">
        <v>60</v>
      </c>
      <c r="I21" s="171" t="s">
        <v>60</v>
      </c>
      <c r="J21" s="193"/>
      <c r="K21" s="193"/>
      <c r="L21" s="193"/>
    </row>
    <row r="22" spans="2:25" s="194" customFormat="1">
      <c r="B22" s="171" t="s">
        <v>826</v>
      </c>
      <c r="C22" s="171" t="s">
        <v>61</v>
      </c>
      <c r="D22" s="171" t="s">
        <v>62</v>
      </c>
      <c r="E22" s="171" t="s">
        <v>3</v>
      </c>
      <c r="F22" s="171" t="s">
        <v>63</v>
      </c>
      <c r="G22" s="171" t="s">
        <v>102</v>
      </c>
      <c r="H22" s="171" t="s">
        <v>64</v>
      </c>
      <c r="I22" s="171" t="s">
        <v>64</v>
      </c>
      <c r="J22" s="193"/>
      <c r="K22" s="193"/>
      <c r="L22" s="193"/>
    </row>
    <row r="23" spans="2:25" s="194" customFormat="1">
      <c r="B23" s="174" t="s">
        <v>827</v>
      </c>
      <c r="C23" s="174" t="s">
        <v>51</v>
      </c>
      <c r="D23" s="200" t="s">
        <v>65</v>
      </c>
      <c r="E23" s="174" t="s">
        <v>29</v>
      </c>
      <c r="F23" s="200" t="s">
        <v>119</v>
      </c>
      <c r="G23" s="175" t="str">
        <f>CONCATENATE("Jan 1,",L1-1,"")</f>
        <v>Jan 1,2012</v>
      </c>
      <c r="H23" s="174">
        <f>L1-1</f>
        <v>2012</v>
      </c>
      <c r="I23" s="174">
        <f>L1</f>
        <v>2013</v>
      </c>
      <c r="J23" s="193"/>
      <c r="K23" s="193"/>
      <c r="L23" s="193"/>
    </row>
    <row r="24" spans="2:25" s="194" customFormat="1">
      <c r="B24" s="181"/>
      <c r="C24" s="182"/>
      <c r="D24" s="201"/>
      <c r="E24" s="183"/>
      <c r="F24" s="34"/>
      <c r="G24" s="34"/>
      <c r="H24" s="34"/>
      <c r="I24" s="34"/>
      <c r="J24" s="193"/>
      <c r="K24" s="193"/>
      <c r="L24" s="193"/>
    </row>
    <row r="25" spans="2:25" s="194" customFormat="1">
      <c r="B25" s="181" t="s">
        <v>934</v>
      </c>
      <c r="C25" s="182"/>
      <c r="D25" s="201"/>
      <c r="E25" s="183"/>
      <c r="F25" s="34"/>
      <c r="G25" s="34"/>
      <c r="H25" s="34"/>
      <c r="I25" s="34"/>
      <c r="J25" s="193"/>
      <c r="K25" s="193"/>
      <c r="L25" s="193"/>
    </row>
    <row r="26" spans="2:25" s="194" customFormat="1">
      <c r="B26" s="181"/>
      <c r="C26" s="182"/>
      <c r="D26" s="201"/>
      <c r="E26" s="183"/>
      <c r="F26" s="34"/>
      <c r="G26" s="34"/>
      <c r="H26" s="34"/>
      <c r="I26" s="34"/>
      <c r="J26" s="193"/>
      <c r="K26" s="193"/>
      <c r="L26" s="193"/>
    </row>
    <row r="27" spans="2:25" s="194" customFormat="1">
      <c r="B27" s="181"/>
      <c r="C27" s="182"/>
      <c r="D27" s="201"/>
      <c r="E27" s="183"/>
      <c r="F27" s="34"/>
      <c r="G27" s="34"/>
      <c r="H27" s="34"/>
      <c r="I27" s="34"/>
      <c r="J27" s="193"/>
      <c r="K27" s="193"/>
      <c r="L27" s="193"/>
    </row>
    <row r="28" spans="2:25" s="194" customFormat="1">
      <c r="B28" s="181"/>
      <c r="C28" s="182"/>
      <c r="D28" s="201"/>
      <c r="E28" s="183"/>
      <c r="F28" s="34"/>
      <c r="G28" s="34"/>
      <c r="H28" s="34"/>
      <c r="I28" s="34"/>
      <c r="J28" s="193"/>
      <c r="K28" s="193"/>
      <c r="L28" s="193"/>
    </row>
    <row r="29" spans="2:25" s="194" customFormat="1">
      <c r="B29" s="181"/>
      <c r="C29" s="182"/>
      <c r="D29" s="201"/>
      <c r="E29" s="183"/>
      <c r="F29" s="34"/>
      <c r="G29" s="34"/>
      <c r="H29" s="34"/>
      <c r="I29" s="34"/>
      <c r="J29" s="193"/>
      <c r="K29" s="193"/>
      <c r="L29" s="193"/>
    </row>
    <row r="30" spans="2:25" s="194" customFormat="1">
      <c r="B30" s="181"/>
      <c r="C30" s="182"/>
      <c r="D30" s="201"/>
      <c r="E30" s="183"/>
      <c r="F30" s="34"/>
      <c r="G30" s="34"/>
      <c r="H30" s="34"/>
      <c r="I30" s="34"/>
      <c r="J30" s="193"/>
      <c r="K30" s="193"/>
      <c r="L30" s="193"/>
    </row>
    <row r="31" spans="2:25" s="194" customFormat="1">
      <c r="B31" s="181"/>
      <c r="C31" s="182"/>
      <c r="D31" s="201"/>
      <c r="E31" s="183"/>
      <c r="F31" s="34"/>
      <c r="G31" s="34"/>
      <c r="H31" s="34"/>
      <c r="I31" s="34"/>
      <c r="J31" s="193"/>
      <c r="K31" s="193"/>
      <c r="L31" s="193"/>
    </row>
    <row r="32" spans="2:25" s="194" customFormat="1">
      <c r="B32" s="181"/>
      <c r="C32" s="182"/>
      <c r="D32" s="201"/>
      <c r="E32" s="183"/>
      <c r="F32" s="34"/>
      <c r="G32" s="34"/>
      <c r="H32" s="34"/>
      <c r="I32" s="34"/>
      <c r="J32" s="193"/>
      <c r="K32" s="193"/>
      <c r="L32" s="193"/>
    </row>
    <row r="33" spans="2:12" s="194" customFormat="1">
      <c r="B33" s="181"/>
      <c r="C33" s="182"/>
      <c r="D33" s="201"/>
      <c r="E33" s="183"/>
      <c r="F33" s="34"/>
      <c r="G33" s="34"/>
      <c r="H33" s="34"/>
      <c r="I33" s="34"/>
      <c r="J33" s="193"/>
      <c r="K33" s="193"/>
      <c r="L33" s="193"/>
    </row>
    <row r="34" spans="2:12" s="194" customFormat="1">
      <c r="B34" s="181"/>
      <c r="C34" s="182"/>
      <c r="D34" s="201"/>
      <c r="E34" s="183"/>
      <c r="F34" s="34"/>
      <c r="G34" s="34"/>
      <c r="H34" s="34"/>
      <c r="I34" s="34"/>
      <c r="J34" s="193"/>
      <c r="K34" s="193"/>
      <c r="L34" s="193"/>
    </row>
    <row r="35" spans="2:12" s="194" customFormat="1">
      <c r="B35" s="181"/>
      <c r="C35" s="182"/>
      <c r="D35" s="201"/>
      <c r="E35" s="183"/>
      <c r="F35" s="34"/>
      <c r="G35" s="34"/>
      <c r="H35" s="34"/>
      <c r="I35" s="34"/>
      <c r="J35" s="193"/>
      <c r="K35" s="193"/>
      <c r="L35" s="193"/>
    </row>
    <row r="36" spans="2:12">
      <c r="B36" s="689"/>
      <c r="C36" s="190"/>
      <c r="D36" s="190"/>
      <c r="E36" s="202"/>
      <c r="F36" s="688" t="s">
        <v>270</v>
      </c>
      <c r="G36" s="191">
        <f>SUM(G24:G35)</f>
        <v>0</v>
      </c>
      <c r="H36" s="191">
        <f>SUM(H24:H35)</f>
        <v>0</v>
      </c>
      <c r="I36" s="191">
        <f>SUM(I24:I35)</f>
        <v>0</v>
      </c>
      <c r="J36" s="164"/>
      <c r="K36" s="164"/>
      <c r="L36" s="203"/>
    </row>
    <row r="37" spans="2:12">
      <c r="B37" s="164"/>
      <c r="C37" s="164"/>
      <c r="D37" s="164"/>
      <c r="E37" s="164"/>
      <c r="F37" s="164"/>
      <c r="G37" s="164"/>
      <c r="H37" s="164"/>
      <c r="I37" s="164"/>
      <c r="J37" s="164"/>
      <c r="K37" s="164"/>
      <c r="L37" s="164"/>
    </row>
    <row r="38" spans="2:12">
      <c r="B38" s="204" t="s">
        <v>240</v>
      </c>
      <c r="C38" s="204"/>
      <c r="D38" s="204"/>
      <c r="E38" s="204"/>
      <c r="F38" s="204"/>
      <c r="G38" s="204"/>
      <c r="H38" s="204"/>
      <c r="I38" s="164"/>
      <c r="J38" s="164"/>
      <c r="K38" s="164"/>
      <c r="L38" s="164"/>
    </row>
    <row r="39" spans="2:12">
      <c r="B39" s="205"/>
    </row>
  </sheetData>
  <sheetProtection sheet="1"/>
  <mergeCells count="1">
    <mergeCell ref="B18:I18"/>
  </mergeCells>
  <phoneticPr fontId="0" type="noConversion"/>
  <pageMargins left="0.5" right="0.5" top="1" bottom="0.5" header="0.5" footer="0.5"/>
  <pageSetup scale="81" orientation="landscape" blackAndWhite="1" horizontalDpi="120" verticalDpi="144" r:id="rId1"/>
  <headerFooter alignWithMargins="0">
    <oddHeader xml:space="preserve">&amp;RState of Kansas
Township
</oddHeader>
    <oddFooter>&amp;CPage No. 5</oddFooter>
  </headerFooter>
</worksheet>
</file>

<file path=xl/worksheets/sheet13.xml><?xml version="1.0" encoding="utf-8"?>
<worksheet xmlns="http://schemas.openxmlformats.org/spreadsheetml/2006/main" xmlns:r="http://schemas.openxmlformats.org/officeDocument/2006/relationships">
  <sheetPr>
    <pageSetUpPr fitToPage="1"/>
  </sheetPr>
  <dimension ref="B1:K63"/>
  <sheetViews>
    <sheetView topLeftCell="A19" workbookViewId="0">
      <selection activeCell="E28" sqref="E28"/>
    </sheetView>
  </sheetViews>
  <sheetFormatPr defaultRowHeight="15.75"/>
  <cols>
    <col min="1" max="1" width="2.3984375" style="16" customWidth="1"/>
    <col min="2" max="2" width="31" style="16" customWidth="1"/>
    <col min="3" max="4" width="15.69921875" style="16" customWidth="1"/>
    <col min="5" max="5" width="13.69921875" style="16" customWidth="1"/>
    <col min="6" max="6" width="7.3984375" style="16" customWidth="1"/>
    <col min="7" max="7" width="10.8984375" style="16" customWidth="1"/>
    <col min="8" max="8" width="8.796875" style="16"/>
    <col min="9" max="9" width="0.796875" style="16" customWidth="1"/>
    <col min="10" max="10" width="10.3984375" style="16" customWidth="1"/>
    <col min="11" max="16384" width="8.796875" style="16"/>
  </cols>
  <sheetData>
    <row r="1" spans="2:5">
      <c r="B1" s="13" t="str">
        <f>inputPrYr!D2</f>
        <v>Paxton Township</v>
      </c>
      <c r="C1" s="14"/>
      <c r="D1" s="14"/>
      <c r="E1" s="15">
        <f>inputPrYr!D5</f>
        <v>2013</v>
      </c>
    </row>
    <row r="2" spans="2:5">
      <c r="B2" s="17"/>
      <c r="C2" s="14"/>
      <c r="D2" s="14"/>
      <c r="E2" s="18"/>
    </row>
    <row r="3" spans="2:5">
      <c r="B3" s="533" t="s">
        <v>714</v>
      </c>
      <c r="C3" s="20"/>
      <c r="D3" s="20"/>
      <c r="E3" s="21"/>
    </row>
    <row r="4" spans="2:5">
      <c r="B4" s="22" t="s">
        <v>10</v>
      </c>
      <c r="C4" s="385" t="s">
        <v>11</v>
      </c>
      <c r="D4" s="388" t="s">
        <v>12</v>
      </c>
      <c r="E4" s="23" t="s">
        <v>13</v>
      </c>
    </row>
    <row r="5" spans="2:5">
      <c r="B5" s="397" t="str">
        <f>inputPrYr!B16</f>
        <v>General</v>
      </c>
      <c r="C5" s="386" t="str">
        <f>CONCATENATE("Actual for ",$E$1-2,"")</f>
        <v>Actual for 2011</v>
      </c>
      <c r="D5" s="386" t="str">
        <f>CONCATENATE("Estimate for ",$E$1-1,"")</f>
        <v>Estimate for 2012</v>
      </c>
      <c r="E5" s="26" t="str">
        <f>CONCATENATE("Year for ",$E$1,"")</f>
        <v>Year for 2013</v>
      </c>
    </row>
    <row r="6" spans="2:5">
      <c r="B6" s="27" t="s">
        <v>114</v>
      </c>
      <c r="C6" s="29">
        <v>20475</v>
      </c>
      <c r="D6" s="387">
        <f>C41</f>
        <v>19790</v>
      </c>
      <c r="E6" s="32">
        <f>D41</f>
        <v>16990</v>
      </c>
    </row>
    <row r="7" spans="2:5">
      <c r="B7" s="27" t="s">
        <v>116</v>
      </c>
      <c r="C7" s="387"/>
      <c r="D7" s="387"/>
      <c r="E7" s="33"/>
    </row>
    <row r="8" spans="2:5">
      <c r="B8" s="27" t="s">
        <v>16</v>
      </c>
      <c r="C8" s="29"/>
      <c r="D8" s="387">
        <f>IF(inputPrYr!H15&gt;0,inputPrYr!G16,inputPrYr!E16)</f>
        <v>0</v>
      </c>
      <c r="E8" s="33" t="s">
        <v>284</v>
      </c>
    </row>
    <row r="9" spans="2:5">
      <c r="B9" s="27" t="s">
        <v>17</v>
      </c>
      <c r="C9" s="29"/>
      <c r="D9" s="29"/>
      <c r="E9" s="34"/>
    </row>
    <row r="10" spans="2:5">
      <c r="B10" s="27" t="s">
        <v>18</v>
      </c>
      <c r="C10" s="29"/>
      <c r="D10" s="29"/>
      <c r="E10" s="32">
        <f>mvalloc!G11</f>
        <v>0</v>
      </c>
    </row>
    <row r="11" spans="2:5">
      <c r="B11" s="27" t="s">
        <v>19</v>
      </c>
      <c r="C11" s="29"/>
      <c r="D11" s="29"/>
      <c r="E11" s="32">
        <f>mvalloc!I11</f>
        <v>0</v>
      </c>
    </row>
    <row r="12" spans="2:5">
      <c r="B12" s="35" t="s">
        <v>66</v>
      </c>
      <c r="C12" s="29"/>
      <c r="D12" s="29"/>
      <c r="E12" s="32">
        <f>mvalloc!J11</f>
        <v>0</v>
      </c>
    </row>
    <row r="13" spans="2:5">
      <c r="B13" s="35" t="s">
        <v>155</v>
      </c>
      <c r="C13" s="29"/>
      <c r="D13" s="29"/>
      <c r="E13" s="32">
        <f>inputOth!E35</f>
        <v>0</v>
      </c>
    </row>
    <row r="14" spans="2:5">
      <c r="B14" s="27" t="s">
        <v>20</v>
      </c>
      <c r="C14" s="29"/>
      <c r="D14" s="29"/>
      <c r="E14" s="32">
        <f>inputOth!E12</f>
        <v>0</v>
      </c>
    </row>
    <row r="15" spans="2:5">
      <c r="B15" s="37"/>
      <c r="C15" s="29"/>
      <c r="D15" s="29"/>
      <c r="E15" s="36"/>
    </row>
    <row r="16" spans="2:5">
      <c r="B16" s="37"/>
      <c r="C16" s="29"/>
      <c r="D16" s="29"/>
      <c r="E16" s="34"/>
    </row>
    <row r="17" spans="2:10">
      <c r="B17" s="38" t="s">
        <v>22</v>
      </c>
      <c r="C17" s="29"/>
      <c r="D17" s="29"/>
      <c r="E17" s="34"/>
    </row>
    <row r="18" spans="2:10">
      <c r="B18" s="39" t="s">
        <v>207</v>
      </c>
      <c r="C18" s="29"/>
      <c r="D18" s="29"/>
      <c r="E18" s="34"/>
    </row>
    <row r="19" spans="2:10">
      <c r="B19" s="39" t="s">
        <v>208</v>
      </c>
      <c r="C19" s="384" t="str">
        <f>IF(C20*0.1&lt;C18,"Exceed 10% Rule","")</f>
        <v/>
      </c>
      <c r="D19" s="384" t="str">
        <f>IF(D20*0.1&lt;D18,"Exceed 10% Rule","")</f>
        <v/>
      </c>
      <c r="E19" s="45" t="str">
        <f>IF(E20*0.1+E47&lt;E18,"Exceed 10% Rule","")</f>
        <v/>
      </c>
    </row>
    <row r="20" spans="2:10">
      <c r="B20" s="41" t="s">
        <v>23</v>
      </c>
      <c r="C20" s="389">
        <f>SUM(C8:C18)</f>
        <v>0</v>
      </c>
      <c r="D20" s="389">
        <f>SUM(D8:D18)</f>
        <v>0</v>
      </c>
      <c r="E20" s="42">
        <f>SUM(E8:E18)</f>
        <v>0</v>
      </c>
    </row>
    <row r="21" spans="2:10">
      <c r="B21" s="43" t="s">
        <v>24</v>
      </c>
      <c r="C21" s="389">
        <f>C20+C6</f>
        <v>20475</v>
      </c>
      <c r="D21" s="389">
        <f>D20+D6</f>
        <v>19790</v>
      </c>
      <c r="E21" s="42">
        <f>E20+E6</f>
        <v>16990</v>
      </c>
    </row>
    <row r="22" spans="2:10">
      <c r="B22" s="27" t="s">
        <v>25</v>
      </c>
      <c r="C22" s="387"/>
      <c r="D22" s="387"/>
      <c r="E22" s="32"/>
    </row>
    <row r="23" spans="2:10">
      <c r="B23" s="37"/>
      <c r="C23" s="29"/>
      <c r="D23" s="29"/>
      <c r="E23" s="34"/>
    </row>
    <row r="24" spans="2:10">
      <c r="B24" s="38" t="s">
        <v>98</v>
      </c>
      <c r="C24" s="29">
        <v>600</v>
      </c>
      <c r="D24" s="29">
        <v>800</v>
      </c>
      <c r="E24" s="34">
        <v>800</v>
      </c>
    </row>
    <row r="25" spans="2:10">
      <c r="B25" s="38" t="s">
        <v>121</v>
      </c>
      <c r="C25" s="29"/>
      <c r="D25" s="29"/>
      <c r="E25" s="34"/>
    </row>
    <row r="26" spans="2:10">
      <c r="B26" s="38" t="s">
        <v>99</v>
      </c>
      <c r="C26" s="29"/>
      <c r="D26" s="29"/>
      <c r="E26" s="34"/>
    </row>
    <row r="27" spans="2:10">
      <c r="B27" s="38" t="s">
        <v>36</v>
      </c>
      <c r="C27" s="29">
        <v>12</v>
      </c>
      <c r="D27" s="29">
        <v>2000</v>
      </c>
      <c r="E27" s="34">
        <v>15990</v>
      </c>
      <c r="G27" s="16">
        <f>58681.5-58178.36</f>
        <v>503.13999999999942</v>
      </c>
      <c r="H27" s="744">
        <v>40908</v>
      </c>
    </row>
    <row r="28" spans="2:10">
      <c r="B28" s="37" t="s">
        <v>100</v>
      </c>
      <c r="C28" s="29"/>
      <c r="D28" s="29"/>
      <c r="E28" s="34"/>
      <c r="G28" s="16">
        <f>73505-81-72840.27</f>
        <v>583.72999999999593</v>
      </c>
      <c r="H28" s="744">
        <v>40544</v>
      </c>
    </row>
    <row r="29" spans="2:10">
      <c r="B29" s="37" t="s">
        <v>935</v>
      </c>
      <c r="C29" s="29">
        <f>25+48</f>
        <v>73</v>
      </c>
      <c r="D29" s="29"/>
      <c r="E29" s="34">
        <v>200</v>
      </c>
    </row>
    <row r="30" spans="2:10">
      <c r="B30" s="38" t="s">
        <v>122</v>
      </c>
      <c r="C30" s="29"/>
      <c r="D30" s="29"/>
      <c r="E30" s="34"/>
    </row>
    <row r="31" spans="2:10">
      <c r="B31" s="38"/>
      <c r="C31" s="29"/>
      <c r="D31" s="29"/>
      <c r="E31" s="34"/>
    </row>
    <row r="32" spans="2:10">
      <c r="B32" s="38"/>
      <c r="C32" s="29"/>
      <c r="D32" s="29"/>
      <c r="E32" s="34"/>
      <c r="G32" s="498"/>
      <c r="H32" s="485"/>
      <c r="I32" s="490"/>
      <c r="J32" s="499"/>
    </row>
    <row r="33" spans="2:11">
      <c r="B33" s="35" t="s">
        <v>262</v>
      </c>
      <c r="C33" s="29"/>
      <c r="D33" s="29"/>
      <c r="E33" s="34"/>
      <c r="G33" s="500" t="s">
        <v>709</v>
      </c>
      <c r="H33" s="490"/>
      <c r="I33" s="490"/>
      <c r="J33" s="501">
        <v>0</v>
      </c>
    </row>
    <row r="34" spans="2:11">
      <c r="B34" s="35" t="s">
        <v>259</v>
      </c>
      <c r="C34" s="383" t="str">
        <f>IF(AND($C$33&gt;0,$C$8&gt;0),"Not Authorized","")</f>
        <v/>
      </c>
      <c r="D34" s="383" t="str">
        <f>IF(AND($D$33&gt;0,$D$8&gt;0),"Not Authorized","")</f>
        <v/>
      </c>
      <c r="E34" s="44" t="str">
        <f>IF(AND(cert!F21&gt;0,$E$33&gt;0),"Not Authorized","")</f>
        <v/>
      </c>
      <c r="G34" s="498" t="s">
        <v>710</v>
      </c>
      <c r="H34" s="485"/>
      <c r="I34" s="485"/>
      <c r="J34" s="697" t="str">
        <f>IF(J33=0,"",ROUND((J33+E47-G46)/inputOth!E7*1000,3)-G51)</f>
        <v/>
      </c>
    </row>
    <row r="35" spans="2:11">
      <c r="B35" s="27" t="s">
        <v>263</v>
      </c>
      <c r="C35" s="29"/>
      <c r="D35" s="29"/>
      <c r="E35" s="34"/>
      <c r="G35" s="698" t="str">
        <f>CONCATENATE("",E1," Tot Exp/Non-Appr Must Be:")</f>
        <v>2013 Tot Exp/Non-Appr Must Be:</v>
      </c>
      <c r="H35" s="579"/>
      <c r="I35" s="691"/>
      <c r="J35" s="699">
        <f>IF(J33&gt;0,IF(E44&lt;E17,IF(J33=G46,E44,((J33-G46)*(1-D46))+E17),E44+(J33-G46)),0)</f>
        <v>0</v>
      </c>
    </row>
    <row r="36" spans="2:11">
      <c r="B36" s="27" t="s">
        <v>745</v>
      </c>
      <c r="C36" s="384" t="str">
        <f>IF(C21*0.25&lt;C35,"Exceeds 25%","")</f>
        <v/>
      </c>
      <c r="D36" s="384" t="str">
        <f>IF(D21*0.25&lt;D35,"Exceeds 25%","")</f>
        <v/>
      </c>
      <c r="E36" s="45" t="str">
        <f>IF(E21*0.25+E47&lt;E35,"Exceeds 25%","")</f>
        <v/>
      </c>
      <c r="G36" s="700" t="s">
        <v>817</v>
      </c>
      <c r="H36" s="701"/>
      <c r="I36" s="701"/>
      <c r="J36" s="702">
        <f>IF(J33&gt;0,J35-E44,0)</f>
        <v>0</v>
      </c>
    </row>
    <row r="37" spans="2:11">
      <c r="B37" s="35" t="s">
        <v>209</v>
      </c>
      <c r="C37" s="29"/>
      <c r="D37" s="29"/>
      <c r="E37" s="46" t="str">
        <f>nhood!E6</f>
        <v/>
      </c>
    </row>
    <row r="38" spans="2:11">
      <c r="B38" s="35" t="s">
        <v>207</v>
      </c>
      <c r="C38" s="29"/>
      <c r="D38" s="29"/>
      <c r="E38" s="34"/>
      <c r="G38" s="797" t="str">
        <f>CONCATENATE("Projected Carryover Into ",E1+1,"")</f>
        <v>Projected Carryover Into 2014</v>
      </c>
      <c r="H38" s="798"/>
      <c r="I38" s="798"/>
      <c r="J38" s="799"/>
    </row>
    <row r="39" spans="2:11">
      <c r="B39" s="35" t="s">
        <v>616</v>
      </c>
      <c r="C39" s="384" t="str">
        <f>IF(C40*0.1&lt;C38,"Exceed 10% Rule","")</f>
        <v/>
      </c>
      <c r="D39" s="384" t="str">
        <f>IF(D40*0.1&lt;D38,"Exceed 10% Rule","")</f>
        <v/>
      </c>
      <c r="E39" s="45" t="str">
        <f>IF(E40*0.1&lt;E38,"Exceed 10% Rule","")</f>
        <v/>
      </c>
      <c r="G39" s="484"/>
      <c r="H39" s="485"/>
      <c r="I39" s="485"/>
      <c r="J39" s="486"/>
    </row>
    <row r="40" spans="2:11">
      <c r="B40" s="43" t="s">
        <v>26</v>
      </c>
      <c r="C40" s="381">
        <f>SUM(C23:C38)</f>
        <v>685</v>
      </c>
      <c r="D40" s="381">
        <f>SUM(D23:D38)</f>
        <v>2800</v>
      </c>
      <c r="E40" s="47">
        <f>SUM(E23:E33,E35,E37:E38)</f>
        <v>16990</v>
      </c>
      <c r="G40" s="487">
        <f>D41</f>
        <v>16990</v>
      </c>
      <c r="H40" s="488" t="str">
        <f>CONCATENATE("",E1-1," Ending Cash Balance (est.)")</f>
        <v>2012 Ending Cash Balance (est.)</v>
      </c>
      <c r="I40" s="489"/>
      <c r="J40" s="486"/>
    </row>
    <row r="41" spans="2:11">
      <c r="B41" s="27" t="s">
        <v>115</v>
      </c>
      <c r="C41" s="382">
        <f>C21-C40</f>
        <v>19790</v>
      </c>
      <c r="D41" s="382">
        <f>SUM(D21-D40)</f>
        <v>16990</v>
      </c>
      <c r="E41" s="33" t="s">
        <v>284</v>
      </c>
      <c r="G41" s="487">
        <f>E20</f>
        <v>0</v>
      </c>
      <c r="H41" s="490" t="str">
        <f>CONCATENATE("",E1," Non-AV Receipts (est.)")</f>
        <v>2013 Non-AV Receipts (est.)</v>
      </c>
      <c r="I41" s="489"/>
      <c r="J41" s="486"/>
    </row>
    <row r="42" spans="2:11">
      <c r="B42" s="48" t="str">
        <f>CONCATENATE("",E1-2,"/",E1-1," Budget Authority Amount:")</f>
        <v>2011/2012 Budget Authority Amount:</v>
      </c>
      <c r="C42" s="131">
        <f>inputOth!B46</f>
        <v>2750</v>
      </c>
      <c r="D42" s="159">
        <f>inputPrYr!D16</f>
        <v>2800</v>
      </c>
      <c r="E42" s="33" t="s">
        <v>284</v>
      </c>
      <c r="F42" s="50"/>
      <c r="G42" s="491">
        <f>IF(D46&gt;0,E45,E47)</f>
        <v>0</v>
      </c>
      <c r="H42" s="490" t="str">
        <f>CONCATENATE("",E1," Ad Valorem Tax (est.)")</f>
        <v>2013 Ad Valorem Tax (est.)</v>
      </c>
      <c r="I42" s="489"/>
      <c r="J42" s="486"/>
      <c r="K42" s="703" t="str">
        <f>IF(G42=E47,"","Note: Does not include Delinquent Taxes")</f>
        <v/>
      </c>
    </row>
    <row r="43" spans="2:11">
      <c r="B43" s="48"/>
      <c r="C43" s="793" t="s">
        <v>617</v>
      </c>
      <c r="D43" s="794"/>
      <c r="E43" s="34"/>
      <c r="F43" s="483" t="str">
        <f>IF(E40/0.95-E40&lt;E43,"Exceeds 5%","")</f>
        <v/>
      </c>
      <c r="G43" s="487">
        <f>SUM(G40:G42)</f>
        <v>16990</v>
      </c>
      <c r="H43" s="490" t="str">
        <f>CONCATENATE("Total ",E1," Resources Available")</f>
        <v>Total 2013 Resources Available</v>
      </c>
      <c r="I43" s="489"/>
      <c r="J43" s="486"/>
    </row>
    <row r="44" spans="2:11">
      <c r="B44" s="396" t="str">
        <f>CONCATENATE(C62,"     ",D62)</f>
        <v xml:space="preserve">     </v>
      </c>
      <c r="C44" s="795" t="s">
        <v>618</v>
      </c>
      <c r="D44" s="796"/>
      <c r="E44" s="32">
        <f>E40+E43</f>
        <v>16990</v>
      </c>
      <c r="G44" s="492"/>
      <c r="H44" s="490"/>
      <c r="I44" s="490"/>
      <c r="J44" s="486"/>
    </row>
    <row r="45" spans="2:11">
      <c r="B45" s="396" t="str">
        <f>CONCATENATE(C63,"     ",D63)</f>
        <v xml:space="preserve">     </v>
      </c>
      <c r="C45" s="59"/>
      <c r="D45" s="52" t="s">
        <v>28</v>
      </c>
      <c r="E45" s="46">
        <f>IF(E44-E21&gt;0,E44-E21,0)</f>
        <v>0</v>
      </c>
      <c r="G45" s="491">
        <f>ROUND(C40*0.05+C40,0)</f>
        <v>719</v>
      </c>
      <c r="H45" s="490" t="str">
        <f>CONCATENATE("Less ",E1-2," Expenditures + 5%")</f>
        <v>Less 2011 Expenditures + 5%</v>
      </c>
      <c r="I45" s="489"/>
      <c r="J45" s="486"/>
    </row>
    <row r="46" spans="2:11">
      <c r="B46" s="52"/>
      <c r="C46" s="400" t="s">
        <v>619</v>
      </c>
      <c r="D46" s="690">
        <f>inputOth!$E$40</f>
        <v>0</v>
      </c>
      <c r="E46" s="32">
        <f>ROUND(IF(D46&gt;0,(E45*D46),0),0)</f>
        <v>0</v>
      </c>
      <c r="G46" s="493">
        <f>G43-G45</f>
        <v>16271</v>
      </c>
      <c r="H46" s="494" t="str">
        <f>CONCATENATE("Projected ",E1+1," Carryover (est.)")</f>
        <v>Projected 2014 Carryover (est.)</v>
      </c>
      <c r="I46" s="495"/>
      <c r="J46" s="496"/>
    </row>
    <row r="47" spans="2:11">
      <c r="B47" s="14"/>
      <c r="C47" s="791" t="str">
        <f>CONCATENATE("Amount of  ",$E$1-1," Ad Valorem Tax")</f>
        <v>Amount of  2012 Ad Valorem Tax</v>
      </c>
      <c r="D47" s="792"/>
      <c r="E47" s="46">
        <f>E45+E46</f>
        <v>0</v>
      </c>
    </row>
    <row r="48" spans="2:11">
      <c r="B48" s="14"/>
      <c r="C48" s="14"/>
      <c r="D48" s="14"/>
      <c r="E48" s="14"/>
      <c r="G48" s="800" t="s">
        <v>818</v>
      </c>
      <c r="H48" s="801"/>
      <c r="I48" s="801"/>
      <c r="J48" s="802"/>
    </row>
    <row r="49" spans="2:11" s="54" customFormat="1">
      <c r="B49" s="19"/>
      <c r="C49" s="19"/>
      <c r="D49" s="53"/>
      <c r="E49" s="19"/>
      <c r="G49" s="704"/>
      <c r="H49" s="488"/>
      <c r="I49" s="692"/>
      <c r="J49" s="705"/>
      <c r="K49" s="16"/>
    </row>
    <row r="50" spans="2:11" s="56" customFormat="1">
      <c r="B50" s="14"/>
      <c r="C50" s="14"/>
      <c r="D50" s="55"/>
      <c r="E50" s="14"/>
      <c r="G50" s="706" t="str">
        <f>summ!I18</f>
        <v xml:space="preserve"> </v>
      </c>
      <c r="H50" s="488" t="str">
        <f>CONCATENATE("",E1," Fund Mill Rate")</f>
        <v>2013 Fund Mill Rate</v>
      </c>
      <c r="I50" s="692"/>
      <c r="J50" s="705"/>
      <c r="K50" s="16"/>
    </row>
    <row r="51" spans="2:11">
      <c r="B51" s="52" t="s">
        <v>9</v>
      </c>
      <c r="C51" s="402">
        <f>IF(inputPrYr!D18&gt;0,7,6)</f>
        <v>6</v>
      </c>
      <c r="D51" s="14"/>
      <c r="E51" s="55"/>
      <c r="G51" s="707" t="str">
        <f>summ!F18</f>
        <v xml:space="preserve">  </v>
      </c>
      <c r="H51" s="488" t="str">
        <f>CONCATENATE("",E1-1," Fund Mill Rate")</f>
        <v>2012 Fund Mill Rate</v>
      </c>
      <c r="I51" s="692"/>
      <c r="J51" s="705"/>
    </row>
    <row r="52" spans="2:11">
      <c r="G52" s="708">
        <f>summ!I24</f>
        <v>2.4510000000000001</v>
      </c>
      <c r="H52" s="488" t="str">
        <f>CONCATENATE("Total ",E1," Mill Rate")</f>
        <v>Total 2013 Mill Rate</v>
      </c>
      <c r="I52" s="692"/>
      <c r="J52" s="705"/>
    </row>
    <row r="53" spans="2:11">
      <c r="B53" s="12"/>
      <c r="G53" s="707">
        <f>summ!F24</f>
        <v>2.5310000000000001</v>
      </c>
      <c r="H53" s="709" t="str">
        <f>CONCATENATE("Total ",E1-1," Mill Rate")</f>
        <v>Total 2012 Mill Rate</v>
      </c>
      <c r="I53" s="710"/>
      <c r="J53" s="711"/>
    </row>
    <row r="54" spans="2:11">
      <c r="G54" s="693"/>
      <c r="H54" s="497"/>
      <c r="I54" s="497"/>
      <c r="J54" s="696"/>
    </row>
    <row r="55" spans="2:11">
      <c r="G55" s="695"/>
      <c r="H55" s="497"/>
      <c r="I55" s="693"/>
      <c r="J55" s="694"/>
    </row>
    <row r="56" spans="2:11">
      <c r="E56" s="57"/>
    </row>
    <row r="58" spans="2:11">
      <c r="E58" s="57"/>
    </row>
    <row r="60" spans="2:11">
      <c r="C60" s="58"/>
    </row>
    <row r="61" spans="2:11">
      <c r="C61" s="57"/>
      <c r="E61" s="57"/>
    </row>
    <row r="62" spans="2:11" hidden="1">
      <c r="C62" s="16" t="str">
        <f>IF(C40&gt;C42,"See Tab A","")</f>
        <v/>
      </c>
      <c r="D62" s="16" t="str">
        <f>IF(D40&gt;D42,"See Tab C","")</f>
        <v/>
      </c>
    </row>
    <row r="63" spans="2:11" hidden="1">
      <c r="C63" s="16" t="str">
        <f>IF(C41&lt;0,"See Tab B","")</f>
        <v/>
      </c>
      <c r="D63" s="16" t="str">
        <f>IF(D41&lt;0,"See Tab D","")</f>
        <v/>
      </c>
    </row>
  </sheetData>
  <mergeCells count="5">
    <mergeCell ref="C47:D47"/>
    <mergeCell ref="C43:D43"/>
    <mergeCell ref="C44:D44"/>
    <mergeCell ref="G38:J38"/>
    <mergeCell ref="G48:J48"/>
  </mergeCells>
  <phoneticPr fontId="0" type="noConversion"/>
  <conditionalFormatting sqref="E43">
    <cfRule type="cellIs" dxfId="127" priority="12" stopIfTrue="1" operator="greaterThan">
      <formula>$E$40/0.95-$E$40</formula>
    </cfRule>
  </conditionalFormatting>
  <conditionalFormatting sqref="C38">
    <cfRule type="cellIs" dxfId="126" priority="13" stopIfTrue="1" operator="greaterThan">
      <formula>$C$40*0.1</formula>
    </cfRule>
  </conditionalFormatting>
  <conditionalFormatting sqref="D38">
    <cfRule type="cellIs" dxfId="125" priority="14" stopIfTrue="1" operator="greaterThan">
      <formula>$D$40*0.1</formula>
    </cfRule>
  </conditionalFormatting>
  <conditionalFormatting sqref="E38">
    <cfRule type="cellIs" dxfId="124" priority="15" stopIfTrue="1" operator="greaterThan">
      <formula>$E$40*0.1</formula>
    </cfRule>
  </conditionalFormatting>
  <conditionalFormatting sqref="C41">
    <cfRule type="cellIs" dxfId="123" priority="17" stopIfTrue="1" operator="lessThan">
      <formula>0</formula>
    </cfRule>
  </conditionalFormatting>
  <conditionalFormatting sqref="D40">
    <cfRule type="cellIs" dxfId="122" priority="18" stopIfTrue="1" operator="greaterThan">
      <formula>$D$42</formula>
    </cfRule>
  </conditionalFormatting>
  <conditionalFormatting sqref="C35">
    <cfRule type="cellIs" dxfId="121" priority="19" stopIfTrue="1" operator="greaterThan">
      <formula>$C$21*0.25</formula>
    </cfRule>
  </conditionalFormatting>
  <conditionalFormatting sqref="C18">
    <cfRule type="cellIs" dxfId="120" priority="20" stopIfTrue="1" operator="greaterThan">
      <formula>$C$20*0.1</formula>
    </cfRule>
  </conditionalFormatting>
  <conditionalFormatting sqref="D18">
    <cfRule type="cellIs" dxfId="119" priority="21" stopIfTrue="1" operator="greaterThan">
      <formula>$D$20*0.1</formula>
    </cfRule>
  </conditionalFormatting>
  <conditionalFormatting sqref="C32">
    <cfRule type="expression" dxfId="118" priority="23" stopIfTrue="1">
      <formula>"Mike"</formula>
    </cfRule>
  </conditionalFormatting>
  <conditionalFormatting sqref="D35">
    <cfRule type="cellIs" dxfId="117" priority="24" stopIfTrue="1" operator="greaterThan">
      <formula>$D$21*0.25</formula>
    </cfRule>
  </conditionalFormatting>
  <conditionalFormatting sqref="E35">
    <cfRule type="cellIs" dxfId="116" priority="25" stopIfTrue="1" operator="greaterThan">
      <formula>$E$21*0.25+$E$47</formula>
    </cfRule>
  </conditionalFormatting>
  <conditionalFormatting sqref="C33">
    <cfRule type="expression" dxfId="115" priority="26" stopIfTrue="1">
      <formula>$C$8&gt;0</formula>
    </cfRule>
  </conditionalFormatting>
  <conditionalFormatting sqref="D33">
    <cfRule type="expression" dxfId="114" priority="28" stopIfTrue="1">
      <formula>$D$8&gt;0</formula>
    </cfRule>
  </conditionalFormatting>
  <conditionalFormatting sqref="C40">
    <cfRule type="cellIs" dxfId="113" priority="10" stopIfTrue="1" operator="greaterThan">
      <formula>$C$42</formula>
    </cfRule>
  </conditionalFormatting>
  <conditionalFormatting sqref="D41">
    <cfRule type="cellIs" dxfId="112" priority="9" stopIfTrue="1" operator="lessThan">
      <formula>0</formula>
    </cfRule>
  </conditionalFormatting>
  <conditionalFormatting sqref="E33">
    <cfRule type="expression" dxfId="111" priority="2" stopIfTrue="1">
      <formula>$E$47&gt;0</formula>
    </cfRule>
  </conditionalFormatting>
  <conditionalFormatting sqref="E18">
    <cfRule type="cellIs" dxfId="110" priority="29" stopIfTrue="1" operator="greaterThan">
      <formula>$E$20*0.1+$E$47</formula>
    </cfRule>
  </conditionalFormatting>
  <pageMargins left="0.9" right="0.9" top="0.96" bottom="0.5" header="0.41" footer="0.3"/>
  <pageSetup scale="87" orientation="portrait" blackAndWhite="1" horizontalDpi="4294967292" verticalDpi="96" r:id="rId1"/>
  <headerFooter alignWithMargins="0">
    <oddHeader xml:space="preserve">&amp;RState of Kansas
Township
</oddHeader>
  </headerFooter>
</worksheet>
</file>

<file path=xl/worksheets/sheet14.xml><?xml version="1.0" encoding="utf-8"?>
<worksheet xmlns="http://schemas.openxmlformats.org/spreadsheetml/2006/main" xmlns:r="http://schemas.openxmlformats.org/officeDocument/2006/relationships">
  <sheetPr>
    <pageSetUpPr fitToPage="1"/>
  </sheetPr>
  <dimension ref="B1:K70"/>
  <sheetViews>
    <sheetView zoomScaleNormal="100" workbookViewId="0">
      <selection activeCell="E28" sqref="E28"/>
    </sheetView>
  </sheetViews>
  <sheetFormatPr defaultRowHeight="15.7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c r="B1" s="13" t="str">
        <f>inputPrYr!D2</f>
        <v>Paxton Township</v>
      </c>
      <c r="C1" s="14"/>
      <c r="D1" s="14"/>
      <c r="E1" s="15">
        <f>inputPrYr!D5</f>
        <v>2013</v>
      </c>
    </row>
    <row r="2" spans="2:5">
      <c r="B2" s="17"/>
      <c r="C2" s="14"/>
      <c r="D2" s="60"/>
      <c r="E2" s="61"/>
    </row>
    <row r="3" spans="2:5">
      <c r="B3" s="533" t="s">
        <v>714</v>
      </c>
      <c r="C3" s="65"/>
      <c r="D3" s="65"/>
      <c r="E3" s="65"/>
    </row>
    <row r="4" spans="2:5">
      <c r="B4" s="22" t="s">
        <v>10</v>
      </c>
      <c r="C4" s="385" t="s">
        <v>11</v>
      </c>
      <c r="D4" s="388" t="s">
        <v>12</v>
      </c>
      <c r="E4" s="23" t="s">
        <v>13</v>
      </c>
    </row>
    <row r="5" spans="2:5">
      <c r="B5" s="397" t="str">
        <f>inputPrYr!B19</f>
        <v>Road</v>
      </c>
      <c r="C5" s="386" t="str">
        <f>gen!C5</f>
        <v>Actual for 2011</v>
      </c>
      <c r="D5" s="386" t="str">
        <f>gen!D5</f>
        <v>Estimate for 2012</v>
      </c>
      <c r="E5" s="26" t="str">
        <f>gen!E5</f>
        <v>Year for 2013</v>
      </c>
    </row>
    <row r="6" spans="2:5">
      <c r="B6" s="27" t="s">
        <v>114</v>
      </c>
      <c r="C6" s="29">
        <f>20622+503</f>
        <v>21125</v>
      </c>
      <c r="D6" s="387">
        <f>C39</f>
        <v>7148</v>
      </c>
      <c r="E6" s="32">
        <f>D39</f>
        <v>11985</v>
      </c>
    </row>
    <row r="7" spans="2:5">
      <c r="B7" s="27" t="s">
        <v>116</v>
      </c>
      <c r="C7" s="387"/>
      <c r="D7" s="387"/>
      <c r="E7" s="33"/>
    </row>
    <row r="8" spans="2:5">
      <c r="B8" s="27" t="s">
        <v>16</v>
      </c>
      <c r="C8" s="29">
        <v>8292</v>
      </c>
      <c r="D8" s="387">
        <f>IF(inputPrYr!H15&gt;0,inputPrYr!G19,inputPrYr!E19)</f>
        <v>8479</v>
      </c>
      <c r="E8" s="33" t="s">
        <v>284</v>
      </c>
    </row>
    <row r="9" spans="2:5">
      <c r="B9" s="27" t="s">
        <v>17</v>
      </c>
      <c r="C9" s="29">
        <v>3</v>
      </c>
      <c r="D9" s="29"/>
      <c r="E9" s="34"/>
    </row>
    <row r="10" spans="2:5">
      <c r="B10" s="27" t="s">
        <v>18</v>
      </c>
      <c r="C10" s="29">
        <v>88</v>
      </c>
      <c r="D10" s="29">
        <v>105</v>
      </c>
      <c r="E10" s="32">
        <f>mvalloc!G14</f>
        <v>102</v>
      </c>
    </row>
    <row r="11" spans="2:5">
      <c r="B11" s="27" t="s">
        <v>19</v>
      </c>
      <c r="C11" s="29"/>
      <c r="D11" s="29"/>
      <c r="E11" s="32">
        <f>mvalloc!I14</f>
        <v>0</v>
      </c>
    </row>
    <row r="12" spans="2:5">
      <c r="B12" s="27" t="s">
        <v>96</v>
      </c>
      <c r="C12" s="29">
        <v>3</v>
      </c>
      <c r="D12" s="29">
        <v>4</v>
      </c>
      <c r="E12" s="32">
        <f>mvalloc!J14</f>
        <v>4</v>
      </c>
    </row>
    <row r="13" spans="2:5">
      <c r="B13" s="27" t="s">
        <v>97</v>
      </c>
      <c r="C13" s="29">
        <v>1090</v>
      </c>
      <c r="D13" s="29">
        <v>1000</v>
      </c>
      <c r="E13" s="32">
        <f>inputOth!E36</f>
        <v>1090</v>
      </c>
    </row>
    <row r="14" spans="2:5">
      <c r="B14" s="27" t="s">
        <v>948</v>
      </c>
      <c r="C14" s="29"/>
      <c r="D14" s="29">
        <v>15000</v>
      </c>
      <c r="E14" s="32"/>
    </row>
    <row r="15" spans="2:5">
      <c r="B15" s="27" t="s">
        <v>942</v>
      </c>
      <c r="C15" s="29"/>
      <c r="D15" s="29">
        <v>146</v>
      </c>
      <c r="E15" s="32"/>
    </row>
    <row r="16" spans="2:5">
      <c r="B16" s="38" t="s">
        <v>943</v>
      </c>
      <c r="C16" s="29"/>
      <c r="D16" s="29">
        <v>964</v>
      </c>
      <c r="E16" s="34"/>
    </row>
    <row r="17" spans="2:10">
      <c r="B17" s="38" t="s">
        <v>937</v>
      </c>
      <c r="C17" s="29">
        <v>2500</v>
      </c>
      <c r="D17" s="29">
        <v>0</v>
      </c>
      <c r="E17" s="34">
        <v>0</v>
      </c>
    </row>
    <row r="18" spans="2:10">
      <c r="B18" s="38" t="s">
        <v>22</v>
      </c>
      <c r="C18" s="29">
        <v>72</v>
      </c>
      <c r="D18" s="29">
        <v>200</v>
      </c>
      <c r="E18" s="34"/>
    </row>
    <row r="19" spans="2:10">
      <c r="B19" s="39" t="s">
        <v>207</v>
      </c>
      <c r="C19" s="29"/>
      <c r="D19" s="29"/>
      <c r="E19" s="34"/>
    </row>
    <row r="20" spans="2:10">
      <c r="B20" s="39" t="s">
        <v>208</v>
      </c>
      <c r="C20" s="384" t="str">
        <f>IF(C21*0.1&lt;C19,"Exceed 10% Rule","")</f>
        <v/>
      </c>
      <c r="D20" s="384" t="str">
        <f>IF(D21*0.1&lt;D19,"Exceed 10% Rule","")</f>
        <v/>
      </c>
      <c r="E20" s="45" t="str">
        <f>IF(E21*0.1+E45&lt;E19,"Exceed 10% Rule","")</f>
        <v/>
      </c>
    </row>
    <row r="21" spans="2:10">
      <c r="B21" s="41" t="s">
        <v>23</v>
      </c>
      <c r="C21" s="389">
        <f>SUM(C8:C19)</f>
        <v>12048</v>
      </c>
      <c r="D21" s="389">
        <f>SUM(D8:D19)</f>
        <v>25898</v>
      </c>
      <c r="E21" s="42">
        <f>SUM(E8:E19)</f>
        <v>1196</v>
      </c>
    </row>
    <row r="22" spans="2:10">
      <c r="B22" s="43" t="s">
        <v>24</v>
      </c>
      <c r="C22" s="389">
        <f>C21+C6</f>
        <v>33173</v>
      </c>
      <c r="D22" s="389">
        <f>D21+D6</f>
        <v>33046</v>
      </c>
      <c r="E22" s="42">
        <f>E21+E6</f>
        <v>13181</v>
      </c>
    </row>
    <row r="23" spans="2:10">
      <c r="B23" s="27" t="s">
        <v>25</v>
      </c>
      <c r="C23" s="387"/>
      <c r="D23" s="387"/>
      <c r="E23" s="32"/>
    </row>
    <row r="24" spans="2:10">
      <c r="B24" s="38" t="s">
        <v>121</v>
      </c>
      <c r="C24" s="29"/>
      <c r="D24" s="29"/>
      <c r="E24" s="34"/>
    </row>
    <row r="25" spans="2:10">
      <c r="B25" s="37" t="s">
        <v>99</v>
      </c>
      <c r="C25" s="29"/>
      <c r="D25" s="29"/>
      <c r="E25" s="34"/>
    </row>
    <row r="26" spans="2:10">
      <c r="B26" s="38" t="s">
        <v>936</v>
      </c>
      <c r="C26" s="29">
        <f>7977+2861</f>
        <v>10838</v>
      </c>
      <c r="D26" s="29">
        <v>21061</v>
      </c>
      <c r="E26" s="34">
        <f>13181+8483-1100</f>
        <v>20564</v>
      </c>
    </row>
    <row r="27" spans="2:10">
      <c r="B27" s="38" t="s">
        <v>947</v>
      </c>
      <c r="C27" s="29">
        <v>3341</v>
      </c>
      <c r="D27" s="29"/>
      <c r="E27" s="34"/>
    </row>
    <row r="28" spans="2:10">
      <c r="B28" s="38" t="s">
        <v>938</v>
      </c>
      <c r="C28" s="29">
        <f>3450+8300</f>
        <v>11750</v>
      </c>
      <c r="D28" s="29"/>
      <c r="E28" s="34"/>
    </row>
    <row r="29" spans="2:10">
      <c r="B29" s="38" t="s">
        <v>931</v>
      </c>
      <c r="C29" s="29"/>
      <c r="D29" s="29"/>
      <c r="E29" s="34">
        <v>150</v>
      </c>
    </row>
    <row r="30" spans="2:10">
      <c r="B30" s="38" t="s">
        <v>930</v>
      </c>
      <c r="C30" s="29"/>
      <c r="D30" s="29"/>
      <c r="E30" s="34">
        <v>950</v>
      </c>
    </row>
    <row r="31" spans="2:10">
      <c r="B31" s="38"/>
      <c r="C31" s="29"/>
      <c r="D31" s="29"/>
      <c r="E31" s="34"/>
    </row>
    <row r="32" spans="2:10">
      <c r="B32" s="38"/>
      <c r="C32" s="29"/>
      <c r="D32" s="29"/>
      <c r="E32" s="34"/>
      <c r="G32" s="498" t="s">
        <v>710</v>
      </c>
      <c r="H32" s="485"/>
      <c r="I32" s="485"/>
      <c r="J32" s="697" t="e">
        <f>IF(#REF!=0,"",ROUND((#REF!+E45-G44)/inputOth!E7*1000,3)-G49)</f>
        <v>#REF!</v>
      </c>
    </row>
    <row r="33" spans="2:11">
      <c r="B33" s="27" t="s">
        <v>101</v>
      </c>
      <c r="C33" s="29"/>
      <c r="D33" s="29"/>
      <c r="E33" s="34"/>
      <c r="G33" s="698" t="str">
        <f>CONCATENATE("",E1," Tot Exp/Non-Appr Must Be:")</f>
        <v>2013 Tot Exp/Non-Appr Must Be:</v>
      </c>
      <c r="H33" s="579"/>
      <c r="I33" s="691"/>
      <c r="J33" s="699" t="e">
        <f>IF(#REF!&gt;0,IF(E42&lt;#REF!,IF(#REF!=G44,E42,((#REF!-G44)*(1-D44))+#REF!),E42+(#REF!-G44)),0)</f>
        <v>#REF!</v>
      </c>
    </row>
    <row r="34" spans="2:11">
      <c r="B34" s="27" t="s">
        <v>620</v>
      </c>
      <c r="C34" s="390" t="str">
        <f>IF(C22*0.25&lt;C33,"Not Authorized","")</f>
        <v/>
      </c>
      <c r="D34" s="390" t="str">
        <f>IF(D22*0.25&lt;D33,"Not Authorized","")</f>
        <v/>
      </c>
      <c r="E34" s="66" t="str">
        <f>IF(E22*0.25+E45&lt;E33,"Not Authorized","")</f>
        <v/>
      </c>
      <c r="G34" s="700" t="s">
        <v>817</v>
      </c>
      <c r="H34" s="701"/>
      <c r="I34" s="701"/>
      <c r="J34" s="702" t="e">
        <f>IF(#REF!&gt;0,J33-E42,0)</f>
        <v>#REF!</v>
      </c>
    </row>
    <row r="35" spans="2:11">
      <c r="B35" s="35" t="s">
        <v>209</v>
      </c>
      <c r="C35" s="29"/>
      <c r="D35" s="29"/>
      <c r="E35" s="46" t="str">
        <f>nhood!E9</f>
        <v/>
      </c>
    </row>
    <row r="36" spans="2:11">
      <c r="B36" s="35" t="s">
        <v>207</v>
      </c>
      <c r="C36" s="29">
        <v>96</v>
      </c>
      <c r="D36" s="29"/>
      <c r="E36" s="34"/>
      <c r="G36" s="797" t="str">
        <f>CONCATENATE("Projected Carryover Into ",E1+1,"")</f>
        <v>Projected Carryover Into 2014</v>
      </c>
      <c r="H36" s="798"/>
      <c r="I36" s="798"/>
      <c r="J36" s="799"/>
    </row>
    <row r="37" spans="2:11">
      <c r="B37" s="35" t="s">
        <v>616</v>
      </c>
      <c r="C37" s="384" t="str">
        <f>IF(C38*0.1&lt;C36,"Exceed 10% Rule","")</f>
        <v/>
      </c>
      <c r="D37" s="384" t="str">
        <f>IF(D38*0.1&lt;D36,"Exceed 10% Rule","")</f>
        <v/>
      </c>
      <c r="E37" s="45" t="str">
        <f>IF(E38*0.1&lt;E36,"Exceed 10% Rule","")</f>
        <v/>
      </c>
      <c r="G37" s="484"/>
      <c r="H37" s="485"/>
      <c r="I37" s="485"/>
      <c r="J37" s="486"/>
    </row>
    <row r="38" spans="2:11">
      <c r="B38" s="43" t="s">
        <v>26</v>
      </c>
      <c r="C38" s="389">
        <f>SUM(C24:C33,C35:C36)</f>
        <v>26025</v>
      </c>
      <c r="D38" s="389">
        <f>SUM(D24:D33,D35:D36)</f>
        <v>21061</v>
      </c>
      <c r="E38" s="42">
        <f>SUM(E24:E33,E35:E36)</f>
        <v>21664</v>
      </c>
      <c r="G38" s="487">
        <f>D39</f>
        <v>11985</v>
      </c>
      <c r="H38" s="488" t="str">
        <f>CONCATENATE("",E1-1," Ending Cash Balance (est.)")</f>
        <v>2012 Ending Cash Balance (est.)</v>
      </c>
      <c r="I38" s="489"/>
      <c r="J38" s="486"/>
    </row>
    <row r="39" spans="2:11">
      <c r="B39" s="27" t="s">
        <v>115</v>
      </c>
      <c r="C39" s="382">
        <f>C22-C38</f>
        <v>7148</v>
      </c>
      <c r="D39" s="382">
        <f>D22-D38</f>
        <v>11985</v>
      </c>
      <c r="E39" s="33" t="s">
        <v>284</v>
      </c>
      <c r="G39" s="487">
        <f>E21</f>
        <v>1196</v>
      </c>
      <c r="H39" s="490" t="str">
        <f>CONCATENATE("",E1," Non-AV Receipts (est.)")</f>
        <v>2013 Non-AV Receipts (est.)</v>
      </c>
      <c r="I39" s="489"/>
      <c r="J39" s="486"/>
    </row>
    <row r="40" spans="2:11">
      <c r="B40" s="48" t="str">
        <f>CONCATENATE("",E1-2,"/",E1-1," Budget Authority Amount:")</f>
        <v>2011/2012 Budget Authority Amount:</v>
      </c>
      <c r="C40" s="131">
        <f>inputOth!B49</f>
        <v>17766</v>
      </c>
      <c r="D40" s="159">
        <f>inputPrYr!D19</f>
        <v>21061</v>
      </c>
      <c r="E40" s="33" t="s">
        <v>284</v>
      </c>
      <c r="F40" s="50"/>
      <c r="G40" s="491">
        <f>IF(D44&gt;0,E43,E45)</f>
        <v>8483</v>
      </c>
      <c r="H40" s="490" t="str">
        <f>CONCATENATE("",E1," Ad Valorem Tax (est.)")</f>
        <v>2013 Ad Valorem Tax (est.)</v>
      </c>
      <c r="I40" s="489"/>
      <c r="J40" s="486"/>
      <c r="K40" s="703" t="str">
        <f>IF(G40=E45,"","Note: Does not include Delinquent Taxes")</f>
        <v/>
      </c>
    </row>
    <row r="41" spans="2:11">
      <c r="B41" s="48"/>
      <c r="C41" s="793" t="s">
        <v>617</v>
      </c>
      <c r="D41" s="794"/>
      <c r="E41" s="34"/>
      <c r="F41" s="483" t="str">
        <f>IF(E38/0.95-E38&lt;E41,"Exceeds 5%","")</f>
        <v/>
      </c>
      <c r="G41" s="487">
        <f>SUM(G38:G40)</f>
        <v>21664</v>
      </c>
      <c r="H41" s="490" t="str">
        <f>CONCATENATE("Total ",E1," Resources Available")</f>
        <v>Total 2013 Resources Available</v>
      </c>
      <c r="I41" s="489"/>
      <c r="J41" s="486"/>
    </row>
    <row r="42" spans="2:11">
      <c r="B42" s="396" t="str">
        <f>CONCATENATE(C69,"     ",D69)</f>
        <v xml:space="preserve">See Tab A     </v>
      </c>
      <c r="C42" s="795" t="s">
        <v>618</v>
      </c>
      <c r="D42" s="796"/>
      <c r="E42" s="32">
        <f>E38+E41</f>
        <v>21664</v>
      </c>
      <c r="G42" s="492"/>
      <c r="H42" s="490"/>
      <c r="I42" s="490"/>
      <c r="J42" s="486"/>
    </row>
    <row r="43" spans="2:11">
      <c r="B43" s="396" t="str">
        <f>CONCATENATE(C70,"     ",D70)</f>
        <v xml:space="preserve">     </v>
      </c>
      <c r="C43" s="59"/>
      <c r="D43" s="52" t="s">
        <v>28</v>
      </c>
      <c r="E43" s="46">
        <f>IF(E42-E22&gt;0,E42-E22,0)</f>
        <v>8483</v>
      </c>
      <c r="G43" s="491">
        <f>ROUND(C38*0.05+C38,0)</f>
        <v>27326</v>
      </c>
      <c r="H43" s="490" t="str">
        <f>CONCATENATE("Less ",E1-2," Expenditures + 5%")</f>
        <v>Less 2011 Expenditures + 5%</v>
      </c>
      <c r="I43" s="489"/>
      <c r="J43" s="486"/>
    </row>
    <row r="44" spans="2:11">
      <c r="B44" s="52"/>
      <c r="C44" s="400" t="s">
        <v>619</v>
      </c>
      <c r="D44" s="690">
        <f>inputOth!$E$40</f>
        <v>0</v>
      </c>
      <c r="E44" s="32">
        <f>ROUND(IF(D44&gt;0,(E43*D44),0),0)</f>
        <v>0</v>
      </c>
      <c r="G44" s="493">
        <f>G41-G43</f>
        <v>-5662</v>
      </c>
      <c r="H44" s="494" t="str">
        <f>CONCATENATE("Projected ",E1+1," Carryover (est.)")</f>
        <v>Projected 2014 Carryover (est.)</v>
      </c>
      <c r="I44" s="495"/>
      <c r="J44" s="496"/>
    </row>
    <row r="45" spans="2:11">
      <c r="B45" s="14"/>
      <c r="C45" s="791" t="str">
        <f>CONCATENATE("Amount of  ",$E$1-1," Ad Valorem Tax")</f>
        <v>Amount of  2012 Ad Valorem Tax</v>
      </c>
      <c r="D45" s="792"/>
      <c r="E45" s="46">
        <f>E43+E44</f>
        <v>8483</v>
      </c>
    </row>
    <row r="46" spans="2:11">
      <c r="B46" s="14"/>
      <c r="C46" s="14"/>
      <c r="D46" s="14"/>
      <c r="E46" s="14"/>
      <c r="G46" s="800" t="s">
        <v>818</v>
      </c>
      <c r="H46" s="801"/>
      <c r="I46" s="801"/>
      <c r="J46" s="802"/>
    </row>
    <row r="47" spans="2:11">
      <c r="B47" s="14"/>
      <c r="C47" s="14"/>
      <c r="D47" s="14"/>
      <c r="E47" s="14"/>
      <c r="G47" s="704"/>
      <c r="H47" s="488"/>
      <c r="I47" s="692"/>
      <c r="J47" s="705"/>
    </row>
    <row r="48" spans="2:11">
      <c r="B48" s="67" t="s">
        <v>30</v>
      </c>
      <c r="C48" s="69"/>
      <c r="D48" s="14"/>
      <c r="E48" s="14"/>
      <c r="G48" s="706">
        <f>summ!I19</f>
        <v>2.4510000000000001</v>
      </c>
      <c r="H48" s="488" t="str">
        <f>CONCATENATE("",E1," Fund Mill Rate")</f>
        <v>2013 Fund Mill Rate</v>
      </c>
      <c r="I48" s="692"/>
      <c r="J48" s="705"/>
    </row>
    <row r="49" spans="2:10">
      <c r="B49" s="70" t="s">
        <v>31</v>
      </c>
      <c r="C49" s="401" t="str">
        <f>CONCATENATE("",E1-2," Actual Year")</f>
        <v>2011 Actual Year</v>
      </c>
      <c r="D49" s="14"/>
      <c r="E49" s="14"/>
      <c r="G49" s="707">
        <f>summ!F19</f>
        <v>2.5310000000000001</v>
      </c>
      <c r="H49" s="488" t="str">
        <f>CONCATENATE("",E1-1," Fund Mill Rate")</f>
        <v>2012 Fund Mill Rate</v>
      </c>
      <c r="I49" s="692"/>
      <c r="J49" s="705"/>
    </row>
    <row r="50" spans="2:10">
      <c r="B50" s="71" t="s">
        <v>14</v>
      </c>
      <c r="C50" s="530">
        <v>30634</v>
      </c>
      <c r="D50" s="14"/>
      <c r="E50" s="14"/>
      <c r="G50" s="708">
        <f>summ!I24</f>
        <v>2.4510000000000001</v>
      </c>
      <c r="H50" s="488" t="str">
        <f>CONCATENATE("Total ",E1," Mill Rate")</f>
        <v>Total 2013 Mill Rate</v>
      </c>
      <c r="I50" s="692"/>
      <c r="J50" s="705"/>
    </row>
    <row r="51" spans="2:10">
      <c r="B51" s="71" t="s">
        <v>33</v>
      </c>
      <c r="C51" s="131"/>
      <c r="D51" s="14"/>
      <c r="E51" s="14"/>
      <c r="G51" s="707">
        <f>summ!F24</f>
        <v>2.5310000000000001</v>
      </c>
      <c r="H51" s="709" t="str">
        <f>CONCATENATE("Total ",E1-1," Mill Rate")</f>
        <v>Total 2012 Mill Rate</v>
      </c>
      <c r="I51" s="710"/>
      <c r="J51" s="711"/>
    </row>
    <row r="52" spans="2:10">
      <c r="B52" s="71" t="s">
        <v>34</v>
      </c>
      <c r="C52" s="399">
        <f>C33</f>
        <v>0</v>
      </c>
      <c r="D52" s="73"/>
      <c r="E52" s="14"/>
    </row>
    <row r="53" spans="2:10">
      <c r="B53" s="71" t="s">
        <v>241</v>
      </c>
      <c r="C53" s="399">
        <f>gen!C33</f>
        <v>0</v>
      </c>
      <c r="D53" s="803" t="str">
        <f>IF(AND(C53&gt;0,C54&gt;0),"Not Auth. Two General Transfers - Only One","")</f>
        <v/>
      </c>
      <c r="E53" s="804"/>
    </row>
    <row r="54" spans="2:10">
      <c r="B54" s="74" t="s">
        <v>242</v>
      </c>
      <c r="C54" s="399">
        <f>gen!C35</f>
        <v>0</v>
      </c>
      <c r="D54" s="805"/>
      <c r="E54" s="804"/>
    </row>
    <row r="55" spans="2:10">
      <c r="B55" s="75"/>
      <c r="C55" s="530"/>
      <c r="D55" s="14"/>
      <c r="E55" s="14"/>
    </row>
    <row r="56" spans="2:10">
      <c r="B56" s="75" t="s">
        <v>22</v>
      </c>
      <c r="C56" s="530"/>
      <c r="D56" s="14"/>
      <c r="E56" s="14"/>
    </row>
    <row r="57" spans="2:10">
      <c r="B57" s="75" t="s">
        <v>21</v>
      </c>
      <c r="C57" s="530"/>
      <c r="D57" s="14"/>
      <c r="E57" s="14"/>
    </row>
    <row r="58" spans="2:10">
      <c r="B58" s="76" t="s">
        <v>24</v>
      </c>
      <c r="C58" s="131">
        <f>SUM(C50:C57)</f>
        <v>30634</v>
      </c>
      <c r="D58" s="14"/>
      <c r="E58" s="14"/>
    </row>
    <row r="59" spans="2:10">
      <c r="B59" s="76" t="s">
        <v>26</v>
      </c>
      <c r="C59" s="530"/>
      <c r="D59" s="14"/>
      <c r="E59" s="14"/>
    </row>
    <row r="60" spans="2:10">
      <c r="B60" s="76" t="s">
        <v>27</v>
      </c>
      <c r="C60" s="398">
        <f>SUM(C58-C59)</f>
        <v>30634</v>
      </c>
      <c r="D60" s="14"/>
      <c r="E60" s="14"/>
    </row>
    <row r="61" spans="2:10">
      <c r="B61" s="14"/>
      <c r="C61" s="14"/>
      <c r="D61" s="14"/>
      <c r="E61" s="14"/>
    </row>
    <row r="62" spans="2:10">
      <c r="B62" s="52" t="s">
        <v>9</v>
      </c>
      <c r="C62" s="531">
        <v>7</v>
      </c>
      <c r="D62" s="14"/>
      <c r="E62" s="14"/>
    </row>
    <row r="64" spans="2:10">
      <c r="B64" s="12"/>
    </row>
    <row r="69" spans="3:4" hidden="1">
      <c r="C69" s="16" t="str">
        <f>IF(C38&gt;C40,"See Tab A","")</f>
        <v>See Tab A</v>
      </c>
      <c r="D69" s="16" t="str">
        <f>IF(D38&gt;D40,"See Tab C","")</f>
        <v/>
      </c>
    </row>
    <row r="70" spans="3:4" hidden="1">
      <c r="C70" s="16" t="str">
        <f>IF(C39&lt;0,"See Tab B","")</f>
        <v/>
      </c>
      <c r="D70" s="16" t="str">
        <f>IF(D39&lt;0,"See Tab D","")</f>
        <v/>
      </c>
    </row>
  </sheetData>
  <mergeCells count="6">
    <mergeCell ref="C45:D45"/>
    <mergeCell ref="C41:D41"/>
    <mergeCell ref="C42:D42"/>
    <mergeCell ref="D53:E54"/>
    <mergeCell ref="G36:J36"/>
    <mergeCell ref="G46:J46"/>
  </mergeCells>
  <phoneticPr fontId="0" type="noConversion"/>
  <conditionalFormatting sqref="E41">
    <cfRule type="cellIs" dxfId="109" priority="3" stopIfTrue="1" operator="greaterThan">
      <formula>$E$38/0.95-$E$38</formula>
    </cfRule>
  </conditionalFormatting>
  <conditionalFormatting sqref="C36">
    <cfRule type="cellIs" dxfId="108" priority="4" stopIfTrue="1" operator="greaterThan">
      <formula>$C$38*0.1</formula>
    </cfRule>
  </conditionalFormatting>
  <conditionalFormatting sqref="D36">
    <cfRule type="cellIs" dxfId="107" priority="5" stopIfTrue="1" operator="greaterThan">
      <formula>$D$38*0.1</formula>
    </cfRule>
  </conditionalFormatting>
  <conditionalFormatting sqref="E36">
    <cfRule type="cellIs" dxfId="106" priority="6" stopIfTrue="1" operator="greaterThan">
      <formula>$E$38*0.1</formula>
    </cfRule>
  </conditionalFormatting>
  <conditionalFormatting sqref="C19">
    <cfRule type="cellIs" dxfId="105" priority="7" stopIfTrue="1" operator="greaterThan">
      <formula>$C$21*0.1</formula>
    </cfRule>
  </conditionalFormatting>
  <conditionalFormatting sqref="D19">
    <cfRule type="cellIs" dxfId="104" priority="8" stopIfTrue="1" operator="greaterThan">
      <formula>$D$21*0.1</formula>
    </cfRule>
  </conditionalFormatting>
  <conditionalFormatting sqref="C33">
    <cfRule type="cellIs" dxfId="103" priority="9" stopIfTrue="1" operator="greaterThan">
      <formula>$C$22*0.25</formula>
    </cfRule>
  </conditionalFormatting>
  <conditionalFormatting sqref="C39">
    <cfRule type="cellIs" dxfId="102" priority="11" stopIfTrue="1" operator="lessThan">
      <formula>0</formula>
    </cfRule>
  </conditionalFormatting>
  <conditionalFormatting sqref="C38">
    <cfRule type="cellIs" dxfId="101" priority="1" stopIfTrue="1" operator="greaterThan">
      <formula>$C$40</formula>
    </cfRule>
    <cfRule type="cellIs" dxfId="100" priority="12" stopIfTrue="1" operator="greaterThan">
      <formula>#REF!</formula>
    </cfRule>
  </conditionalFormatting>
  <conditionalFormatting sqref="D38">
    <cfRule type="cellIs" dxfId="99" priority="13" stopIfTrue="1" operator="greaterThan">
      <formula>$D$40</formula>
    </cfRule>
  </conditionalFormatting>
  <conditionalFormatting sqref="D33">
    <cfRule type="cellIs" dxfId="98" priority="14" stopIfTrue="1" operator="greaterThan">
      <formula>$D$22*0.25</formula>
    </cfRule>
  </conditionalFormatting>
  <conditionalFormatting sqref="E33">
    <cfRule type="cellIs" dxfId="97" priority="15" stopIfTrue="1" operator="greaterThan">
      <formula>$E$22*0.25+$E$45</formula>
    </cfRule>
  </conditionalFormatting>
  <conditionalFormatting sqref="D39">
    <cfRule type="cellIs" dxfId="96" priority="2" stopIfTrue="1" operator="lessThan">
      <formula>0</formula>
    </cfRule>
  </conditionalFormatting>
  <conditionalFormatting sqref="E19">
    <cfRule type="cellIs" dxfId="95" priority="30" stopIfTrue="1" operator="greaterThan">
      <formula>$E$21*0.1+$E$45</formula>
    </cfRule>
  </conditionalFormatting>
  <pageMargins left="0.9" right="0.9" top="0.96" bottom="0.5" header="0.41" footer="0.3"/>
  <pageSetup scale="77" orientation="portrait" blackAndWhite="1" horizontalDpi="4294967292" verticalDpi="96" r:id="rId1"/>
  <headerFooter alignWithMargins="0">
    <oddHeader xml:space="preserve">&amp;RState of Kansas
Township
</oddHeader>
  </headerFooter>
</worksheet>
</file>

<file path=xl/worksheets/sheet15.xml><?xml version="1.0" encoding="utf-8"?>
<worksheet xmlns="http://schemas.openxmlformats.org/spreadsheetml/2006/main" xmlns:r="http://schemas.openxmlformats.org/officeDocument/2006/relationships">
  <sheetPr>
    <pageSetUpPr fitToPage="1"/>
  </sheetPr>
  <dimension ref="B1:K82"/>
  <sheetViews>
    <sheetView zoomScaleNormal="100" workbookViewId="0">
      <selection activeCell="E28" sqref="E28"/>
    </sheetView>
  </sheetViews>
  <sheetFormatPr defaultRowHeight="15.7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c r="B1" s="13" t="str">
        <f>inputPrYr!D2</f>
        <v>Paxton Township</v>
      </c>
      <c r="C1" s="22" t="s">
        <v>35</v>
      </c>
      <c r="D1" s="14"/>
      <c r="E1" s="15">
        <f>inputPrYr!D5</f>
        <v>2013</v>
      </c>
    </row>
    <row r="2" spans="2:5">
      <c r="B2" s="17"/>
      <c r="C2" s="14"/>
      <c r="D2" s="14"/>
      <c r="E2" s="77"/>
    </row>
    <row r="3" spans="2:5">
      <c r="B3" s="533" t="s">
        <v>714</v>
      </c>
      <c r="C3" s="65"/>
      <c r="D3" s="65"/>
      <c r="E3" s="14"/>
    </row>
    <row r="4" spans="2:5">
      <c r="B4" s="22" t="s">
        <v>10</v>
      </c>
      <c r="C4" s="385" t="s">
        <v>11</v>
      </c>
      <c r="D4" s="388" t="s">
        <v>12</v>
      </c>
      <c r="E4" s="23" t="s">
        <v>13</v>
      </c>
    </row>
    <row r="5" spans="2:5">
      <c r="B5" s="397" t="str">
        <f>inputPrYr!B20</f>
        <v>Prairie Dog</v>
      </c>
      <c r="C5" s="386" t="str">
        <f>gen!C5</f>
        <v>Actual for 2011</v>
      </c>
      <c r="D5" s="386" t="str">
        <f>gen!D5</f>
        <v>Estimate for 2012</v>
      </c>
      <c r="E5" s="26" t="str">
        <f>gen!E5</f>
        <v>Year for 2013</v>
      </c>
    </row>
    <row r="6" spans="2:5">
      <c r="B6" s="27" t="s">
        <v>114</v>
      </c>
      <c r="C6" s="29">
        <v>964</v>
      </c>
      <c r="D6" s="387">
        <f>C28</f>
        <v>964</v>
      </c>
      <c r="E6" s="32">
        <f>D28</f>
        <v>0</v>
      </c>
    </row>
    <row r="7" spans="2:5">
      <c r="B7" s="27" t="s">
        <v>116</v>
      </c>
      <c r="C7" s="387"/>
      <c r="D7" s="387"/>
      <c r="E7" s="33"/>
    </row>
    <row r="8" spans="2:5">
      <c r="B8" s="27" t="s">
        <v>16</v>
      </c>
      <c r="C8" s="29"/>
      <c r="D8" s="387">
        <f>IF(inputPrYr!H15&gt;0,inputPrYr!G20,inputPrYr!E20)</f>
        <v>0</v>
      </c>
      <c r="E8" s="33" t="s">
        <v>284</v>
      </c>
    </row>
    <row r="9" spans="2:5">
      <c r="B9" s="27" t="s">
        <v>17</v>
      </c>
      <c r="C9" s="29"/>
      <c r="D9" s="29"/>
      <c r="E9" s="34"/>
    </row>
    <row r="10" spans="2:5">
      <c r="B10" s="27" t="s">
        <v>18</v>
      </c>
      <c r="C10" s="29"/>
      <c r="D10" s="29"/>
      <c r="E10" s="32">
        <f>mvalloc!G15</f>
        <v>0</v>
      </c>
    </row>
    <row r="11" spans="2:5">
      <c r="B11" s="27" t="s">
        <v>19</v>
      </c>
      <c r="C11" s="29"/>
      <c r="D11" s="29"/>
      <c r="E11" s="32">
        <f>mvalloc!I15</f>
        <v>0</v>
      </c>
    </row>
    <row r="12" spans="2:5">
      <c r="B12" s="35" t="s">
        <v>66</v>
      </c>
      <c r="C12" s="29"/>
      <c r="D12" s="29"/>
      <c r="E12" s="32">
        <f>mvalloc!J15</f>
        <v>0</v>
      </c>
    </row>
    <row r="13" spans="2:5">
      <c r="B13" s="38"/>
      <c r="C13" s="29"/>
      <c r="D13" s="29"/>
      <c r="E13" s="34"/>
    </row>
    <row r="14" spans="2:5">
      <c r="B14" s="38"/>
      <c r="C14" s="29"/>
      <c r="D14" s="29"/>
      <c r="E14" s="34"/>
    </row>
    <row r="15" spans="2:5">
      <c r="B15" s="38" t="s">
        <v>22</v>
      </c>
      <c r="C15" s="29"/>
      <c r="D15" s="29"/>
      <c r="E15" s="34"/>
    </row>
    <row r="16" spans="2:5">
      <c r="B16" s="39" t="s">
        <v>207</v>
      </c>
      <c r="C16" s="29"/>
      <c r="D16" s="29"/>
      <c r="E16" s="34"/>
    </row>
    <row r="17" spans="2:11">
      <c r="B17" s="39" t="s">
        <v>208</v>
      </c>
      <c r="C17" s="384" t="str">
        <f>IF(C18*0.1&lt;C16,"Exceed 10% Rule","")</f>
        <v/>
      </c>
      <c r="D17" s="384" t="str">
        <f>IF(D18*0.1&lt;D16,"Exceed 10% Rule","")</f>
        <v/>
      </c>
      <c r="E17" s="45" t="str">
        <f>IF(E18*0.1+E34&lt;E16,"Exceed 10% Rule","")</f>
        <v/>
      </c>
    </row>
    <row r="18" spans="2:11">
      <c r="B18" s="41" t="s">
        <v>23</v>
      </c>
      <c r="C18" s="389">
        <f>SUM(C8:C16)</f>
        <v>0</v>
      </c>
      <c r="D18" s="389">
        <f>SUM(D8:D16)</f>
        <v>0</v>
      </c>
      <c r="E18" s="42">
        <f>SUM(E8:E16)</f>
        <v>0</v>
      </c>
    </row>
    <row r="19" spans="2:11">
      <c r="B19" s="43" t="s">
        <v>24</v>
      </c>
      <c r="C19" s="389">
        <f>C18+C6</f>
        <v>964</v>
      </c>
      <c r="D19" s="389">
        <f>D18+D6</f>
        <v>964</v>
      </c>
      <c r="E19" s="42">
        <f>E18+E6</f>
        <v>0</v>
      </c>
    </row>
    <row r="20" spans="2:11">
      <c r="B20" s="27" t="s">
        <v>25</v>
      </c>
      <c r="C20" s="387"/>
      <c r="D20" s="387"/>
      <c r="E20" s="32"/>
    </row>
    <row r="21" spans="2:11">
      <c r="B21" s="38"/>
      <c r="C21" s="29"/>
      <c r="D21" s="29"/>
      <c r="E21" s="34"/>
    </row>
    <row r="22" spans="2:11">
      <c r="B22" s="38" t="s">
        <v>944</v>
      </c>
      <c r="C22" s="29"/>
      <c r="D22" s="29">
        <v>964</v>
      </c>
      <c r="E22" s="34"/>
      <c r="G22" s="809" t="str">
        <f>CONCATENATE("Desired Carryover Into ",E1+1,"")</f>
        <v>Desired Carryover Into 2014</v>
      </c>
      <c r="H22" s="810"/>
      <c r="I22" s="810"/>
      <c r="J22" s="811"/>
      <c r="K22" s="583"/>
    </row>
    <row r="23" spans="2:11">
      <c r="B23" s="38"/>
      <c r="C23" s="29"/>
      <c r="D23" s="29"/>
      <c r="E23" s="34"/>
      <c r="G23" s="614"/>
      <c r="H23" s="615"/>
      <c r="I23" s="616"/>
      <c r="J23" s="617"/>
      <c r="K23" s="583"/>
    </row>
    <row r="24" spans="2:11">
      <c r="B24" s="35" t="s">
        <v>209</v>
      </c>
      <c r="C24" s="29"/>
      <c r="D24" s="29"/>
      <c r="E24" s="46" t="str">
        <f>nhood!E10</f>
        <v/>
      </c>
      <c r="G24" s="583"/>
      <c r="H24" s="583"/>
      <c r="I24" s="583"/>
      <c r="J24" s="583"/>
      <c r="K24" s="583"/>
    </row>
    <row r="25" spans="2:11">
      <c r="B25" s="35" t="s">
        <v>207</v>
      </c>
      <c r="C25" s="29"/>
      <c r="D25" s="29"/>
      <c r="E25" s="34"/>
      <c r="G25" s="809" t="str">
        <f>CONCATENATE("Projected Carryover Into ",E1+1,"")</f>
        <v>Projected Carryover Into 2014</v>
      </c>
      <c r="H25" s="812"/>
      <c r="I25" s="812"/>
      <c r="J25" s="813"/>
      <c r="K25" s="583"/>
    </row>
    <row r="26" spans="2:11">
      <c r="B26" s="35" t="s">
        <v>616</v>
      </c>
      <c r="C26" s="384" t="str">
        <f>IF(C27*0.1&lt;C25,"Exceed 10% Rule","")</f>
        <v/>
      </c>
      <c r="D26" s="384" t="str">
        <f>IF(D27*0.1&lt;D25,"Exceed 10% Rule","")</f>
        <v/>
      </c>
      <c r="E26" s="45" t="str">
        <f>IF(E27*0.1&lt;E25,"Exceed 10% Rule","")</f>
        <v/>
      </c>
      <c r="G26" s="614"/>
      <c r="H26" s="616"/>
      <c r="I26" s="616"/>
      <c r="J26" s="629"/>
      <c r="K26" s="583"/>
    </row>
    <row r="27" spans="2:11">
      <c r="B27" s="43" t="s">
        <v>26</v>
      </c>
      <c r="C27" s="389">
        <f>SUM(C21:C25)</f>
        <v>0</v>
      </c>
      <c r="D27" s="389">
        <f>SUM(D21:D25)</f>
        <v>964</v>
      </c>
      <c r="E27" s="42">
        <f>SUM(E21:E25)</f>
        <v>0</v>
      </c>
      <c r="G27" s="632">
        <f>D28</f>
        <v>0</v>
      </c>
      <c r="H27" s="633" t="str">
        <f>CONCATENATE("",E1-1," Ending Cash Balance (est.)")</f>
        <v>2012 Ending Cash Balance (est.)</v>
      </c>
      <c r="I27" s="634"/>
      <c r="J27" s="629"/>
      <c r="K27" s="583"/>
    </row>
    <row r="28" spans="2:11">
      <c r="B28" s="27" t="s">
        <v>115</v>
      </c>
      <c r="C28" s="382">
        <f>C19-C27</f>
        <v>964</v>
      </c>
      <c r="D28" s="382">
        <f>D19-D27</f>
        <v>0</v>
      </c>
      <c r="E28" s="33" t="s">
        <v>284</v>
      </c>
      <c r="G28" s="632">
        <f>E18</f>
        <v>0</v>
      </c>
      <c r="H28" s="616" t="str">
        <f>CONCATENATE("",E1," Non-AV Receipts (est.)")</f>
        <v>2013 Non-AV Receipts (est.)</v>
      </c>
      <c r="I28" s="634"/>
      <c r="J28" s="629"/>
      <c r="K28" s="583"/>
    </row>
    <row r="29" spans="2:11">
      <c r="B29" s="48" t="str">
        <f>CONCATENATE("",E1-2,"/",E1-1," Budget Authority Amount:")</f>
        <v>2011/2012 Budget Authority Amount:</v>
      </c>
      <c r="C29" s="131">
        <f>inputOth!B50</f>
        <v>0</v>
      </c>
      <c r="D29" s="159">
        <f>inputPrYr!D20</f>
        <v>964</v>
      </c>
      <c r="E29" s="33" t="s">
        <v>284</v>
      </c>
      <c r="F29" s="50"/>
      <c r="G29" s="641">
        <f>IF(E33&gt;0,E32,E34)</f>
        <v>0</v>
      </c>
      <c r="H29" s="616" t="str">
        <f>CONCATENATE("",E1," Ad Valorem Tax (est.)")</f>
        <v>2013 Ad Valorem Tax (est.)</v>
      </c>
      <c r="I29" s="634"/>
      <c r="J29" s="629"/>
      <c r="K29" s="642" t="str">
        <f>IF(G29=E34,"","Note: Does not include Delinquent Taxes")</f>
        <v/>
      </c>
    </row>
    <row r="30" spans="2:11">
      <c r="B30" s="48"/>
      <c r="C30" s="793" t="s">
        <v>617</v>
      </c>
      <c r="D30" s="794"/>
      <c r="E30" s="34"/>
      <c r="F30" s="483" t="str">
        <f>IF(E27/0.95-E27&lt;E30,"Exceeds 5%","")</f>
        <v/>
      </c>
      <c r="G30" s="632">
        <f>SUM(G27:G29)</f>
        <v>0</v>
      </c>
      <c r="H30" s="616" t="str">
        <f>CONCATENATE("Total ",E1," Resources Available")</f>
        <v>Total 2013 Resources Available</v>
      </c>
      <c r="I30" s="634"/>
      <c r="J30" s="629"/>
      <c r="K30" s="583"/>
    </row>
    <row r="31" spans="2:11">
      <c r="B31" s="396" t="str">
        <f>CONCATENATE(C79,"     ",D79)</f>
        <v xml:space="preserve">     </v>
      </c>
      <c r="C31" s="795" t="s">
        <v>618</v>
      </c>
      <c r="D31" s="796"/>
      <c r="E31" s="32">
        <f>E27+E30</f>
        <v>0</v>
      </c>
      <c r="G31" s="645"/>
      <c r="H31" s="616"/>
      <c r="I31" s="616"/>
      <c r="J31" s="629"/>
      <c r="K31" s="583"/>
    </row>
    <row r="32" spans="2:11">
      <c r="B32" s="396" t="str">
        <f>CONCATENATE(C80,"     ",D80)</f>
        <v xml:space="preserve">     </v>
      </c>
      <c r="C32" s="59"/>
      <c r="D32" s="52" t="s">
        <v>28</v>
      </c>
      <c r="E32" s="46">
        <f>IF(E31-E19&gt;0,E31-E19,0)</f>
        <v>0</v>
      </c>
      <c r="G32" s="641">
        <f>C27*0.05+C27</f>
        <v>0</v>
      </c>
      <c r="H32" s="616" t="str">
        <f>CONCATENATE("Less ",E1-2," Expenditures + 5%")</f>
        <v>Less 2011 Expenditures + 5%</v>
      </c>
      <c r="I32" s="616"/>
      <c r="J32" s="629"/>
      <c r="K32" s="583"/>
    </row>
    <row r="33" spans="2:11">
      <c r="B33" s="52"/>
      <c r="C33" s="400" t="s">
        <v>619</v>
      </c>
      <c r="D33" s="690">
        <f>inputOth!$E$40</f>
        <v>0</v>
      </c>
      <c r="E33" s="32">
        <f>ROUND(IF(D33&gt;0,(E32*D33),0),0)</f>
        <v>0</v>
      </c>
      <c r="G33" s="649">
        <f>G30-G32</f>
        <v>0</v>
      </c>
      <c r="H33" s="650" t="str">
        <f>CONCATENATE("Projected ",E1+1," carryover (est.)")</f>
        <v>Projected 2014 carryover (est.)</v>
      </c>
      <c r="I33" s="651"/>
      <c r="J33" s="652"/>
      <c r="K33" s="583"/>
    </row>
    <row r="34" spans="2:11">
      <c r="B34" s="14"/>
      <c r="C34" s="791" t="str">
        <f>CONCATENATE("Amount of  ",$E$1-1," Ad Valorem Tax")</f>
        <v>Amount of  2012 Ad Valorem Tax</v>
      </c>
      <c r="D34" s="792"/>
      <c r="E34" s="46">
        <f>E32+E33</f>
        <v>0</v>
      </c>
      <c r="G34" s="583"/>
      <c r="H34" s="583"/>
      <c r="I34" s="583"/>
      <c r="J34" s="583"/>
      <c r="K34" s="583"/>
    </row>
    <row r="35" spans="2:11">
      <c r="B35" s="14"/>
      <c r="C35" s="540"/>
      <c r="D35" s="14"/>
      <c r="E35" s="14"/>
      <c r="G35" s="806" t="s">
        <v>818</v>
      </c>
      <c r="H35" s="807"/>
      <c r="I35" s="807"/>
      <c r="J35" s="808"/>
      <c r="K35" s="583"/>
    </row>
    <row r="36" spans="2:11">
      <c r="B36" s="14"/>
      <c r="C36" s="540"/>
      <c r="D36" s="14"/>
      <c r="E36" s="14"/>
      <c r="G36" s="656"/>
      <c r="H36" s="633"/>
      <c r="I36" s="657"/>
      <c r="J36" s="658"/>
      <c r="K36" s="583"/>
    </row>
    <row r="37" spans="2:11">
      <c r="B37" s="22" t="s">
        <v>10</v>
      </c>
      <c r="C37" s="65"/>
      <c r="D37" s="65"/>
      <c r="E37" s="65"/>
      <c r="G37" s="659" t="str">
        <f>summ!I20</f>
        <v xml:space="preserve"> </v>
      </c>
      <c r="H37" s="633" t="str">
        <f>CONCATENATE("",E1," Fund Mill Rate")</f>
        <v>2013 Fund Mill Rate</v>
      </c>
      <c r="I37" s="657"/>
      <c r="J37" s="658"/>
      <c r="K37" s="583"/>
    </row>
    <row r="38" spans="2:11">
      <c r="B38" s="14"/>
      <c r="C38" s="385" t="s">
        <v>11</v>
      </c>
      <c r="D38" s="388" t="s">
        <v>12</v>
      </c>
      <c r="E38" s="23" t="s">
        <v>13</v>
      </c>
      <c r="G38" s="660" t="str">
        <f>summ!F20</f>
        <v xml:space="preserve">  </v>
      </c>
      <c r="H38" s="633" t="str">
        <f>CONCATENATE("",E1-1," Fund Mill Rate")</f>
        <v>2012 Fund Mill Rate</v>
      </c>
      <c r="I38" s="657"/>
      <c r="J38" s="658"/>
      <c r="K38" s="583"/>
    </row>
    <row r="39" spans="2:11">
      <c r="B39" s="478" t="str">
        <f>inputPrYr!B21</f>
        <v>Noxious Weed</v>
      </c>
      <c r="C39" s="386" t="str">
        <f>C5</f>
        <v>Actual for 2011</v>
      </c>
      <c r="D39" s="386" t="str">
        <f>D5</f>
        <v>Estimate for 2012</v>
      </c>
      <c r="E39" s="26" t="str">
        <f>E5</f>
        <v>Year for 2013</v>
      </c>
      <c r="G39" s="662">
        <f>summ!I24</f>
        <v>2.4510000000000001</v>
      </c>
      <c r="H39" s="633" t="str">
        <f>CONCATENATE("Total ",E1," Mill Rate")</f>
        <v>Total 2013 Mill Rate</v>
      </c>
      <c r="I39" s="657"/>
      <c r="J39" s="658"/>
      <c r="K39" s="583"/>
    </row>
    <row r="40" spans="2:11">
      <c r="B40" s="27" t="s">
        <v>114</v>
      </c>
      <c r="C40" s="29">
        <v>146</v>
      </c>
      <c r="D40" s="387">
        <f>C61</f>
        <v>146</v>
      </c>
      <c r="E40" s="32">
        <f>D61</f>
        <v>0</v>
      </c>
      <c r="G40" s="660">
        <f>summ!F24</f>
        <v>2.5310000000000001</v>
      </c>
      <c r="H40" s="663" t="str">
        <f>CONCATENATE("Total ",E1-1," Mill Rate")</f>
        <v>Total 2012 Mill Rate</v>
      </c>
      <c r="I40" s="664"/>
      <c r="J40" s="665"/>
      <c r="K40" s="583"/>
    </row>
    <row r="41" spans="2:11">
      <c r="B41" s="27" t="s">
        <v>116</v>
      </c>
      <c r="C41" s="387"/>
      <c r="D41" s="387"/>
      <c r="E41" s="33"/>
      <c r="G41" s="583"/>
      <c r="H41" s="583"/>
      <c r="I41" s="583"/>
      <c r="J41" s="583"/>
      <c r="K41" s="583"/>
    </row>
    <row r="42" spans="2:11">
      <c r="B42" s="27" t="s">
        <v>16</v>
      </c>
      <c r="C42" s="29"/>
      <c r="D42" s="387">
        <f>IF(inputPrYr!H15&gt;0,inputPrYr!G21,inputPrYr!E21)</f>
        <v>0</v>
      </c>
      <c r="E42" s="33" t="s">
        <v>284</v>
      </c>
      <c r="G42" s="583"/>
      <c r="H42" s="583"/>
      <c r="I42" s="583"/>
      <c r="J42" s="583"/>
      <c r="K42" s="583"/>
    </row>
    <row r="43" spans="2:11">
      <c r="B43" s="27" t="s">
        <v>17</v>
      </c>
      <c r="C43" s="29"/>
      <c r="D43" s="29"/>
      <c r="E43" s="34"/>
      <c r="G43" s="583"/>
      <c r="H43" s="583"/>
      <c r="I43" s="583"/>
      <c r="J43" s="583"/>
      <c r="K43" s="583"/>
    </row>
    <row r="44" spans="2:11">
      <c r="B44" s="27" t="s">
        <v>18</v>
      </c>
      <c r="C44" s="29"/>
      <c r="D44" s="29"/>
      <c r="E44" s="32">
        <f>mvalloc!G16</f>
        <v>0</v>
      </c>
      <c r="G44" s="583"/>
      <c r="H44" s="583"/>
      <c r="I44" s="583"/>
      <c r="J44" s="583"/>
      <c r="K44" s="583"/>
    </row>
    <row r="45" spans="2:11">
      <c r="B45" s="27" t="s">
        <v>19</v>
      </c>
      <c r="C45" s="29"/>
      <c r="D45" s="29"/>
      <c r="E45" s="32">
        <f>mvalloc!I16</f>
        <v>0</v>
      </c>
      <c r="G45" s="583"/>
      <c r="H45" s="583"/>
      <c r="I45" s="583"/>
      <c r="J45" s="583"/>
      <c r="K45" s="583"/>
    </row>
    <row r="46" spans="2:11">
      <c r="B46" s="27" t="s">
        <v>96</v>
      </c>
      <c r="C46" s="29"/>
      <c r="D46" s="29"/>
      <c r="E46" s="32">
        <f>mvalloc!J16</f>
        <v>0</v>
      </c>
      <c r="G46" s="583"/>
      <c r="H46" s="583"/>
      <c r="I46" s="583"/>
      <c r="J46" s="583"/>
      <c r="K46" s="583"/>
    </row>
    <row r="47" spans="2:11">
      <c r="B47" s="37"/>
      <c r="C47" s="29"/>
      <c r="D47" s="29"/>
      <c r="E47" s="34"/>
      <c r="G47" s="583"/>
      <c r="H47" s="583"/>
      <c r="I47" s="583"/>
      <c r="J47" s="583"/>
      <c r="K47" s="583"/>
    </row>
    <row r="48" spans="2:11">
      <c r="B48" s="38" t="s">
        <v>22</v>
      </c>
      <c r="C48" s="29"/>
      <c r="D48" s="29"/>
      <c r="E48" s="34"/>
      <c r="G48" s="583"/>
      <c r="H48" s="583"/>
      <c r="I48" s="583"/>
      <c r="J48" s="583"/>
      <c r="K48" s="583"/>
    </row>
    <row r="49" spans="2:11">
      <c r="B49" s="39" t="s">
        <v>207</v>
      </c>
      <c r="C49" s="29"/>
      <c r="D49" s="29"/>
      <c r="E49" s="34"/>
      <c r="G49" s="583"/>
      <c r="H49" s="583"/>
      <c r="I49" s="583"/>
      <c r="J49" s="583"/>
      <c r="K49" s="583"/>
    </row>
    <row r="50" spans="2:11">
      <c r="B50" s="39" t="s">
        <v>208</v>
      </c>
      <c r="C50" s="384" t="str">
        <f>IF(C51*0.1&lt;C49,"Exceed 10% Rule","")</f>
        <v/>
      </c>
      <c r="D50" s="384" t="str">
        <f>IF(D51*0.1&lt;D49,"Exceed 10% Rule","")</f>
        <v/>
      </c>
      <c r="E50" s="45" t="str">
        <f>IF(E51*0.1+E67&lt;E49,"Exceed 10% Rule","")</f>
        <v/>
      </c>
      <c r="G50" s="583"/>
      <c r="H50" s="583"/>
      <c r="I50" s="583"/>
      <c r="J50" s="583"/>
      <c r="K50" s="583"/>
    </row>
    <row r="51" spans="2:11">
      <c r="B51" s="41" t="s">
        <v>23</v>
      </c>
      <c r="C51" s="389">
        <f>SUM(C42:C49)</f>
        <v>0</v>
      </c>
      <c r="D51" s="389">
        <f>SUM(D42:D49)</f>
        <v>0</v>
      </c>
      <c r="E51" s="42">
        <f>SUM(E42:E49)</f>
        <v>0</v>
      </c>
      <c r="G51" s="583"/>
      <c r="H51" s="583"/>
      <c r="I51" s="583"/>
      <c r="J51" s="583"/>
      <c r="K51" s="583"/>
    </row>
    <row r="52" spans="2:11">
      <c r="B52" s="43" t="s">
        <v>24</v>
      </c>
      <c r="C52" s="389">
        <f>C51+C40</f>
        <v>146</v>
      </c>
      <c r="D52" s="389">
        <f>D51+D40</f>
        <v>146</v>
      </c>
      <c r="E52" s="42">
        <f>E51+E40</f>
        <v>0</v>
      </c>
      <c r="G52" s="583"/>
      <c r="H52" s="583"/>
      <c r="I52" s="583"/>
      <c r="J52" s="583"/>
      <c r="K52" s="583"/>
    </row>
    <row r="53" spans="2:11">
      <c r="B53" s="27" t="s">
        <v>25</v>
      </c>
      <c r="C53" s="387"/>
      <c r="D53" s="387"/>
      <c r="E53" s="32"/>
      <c r="G53" s="583"/>
      <c r="H53" s="583"/>
      <c r="I53" s="583"/>
      <c r="J53" s="583"/>
      <c r="K53" s="583"/>
    </row>
    <row r="54" spans="2:11">
      <c r="B54" s="38"/>
      <c r="C54" s="29"/>
      <c r="D54" s="29"/>
      <c r="E54" s="34"/>
      <c r="G54" s="583"/>
      <c r="H54" s="583"/>
      <c r="I54" s="583"/>
      <c r="J54" s="583"/>
      <c r="K54" s="583"/>
    </row>
    <row r="55" spans="2:11">
      <c r="B55" s="38" t="s">
        <v>944</v>
      </c>
      <c r="C55" s="29"/>
      <c r="D55" s="29">
        <v>146</v>
      </c>
      <c r="E55" s="34"/>
      <c r="G55" s="809" t="str">
        <f>CONCATENATE("Desired Carryover Into ",E1+1,"")</f>
        <v>Desired Carryover Into 2014</v>
      </c>
      <c r="H55" s="810"/>
      <c r="I55" s="810"/>
      <c r="J55" s="811"/>
      <c r="K55" s="583"/>
    </row>
    <row r="56" spans="2:11">
      <c r="B56" s="38"/>
      <c r="C56" s="29"/>
      <c r="D56" s="29"/>
      <c r="E56" s="34"/>
      <c r="G56" s="614"/>
      <c r="H56" s="615"/>
      <c r="I56" s="616"/>
      <c r="J56" s="617"/>
      <c r="K56" s="583"/>
    </row>
    <row r="57" spans="2:11">
      <c r="B57" s="35" t="s">
        <v>209</v>
      </c>
      <c r="C57" s="29"/>
      <c r="D57" s="29"/>
      <c r="E57" s="46" t="str">
        <f>nhood!E11</f>
        <v/>
      </c>
      <c r="G57" s="583"/>
      <c r="H57" s="583"/>
      <c r="I57" s="583"/>
      <c r="J57" s="583"/>
      <c r="K57" s="583"/>
    </row>
    <row r="58" spans="2:11">
      <c r="B58" s="35" t="s">
        <v>207</v>
      </c>
      <c r="C58" s="29"/>
      <c r="D58" s="29"/>
      <c r="E58" s="34"/>
      <c r="G58" s="809" t="str">
        <f>CONCATENATE("Projected Carryover Into ",E1+1,"")</f>
        <v>Projected Carryover Into 2014</v>
      </c>
      <c r="H58" s="814"/>
      <c r="I58" s="814"/>
      <c r="J58" s="813"/>
      <c r="K58" s="583"/>
    </row>
    <row r="59" spans="2:11">
      <c r="B59" s="35" t="s">
        <v>616</v>
      </c>
      <c r="C59" s="384" t="str">
        <f>IF(C60*0.1&lt;C58,"Exceed 10% Rule","")</f>
        <v/>
      </c>
      <c r="D59" s="384" t="str">
        <f>IF(D60*0.1&lt;D58,"Exceed 10% Rule","")</f>
        <v/>
      </c>
      <c r="E59" s="45" t="str">
        <f>IF(E60*0.1&lt;E58,"Exceed 10% Rule","")</f>
        <v/>
      </c>
      <c r="G59" s="668"/>
      <c r="H59" s="615"/>
      <c r="I59" s="615"/>
      <c r="J59" s="669"/>
      <c r="K59" s="583"/>
    </row>
    <row r="60" spans="2:11">
      <c r="B60" s="43" t="s">
        <v>26</v>
      </c>
      <c r="C60" s="389">
        <f>SUM(C54:C58)</f>
        <v>0</v>
      </c>
      <c r="D60" s="389">
        <f>SUM(D54:D58)</f>
        <v>146</v>
      </c>
      <c r="E60" s="42">
        <f>SUM(E54:E58)</f>
        <v>0</v>
      </c>
      <c r="G60" s="632">
        <f>D61</f>
        <v>0</v>
      </c>
      <c r="H60" s="633" t="str">
        <f>CONCATENATE("",E1-1," Ending Cash Balance (est.)")</f>
        <v>2012 Ending Cash Balance (est.)</v>
      </c>
      <c r="I60" s="634"/>
      <c r="J60" s="669"/>
      <c r="K60" s="583"/>
    </row>
    <row r="61" spans="2:11">
      <c r="B61" s="27" t="s">
        <v>115</v>
      </c>
      <c r="C61" s="382">
        <f>C52-C60</f>
        <v>146</v>
      </c>
      <c r="D61" s="382">
        <f>D52-D60</f>
        <v>0</v>
      </c>
      <c r="E61" s="33" t="s">
        <v>284</v>
      </c>
      <c r="G61" s="632">
        <f>E51</f>
        <v>0</v>
      </c>
      <c r="H61" s="616" t="str">
        <f>CONCATENATE("",E1," Non-AV Receipts (est.)")</f>
        <v>2013 Non-AV Receipts (est.)</v>
      </c>
      <c r="I61" s="634"/>
      <c r="J61" s="669"/>
      <c r="K61" s="583"/>
    </row>
    <row r="62" spans="2:11">
      <c r="B62" s="48" t="str">
        <f>CONCATENATE("",E1-2,"/",E1-1," Budget Authority Amount:")</f>
        <v>2011/2012 Budget Authority Amount:</v>
      </c>
      <c r="C62" s="131">
        <f>inputOth!B51</f>
        <v>0</v>
      </c>
      <c r="D62" s="159">
        <f>inputPrYr!D21</f>
        <v>146</v>
      </c>
      <c r="E62" s="33" t="s">
        <v>284</v>
      </c>
      <c r="F62" s="50"/>
      <c r="G62" s="641">
        <f>IF(E66&gt;0,E65,E67)</f>
        <v>0</v>
      </c>
      <c r="H62" s="616" t="str">
        <f>CONCATENATE("",E1," Ad Valorem Tax (est.)")</f>
        <v>2013 Ad Valorem Tax (est.)</v>
      </c>
      <c r="I62" s="634"/>
      <c r="J62" s="669"/>
      <c r="K62" s="642" t="str">
        <f>IF(G62=E67,"","Note: Does not include Delinquent Taxes")</f>
        <v/>
      </c>
    </row>
    <row r="63" spans="2:11">
      <c r="B63" s="48"/>
      <c r="C63" s="793" t="s">
        <v>617</v>
      </c>
      <c r="D63" s="794"/>
      <c r="E63" s="34"/>
      <c r="F63" s="483" t="str">
        <f>IF(E60/0.95-E60&lt;E63,"Exceeds 5%","")</f>
        <v/>
      </c>
      <c r="G63" s="671">
        <f>SUM(G60:G62)</f>
        <v>0</v>
      </c>
      <c r="H63" s="616" t="str">
        <f>CONCATENATE("Total ",E1," Resources Available")</f>
        <v>Total 2013 Resources Available</v>
      </c>
      <c r="I63" s="672"/>
      <c r="J63" s="669"/>
      <c r="K63" s="583"/>
    </row>
    <row r="64" spans="2:11">
      <c r="B64" s="396" t="str">
        <f>CONCATENATE(C81,"     ",D81)</f>
        <v xml:space="preserve">     </v>
      </c>
      <c r="C64" s="795" t="s">
        <v>618</v>
      </c>
      <c r="D64" s="796"/>
      <c r="E64" s="32">
        <f>E60+E63</f>
        <v>0</v>
      </c>
      <c r="G64" s="673"/>
      <c r="H64" s="674"/>
      <c r="I64" s="615"/>
      <c r="J64" s="669"/>
      <c r="K64" s="583"/>
    </row>
    <row r="65" spans="2:11">
      <c r="B65" s="396" t="str">
        <f>CONCATENATE(C82,"     ",D82)</f>
        <v xml:space="preserve">     </v>
      </c>
      <c r="C65" s="59"/>
      <c r="D65" s="52" t="s">
        <v>28</v>
      </c>
      <c r="E65" s="46">
        <f>IF(E64-E52&gt;0,E64-E52,0)</f>
        <v>0</v>
      </c>
      <c r="G65" s="641">
        <f>ROUND(C60*0.05+C60,0)</f>
        <v>0</v>
      </c>
      <c r="H65" s="616" t="str">
        <f>CONCATENATE("Less ",E1-2," Expenditures + 5%")</f>
        <v>Less 2011 Expenditures + 5%</v>
      </c>
      <c r="I65" s="672"/>
      <c r="J65" s="669"/>
      <c r="K65" s="583"/>
    </row>
    <row r="66" spans="2:11">
      <c r="B66" s="52"/>
      <c r="C66" s="400" t="s">
        <v>619</v>
      </c>
      <c r="D66" s="690">
        <f>inputOth!$E$40</f>
        <v>0</v>
      </c>
      <c r="E66" s="32">
        <f>ROUND(IF(D66&gt;0,(E65*D66),0),0)</f>
        <v>0</v>
      </c>
      <c r="G66" s="649">
        <f>G63-G65</f>
        <v>0</v>
      </c>
      <c r="H66" s="650" t="str">
        <f>CONCATENATE("Projected ",E1+1," carryover (est.)")</f>
        <v>Projected 2014 carryover (est.)</v>
      </c>
      <c r="I66" s="675"/>
      <c r="J66" s="676"/>
      <c r="K66" s="583"/>
    </row>
    <row r="67" spans="2:11">
      <c r="B67" s="14"/>
      <c r="C67" s="791" t="str">
        <f>CONCATENATE("Amount of  ",$E$1-1," Ad Valorem Tax")</f>
        <v>Amount of  2012 Ad Valorem Tax</v>
      </c>
      <c r="D67" s="792"/>
      <c r="E67" s="46">
        <f>E65+E66</f>
        <v>0</v>
      </c>
      <c r="G67" s="583"/>
      <c r="H67" s="583"/>
      <c r="I67" s="583"/>
      <c r="J67" s="583"/>
      <c r="K67" s="583"/>
    </row>
    <row r="68" spans="2:11">
      <c r="B68" s="52" t="s">
        <v>9</v>
      </c>
      <c r="C68" s="531">
        <v>8</v>
      </c>
      <c r="D68" s="14"/>
      <c r="E68" s="14"/>
      <c r="G68" s="806" t="s">
        <v>818</v>
      </c>
      <c r="H68" s="807"/>
      <c r="I68" s="807"/>
      <c r="J68" s="808"/>
      <c r="K68" s="583"/>
    </row>
    <row r="69" spans="2:11">
      <c r="B69" s="79"/>
      <c r="G69" s="656"/>
      <c r="H69" s="633"/>
      <c r="I69" s="657"/>
      <c r="J69" s="658"/>
      <c r="K69" s="583"/>
    </row>
    <row r="70" spans="2:11">
      <c r="G70" s="659" t="str">
        <f>summ!I21</f>
        <v xml:space="preserve"> </v>
      </c>
      <c r="H70" s="633" t="str">
        <f>CONCATENATE("",E1," Fund Mill Rate")</f>
        <v>2013 Fund Mill Rate</v>
      </c>
      <c r="I70" s="657"/>
      <c r="J70" s="658"/>
      <c r="K70" s="583"/>
    </row>
    <row r="71" spans="2:11">
      <c r="G71" s="660" t="str">
        <f>summ!F21</f>
        <v xml:space="preserve">  </v>
      </c>
      <c r="H71" s="633" t="str">
        <f>CONCATENATE("",E1-1," Fund Mill Rate")</f>
        <v>2012 Fund Mill Rate</v>
      </c>
      <c r="I71" s="657"/>
      <c r="J71" s="658"/>
      <c r="K71" s="583"/>
    </row>
    <row r="72" spans="2:11">
      <c r="G72" s="662">
        <f>summ!I24</f>
        <v>2.4510000000000001</v>
      </c>
      <c r="H72" s="633" t="str">
        <f>CONCATENATE("Total ",E1," Mill Rate")</f>
        <v>Total 2013 Mill Rate</v>
      </c>
      <c r="I72" s="657"/>
      <c r="J72" s="658"/>
      <c r="K72" s="583"/>
    </row>
    <row r="73" spans="2:11">
      <c r="G73" s="660">
        <f>summ!F24</f>
        <v>2.5310000000000001</v>
      </c>
      <c r="H73" s="663" t="str">
        <f>CONCATENATE("Total ",E1-1," Mill Rate")</f>
        <v>Total 2012 Mill Rate</v>
      </c>
      <c r="I73" s="664"/>
      <c r="J73" s="665"/>
      <c r="K73" s="583"/>
    </row>
    <row r="79" spans="2:11" hidden="1">
      <c r="C79" s="16" t="str">
        <f>IF(C27&gt;C29,"See Tab A","")</f>
        <v/>
      </c>
      <c r="D79" s="16" t="str">
        <f>IF(D27&gt;D29,"See Tab C","")</f>
        <v/>
      </c>
    </row>
    <row r="80" spans="2:11" hidden="1">
      <c r="C80" s="16" t="str">
        <f>IF(C28&lt;0,"See Tab B","")</f>
        <v/>
      </c>
      <c r="D80" s="16" t="str">
        <f>IF(D28&lt;0,"See Tab D","")</f>
        <v/>
      </c>
    </row>
    <row r="81" spans="3:4" hidden="1">
      <c r="C81" s="16" t="str">
        <f>IF(C60&gt;C62,"See Tab A","")</f>
        <v/>
      </c>
      <c r="D81" s="16" t="str">
        <f>IF(D60&gt;D62,"See Tab C","")</f>
        <v/>
      </c>
    </row>
    <row r="82" spans="3:4" hidden="1">
      <c r="C82" s="16" t="str">
        <f>IF(C61&lt;0,"See Tab B","")</f>
        <v/>
      </c>
      <c r="D82" s="16" t="str">
        <f>IF(D61&lt;0,"See Tab D","")</f>
        <v/>
      </c>
    </row>
  </sheetData>
  <mergeCells count="12">
    <mergeCell ref="C67:D67"/>
    <mergeCell ref="C34:D34"/>
    <mergeCell ref="C30:D30"/>
    <mergeCell ref="C31:D31"/>
    <mergeCell ref="C63:D63"/>
    <mergeCell ref="C64:D64"/>
    <mergeCell ref="G68:J68"/>
    <mergeCell ref="G22:J22"/>
    <mergeCell ref="G25:J25"/>
    <mergeCell ref="G35:J35"/>
    <mergeCell ref="G55:J55"/>
    <mergeCell ref="G58:J58"/>
  </mergeCells>
  <phoneticPr fontId="0" type="noConversion"/>
  <conditionalFormatting sqref="E63">
    <cfRule type="cellIs" dxfId="94" priority="3" stopIfTrue="1" operator="greaterThan">
      <formula>$E$60/0.95-$E$60</formula>
    </cfRule>
  </conditionalFormatting>
  <conditionalFormatting sqref="C58">
    <cfRule type="cellIs" dxfId="93" priority="4" stopIfTrue="1" operator="greaterThan">
      <formula>$C$60*0.1</formula>
    </cfRule>
  </conditionalFormatting>
  <conditionalFormatting sqref="D58">
    <cfRule type="cellIs" dxfId="92" priority="5" stopIfTrue="1" operator="greaterThan">
      <formula>$D$60*0.1</formula>
    </cfRule>
  </conditionalFormatting>
  <conditionalFormatting sqref="E58">
    <cfRule type="cellIs" dxfId="91" priority="6" stopIfTrue="1" operator="greaterThan">
      <formula>$E$60*0.1</formula>
    </cfRule>
  </conditionalFormatting>
  <conditionalFormatting sqref="C49">
    <cfRule type="cellIs" dxfId="90" priority="7" stopIfTrue="1" operator="greaterThan">
      <formula>$C$51*0.1</formula>
    </cfRule>
  </conditionalFormatting>
  <conditionalFormatting sqref="D49">
    <cfRule type="cellIs" dxfId="89" priority="8" stopIfTrue="1" operator="greaterThan">
      <formula>$D$51*0.1</formula>
    </cfRule>
  </conditionalFormatting>
  <conditionalFormatting sqref="E30">
    <cfRule type="cellIs" dxfId="88" priority="9" stopIfTrue="1" operator="greaterThan">
      <formula>$E$27/0.95-$E$27</formula>
    </cfRule>
  </conditionalFormatting>
  <conditionalFormatting sqref="C25">
    <cfRule type="cellIs" dxfId="87" priority="10" stopIfTrue="1" operator="greaterThan">
      <formula>$C$27*0.1</formula>
    </cfRule>
  </conditionalFormatting>
  <conditionalFormatting sqref="D25">
    <cfRule type="cellIs" dxfId="86" priority="11" stopIfTrue="1" operator="greaterThan">
      <formula>$D$27*0.1</formula>
    </cfRule>
  </conditionalFormatting>
  <conditionalFormatting sqref="E25">
    <cfRule type="cellIs" dxfId="85" priority="12" stopIfTrue="1" operator="greaterThan">
      <formula>$E$27*0.1</formula>
    </cfRule>
  </conditionalFormatting>
  <conditionalFormatting sqref="C16">
    <cfRule type="cellIs" dxfId="84" priority="13" stopIfTrue="1" operator="greaterThan">
      <formula>$C$18*0.1</formula>
    </cfRule>
  </conditionalFormatting>
  <conditionalFormatting sqref="D16">
    <cfRule type="cellIs" dxfId="83" priority="14" stopIfTrue="1" operator="greaterThan">
      <formula>$D$18*0.1</formula>
    </cfRule>
  </conditionalFormatting>
  <conditionalFormatting sqref="C61 C28">
    <cfRule type="cellIs" dxfId="82" priority="17" stopIfTrue="1" operator="lessThan">
      <formula>0</formula>
    </cfRule>
  </conditionalFormatting>
  <conditionalFormatting sqref="C60">
    <cfRule type="cellIs" dxfId="81" priority="18" stopIfTrue="1" operator="greaterThan">
      <formula>$C$62</formula>
    </cfRule>
  </conditionalFormatting>
  <conditionalFormatting sqref="D60">
    <cfRule type="cellIs" dxfId="80" priority="19" stopIfTrue="1" operator="greaterThan">
      <formula>$D$62</formula>
    </cfRule>
  </conditionalFormatting>
  <conditionalFormatting sqref="C27">
    <cfRule type="cellIs" dxfId="79" priority="20" stopIfTrue="1" operator="greaterThan">
      <formula>$C$29</formula>
    </cfRule>
  </conditionalFormatting>
  <conditionalFormatting sqref="D27">
    <cfRule type="cellIs" dxfId="78" priority="21" stopIfTrue="1" operator="greaterThan">
      <formula>$D$29</formula>
    </cfRule>
  </conditionalFormatting>
  <conditionalFormatting sqref="D28 D61">
    <cfRule type="cellIs" dxfId="77" priority="2" stopIfTrue="1" operator="lessThan">
      <formula>0</formula>
    </cfRule>
  </conditionalFormatting>
  <conditionalFormatting sqref="E16">
    <cfRule type="cellIs" dxfId="76" priority="31" stopIfTrue="1" operator="greaterThan">
      <formula>$E$18*0.1+$E$34</formula>
    </cfRule>
  </conditionalFormatting>
  <conditionalFormatting sqref="E49">
    <cfRule type="cellIs" dxfId="75" priority="32" stopIfTrue="1" operator="greaterThan">
      <formula>$E$51*0.1+$E$67</formula>
    </cfRule>
  </conditionalFormatting>
  <pageMargins left="0.9" right="0.9" top="0.96" bottom="0.5" header="0.41" footer="0.3"/>
  <pageSetup scale="67" orientation="portrait" blackAndWhite="1" horizontalDpi="4294967292" verticalDpi="96" r:id="rId1"/>
  <headerFooter alignWithMargins="0">
    <oddHeader xml:space="preserve">&amp;RState of Kansas
Township
</oddHeader>
  </headerFooter>
</worksheet>
</file>

<file path=xl/worksheets/sheet16.xml><?xml version="1.0" encoding="utf-8"?>
<worksheet xmlns="http://schemas.openxmlformats.org/spreadsheetml/2006/main" xmlns:r="http://schemas.openxmlformats.org/officeDocument/2006/relationships">
  <dimension ref="B1:N94"/>
  <sheetViews>
    <sheetView topLeftCell="A10" zoomScale="70" zoomScaleNormal="70" workbookViewId="0">
      <selection activeCell="C16" sqref="C16"/>
    </sheetView>
  </sheetViews>
  <sheetFormatPr defaultRowHeight="15.75"/>
  <cols>
    <col min="1" max="1" width="1.69921875" style="16" customWidth="1"/>
    <col min="2" max="2" width="20.69921875" style="16" customWidth="1"/>
    <col min="3" max="3" width="12.69921875" style="16" customWidth="1"/>
    <col min="4" max="4" width="9.69921875" style="16" customWidth="1"/>
    <col min="5" max="5" width="12.69921875" style="16" customWidth="1"/>
    <col min="6" max="6" width="9.69921875" style="16" customWidth="1"/>
    <col min="7" max="7" width="13.3984375" style="16" customWidth="1"/>
    <col min="8" max="8" width="10.69921875" style="16" customWidth="1"/>
    <col min="9" max="9" width="9.69921875" style="16" customWidth="1"/>
    <col min="10" max="10" width="5.09765625" style="16" customWidth="1"/>
    <col min="11" max="11" width="12.3984375" style="16" customWidth="1"/>
    <col min="12" max="12" width="12.296875" style="16" customWidth="1"/>
    <col min="13" max="13" width="10.5" style="16" customWidth="1"/>
    <col min="14" max="14" width="12" style="16" customWidth="1"/>
    <col min="15" max="16384" width="8.796875" style="16"/>
  </cols>
  <sheetData>
    <row r="1" spans="2:10">
      <c r="B1" s="14"/>
      <c r="C1" s="14"/>
      <c r="D1" s="14"/>
      <c r="E1" s="14"/>
      <c r="F1" s="14"/>
      <c r="G1" s="14"/>
      <c r="H1" s="14"/>
      <c r="I1" s="144">
        <f>inputPrYr!D5</f>
        <v>2013</v>
      </c>
    </row>
    <row r="2" spans="2:10">
      <c r="B2" s="783" t="s">
        <v>68</v>
      </c>
      <c r="C2" s="762"/>
      <c r="D2" s="762"/>
      <c r="E2" s="762"/>
      <c r="F2" s="762"/>
      <c r="G2" s="762"/>
      <c r="H2" s="762"/>
      <c r="I2" s="762"/>
    </row>
    <row r="3" spans="2:10">
      <c r="B3" s="14"/>
      <c r="C3" s="14"/>
      <c r="D3" s="14"/>
      <c r="E3" s="14"/>
      <c r="F3" s="14"/>
      <c r="G3" s="22" t="s">
        <v>37</v>
      </c>
      <c r="H3" s="22" t="s">
        <v>38</v>
      </c>
      <c r="I3" s="14"/>
    </row>
    <row r="4" spans="2:10">
      <c r="B4" s="772" t="s">
        <v>39</v>
      </c>
      <c r="C4" s="772"/>
      <c r="D4" s="772"/>
      <c r="E4" s="772"/>
      <c r="F4" s="772"/>
      <c r="G4" s="772"/>
      <c r="H4" s="772"/>
      <c r="I4" s="772"/>
    </row>
    <row r="5" spans="2:10">
      <c r="B5" s="781" t="str">
        <f>inputPrYr!D2</f>
        <v>Paxton Township</v>
      </c>
      <c r="C5" s="781"/>
      <c r="D5" s="781"/>
      <c r="E5" s="781"/>
      <c r="F5" s="781"/>
      <c r="G5" s="781"/>
      <c r="H5" s="781"/>
      <c r="I5" s="781"/>
    </row>
    <row r="6" spans="2:10">
      <c r="B6" s="781" t="str">
        <f>inputPrYr!D3</f>
        <v>Logan County</v>
      </c>
      <c r="C6" s="781"/>
      <c r="D6" s="781"/>
      <c r="E6" s="781"/>
      <c r="F6" s="781"/>
      <c r="G6" s="781"/>
      <c r="H6" s="781"/>
      <c r="I6" s="781"/>
    </row>
    <row r="7" spans="2:10">
      <c r="B7" s="825" t="str">
        <f>CONCATENATE("will meet on ",inputBudSum!B8," at ",inputBudSum!B10," at ",inputBudSum!B12," for the purpose of hearing and")</f>
        <v>will meet on September 28, 2012 at 5:00 PM at Terry McDaniel's residence, 2210 Bison Rd, Scott City for the purpose of hearing and</v>
      </c>
      <c r="C7" s="825"/>
      <c r="D7" s="825"/>
      <c r="E7" s="825"/>
      <c r="F7" s="825"/>
      <c r="G7" s="825"/>
      <c r="H7" s="825"/>
      <c r="I7" s="825"/>
    </row>
    <row r="8" spans="2:10">
      <c r="B8" s="146" t="s">
        <v>597</v>
      </c>
      <c r="C8" s="144"/>
      <c r="D8" s="144"/>
      <c r="E8" s="144"/>
      <c r="F8" s="144"/>
      <c r="G8" s="144"/>
      <c r="H8" s="144"/>
      <c r="I8" s="144"/>
    </row>
    <row r="9" spans="2:10">
      <c r="B9" s="352" t="str">
        <f>CONCATENATE("Detailed budget information is available at ",inputBudSum!B15," and will be available at this hearing.")</f>
        <v>Detailed budget information is available at Nicola Gregory's residence, 210 Co Road 230, Scott City and will be available at this hearing.</v>
      </c>
      <c r="C9" s="351"/>
      <c r="D9" s="351"/>
      <c r="E9" s="351"/>
      <c r="F9" s="351"/>
      <c r="G9" s="351"/>
      <c r="H9" s="351"/>
      <c r="I9" s="351"/>
    </row>
    <row r="10" spans="2:10">
      <c r="B10" s="143" t="s">
        <v>69</v>
      </c>
      <c r="C10" s="147"/>
      <c r="D10" s="147"/>
      <c r="E10" s="147"/>
      <c r="F10" s="147"/>
      <c r="G10" s="147"/>
      <c r="H10" s="147"/>
      <c r="I10" s="147"/>
    </row>
    <row r="11" spans="2:10">
      <c r="B11" s="146" t="str">
        <f>CONCATENATE("Proposed Budget ",I1," Expenditures and Amount of ",I1-1," Ad Valorem Tax establish the maximum limits")</f>
        <v>Proposed Budget 2013 Expenditures and Amount of 2012 Ad Valorem Tax establish the maximum limits</v>
      </c>
      <c r="C11" s="144"/>
      <c r="D11" s="144"/>
      <c r="E11" s="144"/>
      <c r="F11" s="144"/>
      <c r="G11" s="144"/>
      <c r="H11" s="144"/>
      <c r="I11" s="144"/>
    </row>
    <row r="12" spans="2:10">
      <c r="B12" s="146" t="str">
        <f>CONCATENATE("of the ",I1," budget.  Estimated Tax Rate is subject to change depending on the final assessed valuation.")</f>
        <v>of the 2013 budget.  Estimated Tax Rate is subject to change depending on the final assessed valuation.</v>
      </c>
      <c r="C12" s="144"/>
      <c r="D12" s="144"/>
      <c r="E12" s="144"/>
      <c r="F12" s="144"/>
      <c r="G12" s="144"/>
      <c r="H12" s="144"/>
      <c r="I12" s="144"/>
    </row>
    <row r="13" spans="2:10">
      <c r="B13" s="22"/>
      <c r="C13" s="19"/>
      <c r="D13" s="19"/>
      <c r="E13" s="19"/>
      <c r="F13" s="19"/>
      <c r="G13" s="19"/>
      <c r="H13" s="19"/>
      <c r="I13" s="19"/>
      <c r="J13" s="148"/>
    </row>
    <row r="14" spans="2:10">
      <c r="B14" s="14"/>
      <c r="C14" s="149" t="str">
        <f>CONCATENATE("Prior Year Actual ",I1-2,"")</f>
        <v>Prior Year Actual 2011</v>
      </c>
      <c r="D14" s="150"/>
      <c r="E14" s="149" t="str">
        <f>CONCATENATE("Current Year Estimate ",I1-1,"")</f>
        <v>Current Year Estimate 2012</v>
      </c>
      <c r="F14" s="151"/>
      <c r="G14" s="152" t="str">
        <f>CONCATENATE("Proposed Budget ",I1,"")</f>
        <v>Proposed Budget 2013</v>
      </c>
      <c r="H14" s="153"/>
      <c r="I14" s="151"/>
      <c r="J14" s="148"/>
    </row>
    <row r="15" spans="2:10" ht="22.5" customHeight="1">
      <c r="B15" s="14"/>
      <c r="C15" s="68"/>
      <c r="D15" s="23" t="s">
        <v>32</v>
      </c>
      <c r="E15" s="23"/>
      <c r="F15" s="23" t="s">
        <v>32</v>
      </c>
      <c r="G15" s="154"/>
      <c r="H15" s="764" t="str">
        <f>CONCATENATE("Amount of ",I1-1," Ad Valorem Tax")</f>
        <v>Amount of 2012 Ad Valorem Tax</v>
      </c>
      <c r="I15" s="23" t="s">
        <v>40</v>
      </c>
      <c r="J15" s="148"/>
    </row>
    <row r="16" spans="2:10">
      <c r="B16" s="14"/>
      <c r="C16" s="155"/>
      <c r="D16" s="155" t="s">
        <v>41</v>
      </c>
      <c r="E16" s="155"/>
      <c r="F16" s="155" t="s">
        <v>41</v>
      </c>
      <c r="G16" s="155" t="s">
        <v>203</v>
      </c>
      <c r="H16" s="823"/>
      <c r="I16" s="155" t="s">
        <v>41</v>
      </c>
      <c r="J16" s="148"/>
    </row>
    <row r="17" spans="2:14">
      <c r="B17" s="25" t="s">
        <v>280</v>
      </c>
      <c r="C17" s="26" t="s">
        <v>42</v>
      </c>
      <c r="D17" s="26" t="s">
        <v>43</v>
      </c>
      <c r="E17" s="26" t="s">
        <v>42</v>
      </c>
      <c r="F17" s="26" t="s">
        <v>43</v>
      </c>
      <c r="G17" s="26" t="s">
        <v>713</v>
      </c>
      <c r="H17" s="824"/>
      <c r="I17" s="26" t="s">
        <v>43</v>
      </c>
      <c r="J17" s="148"/>
    </row>
    <row r="18" spans="2:14">
      <c r="B18" s="84" t="str">
        <f>inputPrYr!B16</f>
        <v>General</v>
      </c>
      <c r="C18" s="62">
        <f>IF(gen!$C$40&lt;&gt;0,gen!$C$40,"  ")</f>
        <v>685</v>
      </c>
      <c r="D18" s="522" t="str">
        <f>IF(inputPrYr!D42&gt;0,inputPrYr!D42,"  ")</f>
        <v xml:space="preserve">  </v>
      </c>
      <c r="E18" s="32">
        <f>IF(gen!$D$40&lt;&gt;0,gen!$D$40,"  ")</f>
        <v>2800</v>
      </c>
      <c r="F18" s="232" t="str">
        <f>IF(inputOth!D17&gt;0,inputOth!D17,"  ")</f>
        <v xml:space="preserve">  </v>
      </c>
      <c r="G18" s="32">
        <f>IF(gen!$E$40&lt;&gt;0,gen!$E$40,"  ")</f>
        <v>16990</v>
      </c>
      <c r="H18" s="32" t="str">
        <f>IF(gen!$E$47&lt;&gt;0,gen!$E$47," ")</f>
        <v xml:space="preserve"> </v>
      </c>
      <c r="I18" s="524" t="str">
        <f>IF(gen!E47&gt;0,ROUND(H18/$G$29*1000,3)," ")</f>
        <v xml:space="preserve"> </v>
      </c>
      <c r="J18" s="148"/>
    </row>
    <row r="19" spans="2:14">
      <c r="B19" s="84" t="str">
        <f>IF(inputPrYr!$B19&gt;"  ",inputPrYr!$B19,"  ")</f>
        <v>Road</v>
      </c>
      <c r="C19" s="32">
        <f>IF(road!$C$38&lt;&gt;0,road!$C$38,"  ")</f>
        <v>26025</v>
      </c>
      <c r="D19" s="522">
        <f>IF(inputPrYr!D45&gt;0,inputPrYr!D45,"  ")</f>
        <v>2.5390000000000001</v>
      </c>
      <c r="E19" s="32">
        <f>IF(road!$D$38&lt;&gt;0,road!$D$38,"  ")</f>
        <v>21061</v>
      </c>
      <c r="F19" s="232">
        <f>IF(inputOth!D20&gt;0,inputOth!D20,"  ")</f>
        <v>2.5310000000000001</v>
      </c>
      <c r="G19" s="32">
        <f>IF(road!$E$38&lt;&gt;0,road!$E$38,"  ")</f>
        <v>21664</v>
      </c>
      <c r="H19" s="32">
        <f>IF(road!$E$45&lt;&gt;0,road!$E$45,"  ")</f>
        <v>8483</v>
      </c>
      <c r="I19" s="524">
        <f>IF(road!E45&gt;0,ROUND(H19/$G$29*1000,3)," ")</f>
        <v>2.4510000000000001</v>
      </c>
      <c r="K19" s="818" t="str">
        <f>CONCATENATE("Estimated Value Of One Mill For ",I1,"")</f>
        <v>Estimated Value Of One Mill For 2013</v>
      </c>
      <c r="L19" s="821"/>
      <c r="M19" s="821"/>
      <c r="N19" s="822"/>
    </row>
    <row r="20" spans="2:14">
      <c r="B20" s="84" t="str">
        <f>IF(inputPrYr!$B20&gt;"  ",inputPrYr!$B20,"  ")</f>
        <v>Prairie Dog</v>
      </c>
      <c r="C20" s="32" t="str">
        <f>IF('PrDog-NoxWeed'!$C$27&lt;&gt;0,'PrDog-NoxWeed'!$C$27,"  ")</f>
        <v xml:space="preserve">  </v>
      </c>
      <c r="D20" s="522" t="str">
        <f>IF(inputPrYr!D46&gt;0,inputPrYr!D46,"  ")</f>
        <v xml:space="preserve">  </v>
      </c>
      <c r="E20" s="32">
        <f>IF('PrDog-NoxWeed'!$D$27&lt;&gt;0,'PrDog-NoxWeed'!$D$27,"  ")</f>
        <v>964</v>
      </c>
      <c r="F20" s="232" t="str">
        <f>IF(inputOth!D21&gt;0,inputOth!D21,"  ")</f>
        <v xml:space="preserve">  </v>
      </c>
      <c r="G20" s="32" t="str">
        <f>IF('PrDog-NoxWeed'!$E$27&lt;&gt;0,'PrDog-NoxWeed'!$E$27,"  ")</f>
        <v xml:space="preserve">  </v>
      </c>
      <c r="H20" s="32" t="str">
        <f>IF('PrDog-NoxWeed'!$E$34&lt;&gt;0,'PrDog-NoxWeed'!$E$34,"  ")</f>
        <v xml:space="preserve">  </v>
      </c>
      <c r="I20" s="524" t="str">
        <f>IF('PrDog-NoxWeed'!E34&gt;0,ROUND(H20/$G$29*1000,3)," ")</f>
        <v xml:space="preserve"> </v>
      </c>
      <c r="K20" s="503"/>
      <c r="L20" s="504"/>
      <c r="M20" s="504"/>
      <c r="N20" s="505"/>
    </row>
    <row r="21" spans="2:14">
      <c r="B21" s="84" t="str">
        <f>IF(inputPrYr!$B21&gt;"  ",inputPrYr!$B21,"  ")</f>
        <v>Noxious Weed</v>
      </c>
      <c r="C21" s="32" t="str">
        <f>IF('PrDog-NoxWeed'!$C$60&lt;&gt;0,'PrDog-NoxWeed'!$C$60,"  ")</f>
        <v xml:space="preserve">  </v>
      </c>
      <c r="D21" s="522" t="str">
        <f>IF(inputPrYr!D47&gt;0,inputPrYr!D47,"  ")</f>
        <v xml:space="preserve">  </v>
      </c>
      <c r="E21" s="32">
        <f>IF('PrDog-NoxWeed'!$D$60&lt;&gt;0,'PrDog-NoxWeed'!$D$60,"  ")</f>
        <v>146</v>
      </c>
      <c r="F21" s="232" t="str">
        <f>IF(inputOth!D22&gt;0,inputOth!D22,"  ")</f>
        <v xml:space="preserve">  </v>
      </c>
      <c r="G21" s="32" t="str">
        <f>IF('PrDog-NoxWeed'!$E$60&lt;&gt;0,'PrDog-NoxWeed'!$E$60,"  ")</f>
        <v xml:space="preserve">  </v>
      </c>
      <c r="H21" s="32" t="str">
        <f>IF('PrDog-NoxWeed'!$E$67&lt;&gt;0,'PrDog-NoxWeed'!$E$67,"  ")</f>
        <v xml:space="preserve">  </v>
      </c>
      <c r="I21" s="524" t="str">
        <f>IF('PrDog-NoxWeed'!E67&gt;0,ROUND(H21/$G$29*1000,3)," ")</f>
        <v xml:space="preserve"> </v>
      </c>
      <c r="K21" s="506" t="s">
        <v>711</v>
      </c>
      <c r="L21" s="507"/>
      <c r="M21" s="507"/>
      <c r="N21" s="508">
        <f>ROUND(G29/1000,0)</f>
        <v>3461</v>
      </c>
    </row>
    <row r="22" spans="2:14">
      <c r="B22" s="84" t="str">
        <f>IF((inputPrYr!$B34&gt;"  "),(nonbud!$A3),"  ")</f>
        <v xml:space="preserve">  </v>
      </c>
      <c r="C22" s="62" t="str">
        <f>IF((nonbud!$K$28)&lt;&gt;0,(nonbud!$K$28),"  ")</f>
        <v xml:space="preserve">  </v>
      </c>
      <c r="D22" s="156"/>
      <c r="E22" s="32"/>
      <c r="F22" s="156"/>
      <c r="G22" s="32"/>
      <c r="H22" s="32"/>
      <c r="I22" s="156"/>
      <c r="K22" s="516" t="e">
        <f>IF($N$22&lt;0,"Reduced By:","")</f>
        <v>#REF!</v>
      </c>
      <c r="L22" s="502"/>
      <c r="M22" s="502"/>
      <c r="N22" s="517" t="e">
        <f>IF(N28&gt;0,N28*-1,0)</f>
        <v>#REF!</v>
      </c>
    </row>
    <row r="23" spans="2:14" ht="16.5" thickBot="1">
      <c r="B23" s="71" t="s">
        <v>282</v>
      </c>
      <c r="C23" s="480" t="str">
        <f>IF(road!C59&lt;&gt;0,road!C59,"  ")</f>
        <v xml:space="preserve">  </v>
      </c>
      <c r="D23" s="481"/>
      <c r="E23" s="523"/>
      <c r="F23" s="481"/>
      <c r="G23" s="523"/>
      <c r="H23" s="523"/>
      <c r="I23" s="481"/>
      <c r="K23" s="514"/>
      <c r="L23" s="514"/>
      <c r="M23" s="514"/>
      <c r="N23" s="514"/>
    </row>
    <row r="24" spans="2:14">
      <c r="B24" s="71" t="s">
        <v>283</v>
      </c>
      <c r="C24" s="525">
        <f t="shared" ref="C24:I24" si="0">SUM(C18:C23)</f>
        <v>26710</v>
      </c>
      <c r="D24" s="479">
        <f t="shared" si="0"/>
        <v>2.5390000000000001</v>
      </c>
      <c r="E24" s="525">
        <f t="shared" si="0"/>
        <v>24971</v>
      </c>
      <c r="F24" s="479">
        <f t="shared" si="0"/>
        <v>2.5310000000000001</v>
      </c>
      <c r="G24" s="525">
        <f t="shared" si="0"/>
        <v>38654</v>
      </c>
      <c r="H24" s="525">
        <f t="shared" si="0"/>
        <v>8483</v>
      </c>
      <c r="I24" s="528">
        <f t="shared" si="0"/>
        <v>2.4510000000000001</v>
      </c>
      <c r="K24" s="818" t="str">
        <f>CONCATENATE("Impact On Keeping The Same Mill Rate As For ",I1-1,"")</f>
        <v>Impact On Keeping The Same Mill Rate As For 2012</v>
      </c>
      <c r="L24" s="819"/>
      <c r="M24" s="819"/>
      <c r="N24" s="820"/>
    </row>
    <row r="25" spans="2:14">
      <c r="B25" s="271" t="s">
        <v>44</v>
      </c>
      <c r="C25" s="32">
        <f>transfer!C29</f>
        <v>0</v>
      </c>
      <c r="D25" s="14"/>
      <c r="E25" s="32">
        <f>transfer!D29</f>
        <v>16110</v>
      </c>
      <c r="F25" s="60"/>
      <c r="G25" s="32">
        <f>transfer!E29</f>
        <v>0</v>
      </c>
      <c r="H25" s="14"/>
      <c r="I25" s="14"/>
      <c r="K25" s="510"/>
      <c r="L25" s="504"/>
      <c r="M25" s="504"/>
      <c r="N25" s="511"/>
    </row>
    <row r="26" spans="2:14" ht="16.5" thickBot="1">
      <c r="B26" s="271" t="s">
        <v>45</v>
      </c>
      <c r="C26" s="526">
        <f>C24-C25</f>
        <v>26710</v>
      </c>
      <c r="D26" s="14"/>
      <c r="E26" s="526">
        <f>E24-E25</f>
        <v>8861</v>
      </c>
      <c r="F26" s="14"/>
      <c r="G26" s="526">
        <f>G24-G25</f>
        <v>38654</v>
      </c>
      <c r="H26" s="14"/>
      <c r="I26" s="14"/>
      <c r="K26" s="510" t="str">
        <f>CONCATENATE("",I1," Ad Valorem Tax Revenue:")</f>
        <v>2013 Ad Valorem Tax Revenue:</v>
      </c>
      <c r="L26" s="504"/>
      <c r="M26" s="504"/>
      <c r="N26" s="505">
        <f>H24</f>
        <v>8483</v>
      </c>
    </row>
    <row r="27" spans="2:14" ht="16.5" thickTop="1">
      <c r="B27" s="271" t="s">
        <v>46</v>
      </c>
      <c r="C27" s="527">
        <f>inputPrYr!E54</f>
        <v>8292</v>
      </c>
      <c r="D27" s="60"/>
      <c r="E27" s="527">
        <f>inputPrYr!E26</f>
        <v>8479</v>
      </c>
      <c r="F27" s="14"/>
      <c r="G27" s="518" t="s">
        <v>284</v>
      </c>
      <c r="H27" s="14"/>
      <c r="I27" s="14"/>
      <c r="K27" s="510" t="str">
        <f>CONCATENATE("",I1-1," Ad Valorem Tax Revenue:")</f>
        <v>2012 Ad Valorem Tax Revenue:</v>
      </c>
      <c r="L27" s="504"/>
      <c r="M27" s="504"/>
      <c r="N27" s="515" t="e">
        <f>ROUND(G29*#REF!/1000,0)</f>
        <v>#REF!</v>
      </c>
    </row>
    <row r="28" spans="2:14">
      <c r="B28" s="271" t="s">
        <v>47</v>
      </c>
      <c r="C28" s="55"/>
      <c r="D28" s="60"/>
      <c r="E28" s="55"/>
      <c r="F28" s="60"/>
      <c r="G28" s="14"/>
      <c r="H28" s="14"/>
      <c r="I28" s="14"/>
      <c r="K28" s="512" t="s">
        <v>712</v>
      </c>
      <c r="L28" s="513"/>
      <c r="M28" s="513"/>
      <c r="N28" s="508" t="e">
        <f>N26-N27</f>
        <v>#REF!</v>
      </c>
    </row>
    <row r="29" spans="2:14">
      <c r="B29" s="271" t="s">
        <v>48</v>
      </c>
      <c r="C29" s="32">
        <f>inputPrYr!E55</f>
        <v>3266277</v>
      </c>
      <c r="D29" s="14"/>
      <c r="E29" s="32">
        <f>inputOth!E29</f>
        <v>3349814</v>
      </c>
      <c r="F29" s="14"/>
      <c r="G29" s="32">
        <f>inputOth!E7</f>
        <v>3461441</v>
      </c>
      <c r="H29" s="14"/>
      <c r="I29" s="14"/>
      <c r="K29" s="509"/>
      <c r="L29" s="509"/>
      <c r="M29" s="509"/>
      <c r="N29" s="514"/>
    </row>
    <row r="30" spans="2:14">
      <c r="B30" s="22" t="s">
        <v>50</v>
      </c>
      <c r="C30" s="14"/>
      <c r="D30" s="14"/>
      <c r="E30" s="14"/>
      <c r="F30" s="14"/>
      <c r="G30" s="14"/>
      <c r="H30" s="14"/>
      <c r="I30" s="14"/>
    </row>
    <row r="31" spans="2:14">
      <c r="B31" s="14"/>
      <c r="C31" s="14"/>
      <c r="D31" s="14"/>
      <c r="E31" s="14"/>
      <c r="F31" s="14"/>
      <c r="G31" s="14"/>
      <c r="H31" s="14"/>
      <c r="I31" s="14"/>
    </row>
    <row r="32" spans="2:14">
      <c r="B32" s="817" t="str">
        <f>inputBudSum!B4</f>
        <v>Nicola Gregory</v>
      </c>
      <c r="C32" s="817"/>
      <c r="D32" s="14"/>
      <c r="E32" s="14"/>
      <c r="F32" s="14"/>
      <c r="G32" s="14"/>
      <c r="H32" s="14"/>
      <c r="I32" s="14"/>
    </row>
    <row r="33" spans="2:9">
      <c r="B33" s="815" t="str">
        <f>inputBudSum!B6</f>
        <v>Treasurer</v>
      </c>
      <c r="C33" s="816"/>
      <c r="D33" s="14"/>
      <c r="E33" s="14"/>
      <c r="F33" s="14"/>
      <c r="G33" s="14"/>
      <c r="H33" s="14"/>
      <c r="I33" s="14"/>
    </row>
    <row r="34" spans="2:9">
      <c r="B34" s="14"/>
      <c r="C34" s="14"/>
      <c r="D34" s="14"/>
      <c r="E34" s="14"/>
      <c r="F34" s="14"/>
      <c r="G34" s="14"/>
      <c r="H34" s="14"/>
      <c r="I34" s="14"/>
    </row>
    <row r="35" spans="2:9">
      <c r="B35" s="14"/>
      <c r="C35" s="52" t="s">
        <v>9</v>
      </c>
      <c r="D35" s="80">
        <v>9</v>
      </c>
      <c r="E35" s="14"/>
      <c r="F35" s="14"/>
      <c r="G35" s="14"/>
      <c r="H35" s="14"/>
      <c r="I35" s="14"/>
    </row>
    <row r="36" spans="2:9">
      <c r="B36" s="79"/>
      <c r="C36" s="79"/>
      <c r="D36" s="79"/>
    </row>
    <row r="38" spans="2:9">
      <c r="B38" s="79"/>
      <c r="C38" s="79"/>
      <c r="D38" s="79"/>
      <c r="E38" s="79"/>
      <c r="F38" s="79"/>
      <c r="G38" s="79"/>
      <c r="H38" s="79"/>
    </row>
    <row r="39" spans="2:9">
      <c r="I39" s="79"/>
    </row>
    <row r="60" spans="2:7">
      <c r="B60" s="79"/>
      <c r="C60" s="79"/>
      <c r="D60" s="79"/>
      <c r="E60" s="79"/>
      <c r="F60" s="79"/>
      <c r="G60" s="79"/>
    </row>
    <row r="67" spans="2:9">
      <c r="B67" s="79"/>
      <c r="C67" s="79"/>
      <c r="D67" s="79"/>
      <c r="E67" s="79"/>
      <c r="F67" s="79"/>
      <c r="G67" s="79"/>
      <c r="H67" s="79"/>
    </row>
    <row r="68" spans="2:9">
      <c r="I68" s="79"/>
    </row>
    <row r="73" spans="2:9">
      <c r="B73" s="79"/>
      <c r="C73" s="79"/>
      <c r="D73" s="79"/>
      <c r="E73" s="79"/>
      <c r="F73" s="79"/>
      <c r="G73" s="79"/>
      <c r="H73" s="79"/>
    </row>
    <row r="74" spans="2:9">
      <c r="I74" s="79"/>
    </row>
    <row r="94" spans="2:8">
      <c r="B94" s="79"/>
      <c r="C94" s="79"/>
      <c r="D94" s="79"/>
      <c r="E94" s="79"/>
      <c r="F94" s="79"/>
      <c r="G94" s="79"/>
      <c r="H94" s="79"/>
    </row>
  </sheetData>
  <mergeCells count="10">
    <mergeCell ref="B2:I2"/>
    <mergeCell ref="B33:C33"/>
    <mergeCell ref="B32:C32"/>
    <mergeCell ref="K24:N24"/>
    <mergeCell ref="K19:N19"/>
    <mergeCell ref="B4:I4"/>
    <mergeCell ref="H15:H17"/>
    <mergeCell ref="B7:I7"/>
    <mergeCell ref="B6:I6"/>
    <mergeCell ref="B5:I5"/>
  </mergeCells>
  <phoneticPr fontId="0" type="noConversion"/>
  <pageMargins left="0.9" right="0.9" top="0.96" bottom="0.5" header="0.41" footer="0.3"/>
  <pageSetup scale="50" orientation="portrait" blackAndWhite="1" horizontalDpi="300" verticalDpi="300" r:id="rId1"/>
  <headerFooter alignWithMargins="0">
    <oddHeader xml:space="preserve">&amp;RState of Kansas
Township
</oddHeader>
  </headerFooter>
</worksheet>
</file>

<file path=xl/worksheets/sheet17.xml><?xml version="1.0" encoding="utf-8"?>
<worksheet xmlns="http://schemas.openxmlformats.org/spreadsheetml/2006/main" xmlns:r="http://schemas.openxmlformats.org/officeDocument/2006/relationships">
  <sheetPr>
    <tabColor rgb="FFFF0000"/>
  </sheetPr>
  <dimension ref="B1:I108"/>
  <sheetViews>
    <sheetView zoomScaleNormal="100" workbookViewId="0">
      <selection activeCell="L34" sqref="L34"/>
    </sheetView>
  </sheetViews>
  <sheetFormatPr defaultRowHeight="15"/>
  <cols>
    <col min="1" max="1" width="2.296875" style="556" customWidth="1"/>
    <col min="2" max="4" width="8.796875" style="556"/>
    <col min="5" max="5" width="8.69921875" style="556" customWidth="1"/>
    <col min="6" max="6" width="8.796875" style="556"/>
    <col min="7" max="7" width="8.69921875" style="556" customWidth="1"/>
    <col min="8" max="16384" width="8.796875" style="556"/>
  </cols>
  <sheetData>
    <row r="1" spans="2:9" ht="15.75">
      <c r="B1" s="555"/>
      <c r="C1" s="555"/>
      <c r="D1" s="555"/>
      <c r="E1" s="555"/>
      <c r="F1" s="555"/>
      <c r="G1" s="555"/>
      <c r="H1" s="555"/>
      <c r="I1" s="555"/>
    </row>
    <row r="2" spans="2:9" ht="15.75">
      <c r="B2" s="828" t="s">
        <v>762</v>
      </c>
      <c r="C2" s="828"/>
      <c r="D2" s="828"/>
      <c r="E2" s="828"/>
      <c r="F2" s="828"/>
      <c r="G2" s="828"/>
      <c r="H2" s="828"/>
      <c r="I2" s="828"/>
    </row>
    <row r="3" spans="2:9" ht="15.75">
      <c r="B3" s="828" t="s">
        <v>763</v>
      </c>
      <c r="C3" s="828"/>
      <c r="D3" s="828"/>
      <c r="E3" s="828"/>
      <c r="F3" s="828"/>
      <c r="G3" s="828"/>
      <c r="H3" s="828"/>
      <c r="I3" s="828"/>
    </row>
    <row r="4" spans="2:9" ht="15.75">
      <c r="B4" s="557"/>
      <c r="C4" s="557"/>
      <c r="D4" s="557"/>
      <c r="E4" s="557"/>
      <c r="F4" s="557"/>
      <c r="G4" s="557"/>
      <c r="H4" s="557"/>
      <c r="I4" s="557"/>
    </row>
    <row r="5" spans="2:9" ht="15.75">
      <c r="B5" s="829" t="str">
        <f>CONCATENATE("Budgeted Year: ",inputPrYr!D5,"")</f>
        <v>Budgeted Year: 2013</v>
      </c>
      <c r="C5" s="829"/>
      <c r="D5" s="829"/>
      <c r="E5" s="829"/>
      <c r="F5" s="829"/>
      <c r="G5" s="829"/>
      <c r="H5" s="829"/>
      <c r="I5" s="829"/>
    </row>
    <row r="6" spans="2:9" ht="15.75">
      <c r="B6" s="558"/>
      <c r="C6" s="557"/>
      <c r="D6" s="557"/>
      <c r="E6" s="557"/>
      <c r="F6" s="557"/>
      <c r="G6" s="557"/>
      <c r="H6" s="557"/>
      <c r="I6" s="557"/>
    </row>
    <row r="7" spans="2:9" ht="15.75">
      <c r="B7" s="558" t="str">
        <f>CONCATENATE("Library found in: ",inputPrYr!D2,"")</f>
        <v>Library found in: Paxton Township</v>
      </c>
      <c r="C7" s="557"/>
      <c r="D7" s="557"/>
      <c r="E7" s="557"/>
      <c r="F7" s="557"/>
      <c r="G7" s="557"/>
      <c r="H7" s="557"/>
      <c r="I7" s="557"/>
    </row>
    <row r="8" spans="2:9" ht="15.75">
      <c r="B8" s="558" t="str">
        <f>inputPrYr!D3</f>
        <v>Logan County</v>
      </c>
      <c r="C8" s="557"/>
      <c r="D8" s="557"/>
      <c r="E8" s="557"/>
      <c r="F8" s="557"/>
      <c r="G8" s="557"/>
      <c r="H8" s="557"/>
      <c r="I8" s="557"/>
    </row>
    <row r="9" spans="2:9" ht="15.75">
      <c r="B9" s="557"/>
      <c r="C9" s="557"/>
      <c r="D9" s="557"/>
      <c r="E9" s="557"/>
      <c r="F9" s="557"/>
      <c r="G9" s="557"/>
      <c r="H9" s="557"/>
      <c r="I9" s="557"/>
    </row>
    <row r="10" spans="2:9" ht="39" customHeight="1">
      <c r="B10" s="830" t="s">
        <v>764</v>
      </c>
      <c r="C10" s="830"/>
      <c r="D10" s="830"/>
      <c r="E10" s="830"/>
      <c r="F10" s="830"/>
      <c r="G10" s="830"/>
      <c r="H10" s="830"/>
      <c r="I10" s="830"/>
    </row>
    <row r="11" spans="2:9" ht="15.75">
      <c r="B11" s="557"/>
      <c r="C11" s="557"/>
      <c r="D11" s="557"/>
      <c r="E11" s="557"/>
      <c r="F11" s="557"/>
      <c r="G11" s="557"/>
      <c r="H11" s="557"/>
      <c r="I11" s="557"/>
    </row>
    <row r="12" spans="2:9" ht="15.75">
      <c r="B12" s="559" t="s">
        <v>765</v>
      </c>
      <c r="C12" s="557"/>
      <c r="D12" s="557"/>
      <c r="E12" s="557"/>
      <c r="F12" s="557"/>
      <c r="G12" s="557"/>
      <c r="H12" s="557"/>
      <c r="I12" s="557"/>
    </row>
    <row r="13" spans="2:9" ht="15.75">
      <c r="B13" s="557"/>
      <c r="C13" s="557"/>
      <c r="D13" s="557"/>
      <c r="E13" s="560" t="s">
        <v>12</v>
      </c>
      <c r="F13" s="557"/>
      <c r="G13" s="560" t="s">
        <v>766</v>
      </c>
      <c r="H13" s="557"/>
      <c r="I13" s="557"/>
    </row>
    <row r="14" spans="2:9" ht="15.75">
      <c r="B14" s="557"/>
      <c r="C14" s="557"/>
      <c r="D14" s="557"/>
      <c r="E14" s="561">
        <f>inputPrYr!D5-1</f>
        <v>2012</v>
      </c>
      <c r="F14" s="557"/>
      <c r="G14" s="561">
        <f>inputPrYr!D5</f>
        <v>2013</v>
      </c>
      <c r="H14" s="557"/>
      <c r="I14" s="557"/>
    </row>
    <row r="15" spans="2:9" ht="15.75">
      <c r="B15" s="558" t="str">
        <f>'DebtSvs-Library'!B48</f>
        <v>Ad Valorem Tax</v>
      </c>
      <c r="C15" s="557"/>
      <c r="D15" s="557"/>
      <c r="E15" s="562">
        <f>'DebtSvs-Library'!D48</f>
        <v>0</v>
      </c>
      <c r="F15" s="557"/>
      <c r="G15" s="562">
        <f>'DebtSvs-Library'!E80</f>
        <v>0</v>
      </c>
      <c r="H15" s="557"/>
      <c r="I15" s="557"/>
    </row>
    <row r="16" spans="2:9" ht="15.75">
      <c r="B16" s="558" t="str">
        <f>'DebtSvs-Library'!B49</f>
        <v>Delinquent Tax</v>
      </c>
      <c r="C16" s="557"/>
      <c r="D16" s="557"/>
      <c r="E16" s="562">
        <f>'DebtSvs-Library'!D49</f>
        <v>0</v>
      </c>
      <c r="F16" s="557"/>
      <c r="G16" s="562">
        <f>'DebtSvs-Library'!E49</f>
        <v>0</v>
      </c>
      <c r="H16" s="557"/>
      <c r="I16" s="557"/>
    </row>
    <row r="17" spans="2:9" ht="15.75">
      <c r="B17" s="558" t="str">
        <f>'DebtSvs-Library'!B50</f>
        <v>Motor Vehicle Tax</v>
      </c>
      <c r="C17" s="557"/>
      <c r="D17" s="557"/>
      <c r="E17" s="562">
        <f>'DebtSvs-Library'!D50</f>
        <v>0</v>
      </c>
      <c r="F17" s="557"/>
      <c r="G17" s="562">
        <f>'DebtSvs-Library'!E50</f>
        <v>0</v>
      </c>
      <c r="H17" s="557"/>
      <c r="I17" s="557"/>
    </row>
    <row r="18" spans="2:9" ht="15.75">
      <c r="B18" s="558" t="str">
        <f>'DebtSvs-Library'!B51</f>
        <v>Recreational Vehicle Tax</v>
      </c>
      <c r="C18" s="557"/>
      <c r="D18" s="557"/>
      <c r="E18" s="562">
        <f>'DebtSvs-Library'!D51</f>
        <v>0</v>
      </c>
      <c r="F18" s="557"/>
      <c r="G18" s="562">
        <f>'DebtSvs-Library'!E51</f>
        <v>0</v>
      </c>
      <c r="H18" s="557"/>
      <c r="I18" s="557"/>
    </row>
    <row r="19" spans="2:9" ht="15.75">
      <c r="B19" s="558" t="str">
        <f>'DebtSvs-Library'!B52</f>
        <v>16/20M Vehicle Tax</v>
      </c>
      <c r="C19" s="557"/>
      <c r="D19" s="557"/>
      <c r="E19" s="562">
        <f>'DebtSvs-Library'!D52</f>
        <v>0</v>
      </c>
      <c r="F19" s="557"/>
      <c r="G19" s="562">
        <f>'DebtSvs-Library'!E52</f>
        <v>0</v>
      </c>
      <c r="H19" s="557"/>
      <c r="I19" s="557"/>
    </row>
    <row r="20" spans="2:9" ht="15.75">
      <c r="B20" s="557" t="s">
        <v>155</v>
      </c>
      <c r="C20" s="557"/>
      <c r="D20" s="557"/>
      <c r="E20" s="562">
        <v>0</v>
      </c>
      <c r="F20" s="557"/>
      <c r="G20" s="562">
        <v>0</v>
      </c>
      <c r="H20" s="557"/>
      <c r="I20" s="557"/>
    </row>
    <row r="21" spans="2:9" ht="15.75">
      <c r="B21" s="557"/>
      <c r="C21" s="557"/>
      <c r="D21" s="557"/>
      <c r="E21" s="562">
        <v>0</v>
      </c>
      <c r="F21" s="557"/>
      <c r="G21" s="562">
        <v>0</v>
      </c>
      <c r="H21" s="557"/>
      <c r="I21" s="557"/>
    </row>
    <row r="22" spans="2:9" ht="15.75">
      <c r="B22" s="557" t="s">
        <v>767</v>
      </c>
      <c r="C22" s="557"/>
      <c r="D22" s="557"/>
      <c r="E22" s="563">
        <f>SUM(E15:E21)</f>
        <v>0</v>
      </c>
      <c r="F22" s="557"/>
      <c r="G22" s="563">
        <f>SUM(G15:G21)</f>
        <v>0</v>
      </c>
      <c r="H22" s="557"/>
      <c r="I22" s="557"/>
    </row>
    <row r="23" spans="2:9" ht="15.75">
      <c r="B23" s="557" t="s">
        <v>768</v>
      </c>
      <c r="C23" s="557"/>
      <c r="D23" s="557"/>
      <c r="E23" s="564">
        <f>G22-E22</f>
        <v>0</v>
      </c>
      <c r="F23" s="557"/>
      <c r="G23" s="565"/>
      <c r="H23" s="557"/>
      <c r="I23" s="557"/>
    </row>
    <row r="24" spans="2:9" ht="15.75">
      <c r="B24" s="557" t="s">
        <v>769</v>
      </c>
      <c r="C24" s="557"/>
      <c r="D24" s="566" t="str">
        <f>IF((G22-E22)&gt;0,"Qualify","Not Qualify")</f>
        <v>Not Qualify</v>
      </c>
      <c r="E24" s="557"/>
      <c r="F24" s="557"/>
      <c r="G24" s="557"/>
      <c r="H24" s="557"/>
      <c r="I24" s="557"/>
    </row>
    <row r="25" spans="2:9" ht="15.75">
      <c r="B25" s="557"/>
      <c r="C25" s="557"/>
      <c r="D25" s="557"/>
      <c r="E25" s="557"/>
      <c r="F25" s="557"/>
      <c r="G25" s="557"/>
      <c r="H25" s="557"/>
      <c r="I25" s="557"/>
    </row>
    <row r="26" spans="2:9" ht="15.75">
      <c r="B26" s="559" t="s">
        <v>770</v>
      </c>
      <c r="C26" s="557"/>
      <c r="D26" s="557"/>
      <c r="E26" s="557"/>
      <c r="F26" s="557"/>
      <c r="G26" s="557"/>
      <c r="H26" s="557"/>
      <c r="I26" s="557"/>
    </row>
    <row r="27" spans="2:9" ht="15.75">
      <c r="B27" s="557" t="s">
        <v>771</v>
      </c>
      <c r="C27" s="557"/>
      <c r="D27" s="557"/>
      <c r="E27" s="562">
        <f>summ!E29</f>
        <v>3349814</v>
      </c>
      <c r="F27" s="557"/>
      <c r="G27" s="562">
        <f>summ!G29</f>
        <v>3461441</v>
      </c>
      <c r="H27" s="557"/>
      <c r="I27" s="557"/>
    </row>
    <row r="28" spans="2:9" ht="15.75">
      <c r="B28" s="557" t="s">
        <v>772</v>
      </c>
      <c r="C28" s="557"/>
      <c r="D28" s="557"/>
      <c r="E28" s="567" t="str">
        <f>IF(G27-E27&gt;0,"No","Yes")</f>
        <v>No</v>
      </c>
      <c r="F28" s="557"/>
      <c r="G28" s="557"/>
      <c r="H28" s="557"/>
      <c r="I28" s="557"/>
    </row>
    <row r="29" spans="2:9" ht="15.75">
      <c r="B29" s="557" t="s">
        <v>773</v>
      </c>
      <c r="C29" s="557"/>
      <c r="D29" s="557"/>
      <c r="E29" s="568" t="e">
        <f>summ!#REF!</f>
        <v>#REF!</v>
      </c>
      <c r="F29" s="557"/>
      <c r="G29" s="568" t="e">
        <f>summ!#REF!</f>
        <v>#REF!</v>
      </c>
      <c r="H29" s="557"/>
      <c r="I29" s="557"/>
    </row>
    <row r="30" spans="2:9" ht="15.75">
      <c r="B30" s="557" t="s">
        <v>774</v>
      </c>
      <c r="C30" s="557"/>
      <c r="D30" s="557"/>
      <c r="E30" s="569" t="e">
        <f>G29-E29</f>
        <v>#REF!</v>
      </c>
      <c r="F30" s="557"/>
      <c r="G30" s="557"/>
      <c r="H30" s="557"/>
      <c r="I30" s="557"/>
    </row>
    <row r="31" spans="2:9" ht="15.75">
      <c r="B31" s="557" t="s">
        <v>769</v>
      </c>
      <c r="C31" s="557"/>
      <c r="D31" s="570" t="e">
        <f>IF(E30&gt;=0,"Qualify","Not Qualify")</f>
        <v>#REF!</v>
      </c>
      <c r="E31" s="557"/>
      <c r="F31" s="557"/>
      <c r="G31" s="557"/>
      <c r="H31" s="557"/>
      <c r="I31" s="557"/>
    </row>
    <row r="32" spans="2:9" ht="15.75">
      <c r="B32" s="557"/>
      <c r="C32" s="557"/>
      <c r="D32" s="557"/>
      <c r="E32" s="557"/>
      <c r="F32" s="557"/>
      <c r="G32" s="557"/>
      <c r="H32" s="557"/>
      <c r="I32" s="557"/>
    </row>
    <row r="33" spans="2:9" ht="15.75">
      <c r="B33" s="557" t="s">
        <v>775</v>
      </c>
      <c r="C33" s="557"/>
      <c r="D33" s="557"/>
      <c r="E33" s="557"/>
      <c r="F33" s="571" t="e">
        <f>IF(D24="Not Qualify",IF(D31="Not Qualify",IF(D31="Not Qualify","Not Qualify","Qualify"),"Qualify"),"Qualify")</f>
        <v>#REF!</v>
      </c>
      <c r="G33" s="557"/>
      <c r="H33" s="557"/>
      <c r="I33" s="557"/>
    </row>
    <row r="34" spans="2:9" ht="15.75">
      <c r="B34" s="557"/>
      <c r="C34" s="557"/>
      <c r="D34" s="557"/>
      <c r="E34" s="557"/>
      <c r="F34" s="557"/>
      <c r="G34" s="557"/>
      <c r="H34" s="557"/>
      <c r="I34" s="557"/>
    </row>
    <row r="35" spans="2:9" ht="15.75">
      <c r="B35" s="557"/>
      <c r="C35" s="557"/>
      <c r="D35" s="557"/>
      <c r="E35" s="557"/>
      <c r="F35" s="557"/>
      <c r="G35" s="557"/>
      <c r="H35" s="557"/>
      <c r="I35" s="557"/>
    </row>
    <row r="36" spans="2:9" ht="37.5" customHeight="1">
      <c r="B36" s="830" t="s">
        <v>776</v>
      </c>
      <c r="C36" s="830"/>
      <c r="D36" s="830"/>
      <c r="E36" s="830"/>
      <c r="F36" s="830"/>
      <c r="G36" s="830"/>
      <c r="H36" s="830"/>
      <c r="I36" s="830"/>
    </row>
    <row r="37" spans="2:9" ht="15.75">
      <c r="B37" s="557"/>
      <c r="C37" s="557"/>
      <c r="D37" s="557"/>
      <c r="E37" s="557"/>
      <c r="F37" s="557"/>
      <c r="G37" s="557"/>
      <c r="H37" s="557"/>
      <c r="I37" s="557"/>
    </row>
    <row r="38" spans="2:9" ht="15.75">
      <c r="B38" s="557"/>
      <c r="C38" s="557"/>
      <c r="D38" s="557"/>
      <c r="E38" s="557"/>
      <c r="F38" s="557"/>
      <c r="G38" s="557"/>
      <c r="H38" s="557"/>
      <c r="I38" s="557"/>
    </row>
    <row r="39" spans="2:9" ht="15.75">
      <c r="B39" s="557"/>
      <c r="C39" s="557"/>
      <c r="D39" s="557"/>
      <c r="E39" s="557"/>
      <c r="F39" s="557"/>
      <c r="G39" s="557"/>
      <c r="H39" s="557"/>
      <c r="I39" s="557"/>
    </row>
    <row r="40" spans="2:9" ht="15.75">
      <c r="B40" s="557"/>
      <c r="C40" s="557"/>
      <c r="D40" s="557"/>
      <c r="E40" s="572" t="s">
        <v>777</v>
      </c>
      <c r="F40" s="573">
        <v>6</v>
      </c>
      <c r="G40" s="557"/>
      <c r="H40" s="557"/>
      <c r="I40" s="557"/>
    </row>
    <row r="41" spans="2:9" ht="15.75">
      <c r="B41" s="557"/>
      <c r="C41" s="557"/>
      <c r="D41" s="557"/>
      <c r="E41" s="557"/>
      <c r="F41" s="557"/>
      <c r="G41" s="557"/>
      <c r="H41" s="557"/>
      <c r="I41" s="557"/>
    </row>
    <row r="42" spans="2:9" ht="15.75">
      <c r="B42" s="557"/>
      <c r="C42" s="557"/>
      <c r="D42" s="557"/>
      <c r="E42" s="557"/>
      <c r="F42" s="557"/>
      <c r="G42" s="557"/>
      <c r="H42" s="557"/>
      <c r="I42" s="557"/>
    </row>
    <row r="43" spans="2:9" ht="15.75">
      <c r="B43" s="826" t="s">
        <v>778</v>
      </c>
      <c r="C43" s="827"/>
      <c r="D43" s="827"/>
      <c r="E43" s="827"/>
      <c r="F43" s="827"/>
      <c r="G43" s="827"/>
      <c r="H43" s="827"/>
      <c r="I43" s="827"/>
    </row>
    <row r="44" spans="2:9" ht="15.75">
      <c r="B44" s="557"/>
      <c r="C44" s="557"/>
      <c r="D44" s="557"/>
      <c r="E44" s="557"/>
      <c r="F44" s="557"/>
      <c r="G44" s="557"/>
      <c r="H44" s="557"/>
      <c r="I44" s="557"/>
    </row>
    <row r="45" spans="2:9" ht="15.75">
      <c r="B45" s="574" t="s">
        <v>779</v>
      </c>
      <c r="C45" s="557"/>
      <c r="D45" s="557"/>
      <c r="E45" s="557"/>
      <c r="F45" s="557"/>
      <c r="G45" s="557"/>
      <c r="H45" s="557"/>
      <c r="I45" s="557"/>
    </row>
    <row r="46" spans="2:9" ht="15.75">
      <c r="B46" s="574" t="str">
        <f>CONCATENATE("sources in your ",G14," library fund is not equal to or greater than the amount from the same")</f>
        <v>sources in your 2013 library fund is not equal to or greater than the amount from the same</v>
      </c>
      <c r="C46" s="557"/>
      <c r="D46" s="557"/>
      <c r="E46" s="557"/>
      <c r="F46" s="557"/>
      <c r="G46" s="557"/>
      <c r="H46" s="557"/>
      <c r="I46" s="557"/>
    </row>
    <row r="47" spans="2:9" ht="15.75">
      <c r="B47" s="574" t="str">
        <f>CONCATENATE("sources in ",E14,".")</f>
        <v>sources in 2012.</v>
      </c>
      <c r="C47" s="555"/>
      <c r="D47" s="555"/>
      <c r="E47" s="555"/>
      <c r="F47" s="555"/>
      <c r="G47" s="555"/>
      <c r="H47" s="555"/>
      <c r="I47" s="555"/>
    </row>
    <row r="48" spans="2:9" ht="15.75">
      <c r="B48" s="555"/>
      <c r="C48" s="555"/>
      <c r="D48" s="555"/>
      <c r="E48" s="555"/>
      <c r="F48" s="555"/>
      <c r="G48" s="555"/>
      <c r="H48" s="555"/>
      <c r="I48" s="555"/>
    </row>
    <row r="49" spans="2:9" ht="15.75">
      <c r="B49" s="574" t="s">
        <v>780</v>
      </c>
      <c r="C49" s="574"/>
      <c r="D49" s="575"/>
      <c r="E49" s="575"/>
      <c r="F49" s="575"/>
      <c r="G49" s="575"/>
      <c r="H49" s="575"/>
      <c r="I49" s="575"/>
    </row>
    <row r="50" spans="2:9" ht="15.75">
      <c r="B50" s="574" t="s">
        <v>781</v>
      </c>
      <c r="C50" s="574"/>
      <c r="D50" s="575"/>
      <c r="E50" s="575"/>
      <c r="F50" s="575"/>
      <c r="G50" s="575"/>
      <c r="H50" s="575"/>
      <c r="I50" s="575"/>
    </row>
    <row r="51" spans="2:9" ht="15.75">
      <c r="B51" s="574" t="s">
        <v>782</v>
      </c>
      <c r="C51" s="574"/>
      <c r="D51" s="575"/>
      <c r="E51" s="575"/>
      <c r="F51" s="575"/>
      <c r="G51" s="575"/>
      <c r="H51" s="575"/>
      <c r="I51" s="575"/>
    </row>
    <row r="52" spans="2:9">
      <c r="B52" s="575"/>
      <c r="C52" s="575"/>
      <c r="D52" s="575"/>
      <c r="E52" s="575"/>
      <c r="F52" s="575"/>
      <c r="G52" s="575"/>
      <c r="H52" s="575"/>
      <c r="I52" s="575"/>
    </row>
    <row r="53" spans="2:9" ht="15.75">
      <c r="B53" s="576" t="s">
        <v>783</v>
      </c>
      <c r="C53" s="575"/>
      <c r="D53" s="575"/>
      <c r="E53" s="575"/>
      <c r="F53" s="575"/>
      <c r="G53" s="575"/>
      <c r="H53" s="575"/>
      <c r="I53" s="575"/>
    </row>
    <row r="54" spans="2:9">
      <c r="B54" s="575"/>
      <c r="C54" s="575"/>
      <c r="D54" s="575"/>
      <c r="E54" s="575"/>
      <c r="F54" s="575"/>
      <c r="G54" s="575"/>
      <c r="H54" s="575"/>
      <c r="I54" s="575"/>
    </row>
    <row r="55" spans="2:9" ht="15.75">
      <c r="B55" s="574" t="s">
        <v>784</v>
      </c>
      <c r="C55" s="575"/>
      <c r="D55" s="575"/>
      <c r="E55" s="575"/>
      <c r="F55" s="575"/>
      <c r="G55" s="575"/>
      <c r="H55" s="575"/>
      <c r="I55" s="575"/>
    </row>
    <row r="56" spans="2:9" ht="15.75">
      <c r="B56" s="574" t="s">
        <v>785</v>
      </c>
      <c r="C56" s="575"/>
      <c r="D56" s="575"/>
      <c r="E56" s="575"/>
      <c r="F56" s="575"/>
      <c r="G56" s="575"/>
      <c r="H56" s="575"/>
      <c r="I56" s="575"/>
    </row>
    <row r="57" spans="2:9">
      <c r="B57" s="575"/>
      <c r="C57" s="575"/>
      <c r="D57" s="575"/>
      <c r="E57" s="575"/>
      <c r="F57" s="575"/>
      <c r="G57" s="575"/>
      <c r="H57" s="575"/>
      <c r="I57" s="575"/>
    </row>
    <row r="58" spans="2:9" ht="15.75">
      <c r="B58" s="576" t="s">
        <v>786</v>
      </c>
      <c r="C58" s="574"/>
      <c r="D58" s="574"/>
      <c r="E58" s="574"/>
      <c r="F58" s="574"/>
      <c r="G58" s="575"/>
      <c r="H58" s="575"/>
      <c r="I58" s="575"/>
    </row>
    <row r="59" spans="2:9" ht="15.75">
      <c r="B59" s="574"/>
      <c r="C59" s="574"/>
      <c r="D59" s="574"/>
      <c r="E59" s="574"/>
      <c r="F59" s="574"/>
      <c r="G59" s="575"/>
      <c r="H59" s="575"/>
      <c r="I59" s="575"/>
    </row>
    <row r="60" spans="2:9" ht="15.75">
      <c r="B60" s="574" t="s">
        <v>787</v>
      </c>
      <c r="C60" s="574"/>
      <c r="D60" s="574"/>
      <c r="E60" s="574"/>
      <c r="F60" s="574"/>
      <c r="G60" s="575"/>
      <c r="H60" s="575"/>
      <c r="I60" s="575"/>
    </row>
    <row r="61" spans="2:9" ht="15.75">
      <c r="B61" s="574" t="s">
        <v>788</v>
      </c>
      <c r="C61" s="574"/>
      <c r="D61" s="574"/>
      <c r="E61" s="574"/>
      <c r="F61" s="574"/>
      <c r="G61" s="575"/>
      <c r="H61" s="575"/>
      <c r="I61" s="575"/>
    </row>
    <row r="62" spans="2:9" ht="15.75">
      <c r="B62" s="574" t="s">
        <v>789</v>
      </c>
      <c r="C62" s="574"/>
      <c r="D62" s="574"/>
      <c r="E62" s="574"/>
      <c r="F62" s="574"/>
      <c r="G62" s="575"/>
      <c r="H62" s="575"/>
      <c r="I62" s="575"/>
    </row>
    <row r="63" spans="2:9" ht="15.75">
      <c r="B63" s="574" t="s">
        <v>790</v>
      </c>
      <c r="C63" s="574"/>
      <c r="D63" s="574"/>
      <c r="E63" s="574"/>
      <c r="F63" s="574"/>
      <c r="G63" s="575"/>
      <c r="H63" s="575"/>
      <c r="I63" s="575"/>
    </row>
    <row r="64" spans="2:9">
      <c r="B64" s="577"/>
      <c r="C64" s="577"/>
      <c r="D64" s="577"/>
      <c r="E64" s="577"/>
      <c r="F64" s="577"/>
      <c r="G64" s="575"/>
      <c r="H64" s="575"/>
      <c r="I64" s="575"/>
    </row>
    <row r="65" spans="2:9" ht="15.75">
      <c r="B65" s="574" t="s">
        <v>791</v>
      </c>
      <c r="C65" s="577"/>
      <c r="D65" s="577"/>
      <c r="E65" s="577"/>
      <c r="F65" s="577"/>
      <c r="G65" s="575"/>
      <c r="H65" s="575"/>
      <c r="I65" s="575"/>
    </row>
    <row r="66" spans="2:9" ht="15.75">
      <c r="B66" s="574" t="s">
        <v>792</v>
      </c>
      <c r="C66" s="577"/>
      <c r="D66" s="577"/>
      <c r="E66" s="577"/>
      <c r="F66" s="577"/>
      <c r="G66" s="575"/>
      <c r="H66" s="575"/>
      <c r="I66" s="575"/>
    </row>
    <row r="67" spans="2:9">
      <c r="B67" s="577"/>
      <c r="C67" s="577"/>
      <c r="D67" s="577"/>
      <c r="E67" s="577"/>
      <c r="F67" s="577"/>
      <c r="G67" s="575"/>
      <c r="H67" s="575"/>
      <c r="I67" s="575"/>
    </row>
    <row r="68" spans="2:9" ht="15.75">
      <c r="B68" s="574" t="s">
        <v>793</v>
      </c>
      <c r="C68" s="577"/>
      <c r="D68" s="577"/>
      <c r="E68" s="577"/>
      <c r="F68" s="577"/>
      <c r="G68" s="575"/>
      <c r="H68" s="575"/>
      <c r="I68" s="575"/>
    </row>
    <row r="69" spans="2:9" ht="15.75">
      <c r="B69" s="574" t="s">
        <v>794</v>
      </c>
      <c r="C69" s="577"/>
      <c r="D69" s="577"/>
      <c r="E69" s="577"/>
      <c r="F69" s="577"/>
      <c r="G69" s="575"/>
      <c r="H69" s="575"/>
      <c r="I69" s="575"/>
    </row>
    <row r="70" spans="2:9">
      <c r="B70" s="577"/>
      <c r="C70" s="577"/>
      <c r="D70" s="577"/>
      <c r="E70" s="577"/>
      <c r="F70" s="577"/>
      <c r="G70" s="575"/>
      <c r="H70" s="575"/>
      <c r="I70" s="575"/>
    </row>
    <row r="71" spans="2:9" ht="15.75">
      <c r="B71" s="576" t="s">
        <v>795</v>
      </c>
      <c r="C71" s="577"/>
      <c r="D71" s="577"/>
      <c r="E71" s="577"/>
      <c r="F71" s="577"/>
      <c r="G71" s="575"/>
      <c r="H71" s="575"/>
      <c r="I71" s="575"/>
    </row>
    <row r="72" spans="2:9">
      <c r="B72" s="577"/>
      <c r="C72" s="577"/>
      <c r="D72" s="577"/>
      <c r="E72" s="577"/>
      <c r="F72" s="577"/>
      <c r="G72" s="575"/>
      <c r="H72" s="575"/>
      <c r="I72" s="575"/>
    </row>
    <row r="73" spans="2:9" ht="15.75">
      <c r="B73" s="574" t="s">
        <v>796</v>
      </c>
      <c r="C73" s="577"/>
      <c r="D73" s="577"/>
      <c r="E73" s="577"/>
      <c r="F73" s="577"/>
      <c r="G73" s="575"/>
      <c r="H73" s="575"/>
      <c r="I73" s="575"/>
    </row>
    <row r="74" spans="2:9" ht="15.75">
      <c r="B74" s="574" t="s">
        <v>797</v>
      </c>
      <c r="C74" s="577"/>
      <c r="D74" s="577"/>
      <c r="E74" s="577"/>
      <c r="F74" s="577"/>
      <c r="G74" s="575"/>
      <c r="H74" s="575"/>
      <c r="I74" s="575"/>
    </row>
    <row r="75" spans="2:9">
      <c r="B75" s="577"/>
      <c r="C75" s="577"/>
      <c r="D75" s="577"/>
      <c r="E75" s="577"/>
      <c r="F75" s="577"/>
      <c r="G75" s="575"/>
      <c r="H75" s="575"/>
      <c r="I75" s="575"/>
    </row>
    <row r="76" spans="2:9" ht="15.75">
      <c r="B76" s="576" t="s">
        <v>798</v>
      </c>
      <c r="C76" s="577"/>
      <c r="D76" s="577"/>
      <c r="E76" s="577"/>
      <c r="F76" s="577"/>
      <c r="G76" s="575"/>
      <c r="H76" s="575"/>
      <c r="I76" s="575"/>
    </row>
    <row r="77" spans="2:9">
      <c r="B77" s="577"/>
      <c r="C77" s="577"/>
      <c r="D77" s="577"/>
      <c r="E77" s="577"/>
      <c r="F77" s="577"/>
      <c r="G77" s="575"/>
      <c r="H77" s="575"/>
      <c r="I77" s="575"/>
    </row>
    <row r="78" spans="2:9" ht="15.75">
      <c r="B78" s="574" t="str">
        <f>CONCATENATE("If the ",G14," municipal budget has not been published and has not been submitted to the County")</f>
        <v>If the 2013 municipal budget has not been published and has not been submitted to the County</v>
      </c>
      <c r="C78" s="577"/>
      <c r="D78" s="577"/>
      <c r="E78" s="577"/>
      <c r="F78" s="577"/>
      <c r="G78" s="575"/>
      <c r="H78" s="575"/>
      <c r="I78" s="575"/>
    </row>
    <row r="79" spans="2:9" ht="15.75">
      <c r="B79" s="574" t="s">
        <v>799</v>
      </c>
      <c r="C79" s="577"/>
      <c r="D79" s="577"/>
      <c r="E79" s="577"/>
      <c r="F79" s="577"/>
      <c r="G79" s="575"/>
      <c r="H79" s="575"/>
      <c r="I79" s="575"/>
    </row>
    <row r="80" spans="2:9">
      <c r="B80" s="577"/>
      <c r="C80" s="577"/>
      <c r="D80" s="577"/>
      <c r="E80" s="577"/>
      <c r="F80" s="577"/>
      <c r="G80" s="575"/>
      <c r="H80" s="575"/>
      <c r="I80" s="575"/>
    </row>
    <row r="81" spans="2:9" ht="15.75">
      <c r="B81" s="576" t="s">
        <v>386</v>
      </c>
      <c r="C81" s="577"/>
      <c r="D81" s="577"/>
      <c r="E81" s="577"/>
      <c r="F81" s="577"/>
      <c r="G81" s="575"/>
      <c r="H81" s="575"/>
      <c r="I81" s="575"/>
    </row>
    <row r="82" spans="2:9">
      <c r="B82" s="577"/>
      <c r="C82" s="577"/>
      <c r="D82" s="577"/>
      <c r="E82" s="577"/>
      <c r="F82" s="577"/>
      <c r="G82" s="575"/>
      <c r="H82" s="575"/>
      <c r="I82" s="575"/>
    </row>
    <row r="83" spans="2:9" ht="15.75">
      <c r="B83" s="574" t="s">
        <v>800</v>
      </c>
      <c r="C83" s="577"/>
      <c r="D83" s="577"/>
      <c r="E83" s="577"/>
      <c r="F83" s="577"/>
      <c r="G83" s="575"/>
      <c r="H83" s="575"/>
      <c r="I83" s="575"/>
    </row>
    <row r="84" spans="2:9" ht="15.75">
      <c r="B84" s="574" t="str">
        <f>CONCATENATE("Budget Year ",G14," is equal to or greater than that for Current Year Estimate ",E14,".")</f>
        <v>Budget Year 2013 is equal to or greater than that for Current Year Estimate 2012.</v>
      </c>
      <c r="C84" s="577"/>
      <c r="D84" s="577"/>
      <c r="E84" s="577"/>
      <c r="F84" s="577"/>
      <c r="G84" s="575"/>
      <c r="H84" s="575"/>
      <c r="I84" s="575"/>
    </row>
    <row r="85" spans="2:9">
      <c r="B85" s="577"/>
      <c r="C85" s="577"/>
      <c r="D85" s="577"/>
      <c r="E85" s="577"/>
      <c r="F85" s="577"/>
      <c r="G85" s="575"/>
      <c r="H85" s="575"/>
      <c r="I85" s="575"/>
    </row>
    <row r="86" spans="2:9" ht="15.75">
      <c r="B86" s="574" t="s">
        <v>801</v>
      </c>
      <c r="C86" s="577"/>
      <c r="D86" s="577"/>
      <c r="E86" s="577"/>
      <c r="F86" s="577"/>
      <c r="G86" s="575"/>
      <c r="H86" s="575"/>
      <c r="I86" s="575"/>
    </row>
    <row r="87" spans="2:9" ht="15.75">
      <c r="B87" s="574" t="s">
        <v>802</v>
      </c>
      <c r="C87" s="577"/>
      <c r="D87" s="577"/>
      <c r="E87" s="577"/>
      <c r="F87" s="577"/>
      <c r="G87" s="575"/>
      <c r="H87" s="575"/>
      <c r="I87" s="575"/>
    </row>
    <row r="88" spans="2:9" ht="15.75">
      <c r="B88" s="574" t="s">
        <v>803</v>
      </c>
      <c r="C88" s="577"/>
      <c r="D88" s="577"/>
      <c r="E88" s="577"/>
      <c r="F88" s="577"/>
      <c r="G88" s="575"/>
      <c r="H88" s="575"/>
      <c r="I88" s="575"/>
    </row>
    <row r="89" spans="2:9" ht="15.75">
      <c r="B89" s="574" t="str">
        <f>CONCATENATE("purpose for the previous (",E14,") year.")</f>
        <v>purpose for the previous (2012) year.</v>
      </c>
      <c r="C89" s="577"/>
      <c r="D89" s="577"/>
      <c r="E89" s="577"/>
      <c r="F89" s="577"/>
      <c r="G89" s="575"/>
      <c r="H89" s="575"/>
      <c r="I89" s="575"/>
    </row>
    <row r="90" spans="2:9">
      <c r="B90" s="577"/>
      <c r="C90" s="577"/>
      <c r="D90" s="577"/>
      <c r="E90" s="577"/>
      <c r="F90" s="577"/>
      <c r="G90" s="575"/>
      <c r="H90" s="575"/>
      <c r="I90" s="575"/>
    </row>
    <row r="91" spans="2:9" ht="15.75">
      <c r="B91" s="574" t="str">
        <f>CONCATENATE("Next, look to see if delinquent tax for ",G14," is budgeted. Often this line is budgeted at $0 or left")</f>
        <v>Next, look to see if delinquent tax for 2013 is budgeted. Often this line is budgeted at $0 or left</v>
      </c>
      <c r="C91" s="577"/>
      <c r="D91" s="577"/>
      <c r="E91" s="577"/>
      <c r="F91" s="577"/>
      <c r="G91" s="575"/>
      <c r="H91" s="575"/>
      <c r="I91" s="575"/>
    </row>
    <row r="92" spans="2:9" ht="15.75">
      <c r="B92" s="574" t="s">
        <v>804</v>
      </c>
      <c r="C92" s="577"/>
      <c r="D92" s="577"/>
      <c r="E92" s="577"/>
      <c r="F92" s="577"/>
      <c r="G92" s="575"/>
      <c r="H92" s="575"/>
      <c r="I92" s="575"/>
    </row>
    <row r="93" spans="2:9" ht="15.75">
      <c r="B93" s="574" t="s">
        <v>805</v>
      </c>
      <c r="C93" s="577"/>
      <c r="D93" s="577"/>
      <c r="E93" s="577"/>
      <c r="F93" s="577"/>
      <c r="G93" s="575"/>
      <c r="H93" s="575"/>
      <c r="I93" s="575"/>
    </row>
    <row r="94" spans="2:9" ht="15.75">
      <c r="B94" s="574" t="s">
        <v>806</v>
      </c>
      <c r="C94" s="577"/>
      <c r="D94" s="577"/>
      <c r="E94" s="577"/>
      <c r="F94" s="577"/>
      <c r="G94" s="575"/>
      <c r="H94" s="575"/>
      <c r="I94" s="575"/>
    </row>
    <row r="95" spans="2:9">
      <c r="B95" s="577"/>
      <c r="C95" s="577"/>
      <c r="D95" s="577"/>
      <c r="E95" s="577"/>
      <c r="F95" s="577"/>
      <c r="G95" s="575"/>
      <c r="H95" s="575"/>
      <c r="I95" s="575"/>
    </row>
    <row r="96" spans="2:9" ht="15.75">
      <c r="B96" s="576" t="s">
        <v>807</v>
      </c>
      <c r="C96" s="577"/>
      <c r="D96" s="577"/>
      <c r="E96" s="577"/>
      <c r="F96" s="577"/>
      <c r="G96" s="575"/>
      <c r="H96" s="575"/>
      <c r="I96" s="575"/>
    </row>
    <row r="97" spans="2:9">
      <c r="B97" s="577"/>
      <c r="C97" s="577"/>
      <c r="D97" s="577"/>
      <c r="E97" s="577"/>
      <c r="F97" s="577"/>
      <c r="G97" s="575"/>
      <c r="H97" s="575"/>
      <c r="I97" s="575"/>
    </row>
    <row r="98" spans="2:9" ht="15.75">
      <c r="B98" s="574" t="s">
        <v>808</v>
      </c>
      <c r="C98" s="577"/>
      <c r="D98" s="577"/>
      <c r="E98" s="577"/>
      <c r="F98" s="577"/>
      <c r="G98" s="575"/>
      <c r="H98" s="575"/>
      <c r="I98" s="575"/>
    </row>
    <row r="99" spans="2:9" ht="15.75">
      <c r="B99" s="574" t="s">
        <v>809</v>
      </c>
      <c r="C99" s="577"/>
      <c r="D99" s="577"/>
      <c r="E99" s="577"/>
      <c r="F99" s="577"/>
      <c r="G99" s="575"/>
      <c r="H99" s="575"/>
      <c r="I99" s="575"/>
    </row>
    <row r="100" spans="2:9">
      <c r="B100" s="577"/>
      <c r="C100" s="577"/>
      <c r="D100" s="577"/>
      <c r="E100" s="577"/>
      <c r="F100" s="577"/>
      <c r="G100" s="575"/>
      <c r="H100" s="575"/>
      <c r="I100" s="575"/>
    </row>
    <row r="101" spans="2:9" ht="15.75">
      <c r="B101" s="574" t="s">
        <v>810</v>
      </c>
      <c r="C101" s="577"/>
      <c r="D101" s="577"/>
      <c r="E101" s="577"/>
      <c r="F101" s="577"/>
      <c r="G101" s="575"/>
      <c r="H101" s="575"/>
      <c r="I101" s="575"/>
    </row>
    <row r="102" spans="2:9" ht="15.75">
      <c r="B102" s="574" t="s">
        <v>811</v>
      </c>
      <c r="C102" s="577"/>
      <c r="D102" s="577"/>
      <c r="E102" s="577"/>
      <c r="F102" s="577"/>
      <c r="G102" s="575"/>
      <c r="H102" s="575"/>
      <c r="I102" s="575"/>
    </row>
    <row r="103" spans="2:9" ht="15.75">
      <c r="B103" s="574" t="s">
        <v>812</v>
      </c>
      <c r="C103" s="577"/>
      <c r="D103" s="577"/>
      <c r="E103" s="577"/>
      <c r="F103" s="577"/>
      <c r="G103" s="575"/>
      <c r="H103" s="575"/>
      <c r="I103" s="575"/>
    </row>
    <row r="104" spans="2:9" ht="15.75">
      <c r="B104" s="574" t="s">
        <v>813</v>
      </c>
      <c r="C104" s="577"/>
      <c r="D104" s="577"/>
      <c r="E104" s="577"/>
      <c r="F104" s="577"/>
      <c r="G104" s="575"/>
      <c r="H104" s="575"/>
      <c r="I104" s="575"/>
    </row>
    <row r="105" spans="2:9" ht="15.75">
      <c r="B105" s="741" t="s">
        <v>921</v>
      </c>
      <c r="C105" s="742"/>
      <c r="D105" s="742"/>
      <c r="E105" s="742"/>
      <c r="F105" s="742"/>
      <c r="G105" s="575"/>
      <c r="H105" s="575"/>
      <c r="I105" s="575"/>
    </row>
    <row r="108" spans="2:9">
      <c r="G108" s="578"/>
    </row>
  </sheetData>
  <sheetProtection sheet="1"/>
  <mergeCells count="6">
    <mergeCell ref="B43:I43"/>
    <mergeCell ref="B2:I2"/>
    <mergeCell ref="B3:I3"/>
    <mergeCell ref="B5:I5"/>
    <mergeCell ref="B10:I10"/>
    <mergeCell ref="B36:I36"/>
  </mergeCells>
  <hyperlinks>
    <hyperlink ref="B105" r:id="rId1" display="mailto:peter.haxton@library.ks.gov"/>
  </hyperlinks>
  <pageMargins left="0.7" right="0.7" top="0.75" bottom="0.75" header="0.25" footer="0.25"/>
  <pageSetup scale="80" orientation="portrait" blackAndWhite="1" r:id="rId2"/>
  <headerFooter>
    <oddHeader>&amp;RState of Kansas
City</oddHeader>
  </headerFooter>
  <rowBreaks count="1" manualBreakCount="1">
    <brk id="40" max="16383" man="1"/>
  </rowBreaks>
</worksheet>
</file>

<file path=xl/worksheets/sheet18.xml><?xml version="1.0" encoding="utf-8"?>
<worksheet xmlns="http://schemas.openxmlformats.org/spreadsheetml/2006/main" xmlns:r="http://schemas.openxmlformats.org/officeDocument/2006/relationships">
  <sheetPr>
    <pageSetUpPr fitToPage="1"/>
  </sheetPr>
  <dimension ref="B1:K95"/>
  <sheetViews>
    <sheetView zoomScaleNormal="100" workbookViewId="0">
      <selection activeCell="C15" sqref="C15:D15"/>
    </sheetView>
  </sheetViews>
  <sheetFormatPr defaultRowHeight="15.7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c r="B1" s="13" t="str">
        <f>inputPrYr!D2</f>
        <v>Paxton Township</v>
      </c>
      <c r="C1" s="14"/>
      <c r="D1" s="14"/>
      <c r="E1" s="15">
        <f>inputPrYr!D5</f>
        <v>2013</v>
      </c>
    </row>
    <row r="2" spans="2:5">
      <c r="B2" s="17"/>
      <c r="C2" s="14"/>
      <c r="D2" s="60"/>
      <c r="E2" s="81"/>
    </row>
    <row r="3" spans="2:5">
      <c r="B3" s="533" t="s">
        <v>714</v>
      </c>
      <c r="C3" s="65"/>
      <c r="D3" s="65"/>
      <c r="E3" s="65"/>
    </row>
    <row r="4" spans="2:5">
      <c r="B4" s="22" t="s">
        <v>10</v>
      </c>
      <c r="C4" s="385" t="s">
        <v>11</v>
      </c>
      <c r="D4" s="388" t="s">
        <v>12</v>
      </c>
      <c r="E4" s="23" t="s">
        <v>13</v>
      </c>
    </row>
    <row r="5" spans="2:5">
      <c r="B5" s="397">
        <f>inputPrYr!B22</f>
        <v>0</v>
      </c>
      <c r="C5" s="386" t="str">
        <f>gen!C5</f>
        <v>Actual for 2011</v>
      </c>
      <c r="D5" s="386" t="str">
        <f>gen!D5</f>
        <v>Estimate for 2012</v>
      </c>
      <c r="E5" s="26" t="str">
        <f>gen!E5</f>
        <v>Year for 2013</v>
      </c>
    </row>
    <row r="6" spans="2:5">
      <c r="B6" s="27" t="s">
        <v>114</v>
      </c>
      <c r="C6" s="29"/>
      <c r="D6" s="387">
        <f>C34</f>
        <v>0</v>
      </c>
      <c r="E6" s="32">
        <f>D34</f>
        <v>0</v>
      </c>
    </row>
    <row r="7" spans="2:5">
      <c r="B7" s="27" t="s">
        <v>116</v>
      </c>
      <c r="C7" s="387"/>
      <c r="D7" s="387"/>
      <c r="E7" s="33"/>
    </row>
    <row r="8" spans="2:5">
      <c r="B8" s="27" t="s">
        <v>16</v>
      </c>
      <c r="C8" s="29"/>
      <c r="D8" s="387">
        <f>IF(inputPrYr!H15&gt;0,inputPrYr!G22,inputPrYr!E22)</f>
        <v>0</v>
      </c>
      <c r="E8" s="33" t="s">
        <v>284</v>
      </c>
    </row>
    <row r="9" spans="2:5">
      <c r="B9" s="27" t="s">
        <v>17</v>
      </c>
      <c r="C9" s="29"/>
      <c r="D9" s="29"/>
      <c r="E9" s="34"/>
    </row>
    <row r="10" spans="2:5">
      <c r="B10" s="27" t="s">
        <v>18</v>
      </c>
      <c r="C10" s="29"/>
      <c r="D10" s="29"/>
      <c r="E10" s="32">
        <f>mvalloc!G17</f>
        <v>0</v>
      </c>
    </row>
    <row r="11" spans="2:5">
      <c r="B11" s="27" t="s">
        <v>19</v>
      </c>
      <c r="C11" s="29"/>
      <c r="D11" s="29"/>
      <c r="E11" s="32">
        <f>mvalloc!I17</f>
        <v>0</v>
      </c>
    </row>
    <row r="12" spans="2:5">
      <c r="B12" s="27" t="s">
        <v>96</v>
      </c>
      <c r="C12" s="29"/>
      <c r="D12" s="29"/>
      <c r="E12" s="32">
        <f>mvalloc!J17</f>
        <v>0</v>
      </c>
    </row>
    <row r="13" spans="2:5">
      <c r="B13" s="37"/>
      <c r="C13" s="29"/>
      <c r="D13" s="29"/>
      <c r="E13" s="34"/>
    </row>
    <row r="14" spans="2:5">
      <c r="B14" s="37"/>
      <c r="C14" s="29"/>
      <c r="D14" s="29"/>
      <c r="E14" s="34"/>
    </row>
    <row r="15" spans="2:5">
      <c r="B15" s="37"/>
      <c r="C15" s="29"/>
      <c r="D15" s="29"/>
      <c r="E15" s="34"/>
    </row>
    <row r="16" spans="2:5">
      <c r="B16" s="38"/>
      <c r="C16" s="29"/>
      <c r="D16" s="29"/>
      <c r="E16" s="34"/>
    </row>
    <row r="17" spans="2:11">
      <c r="B17" s="38" t="s">
        <v>22</v>
      </c>
      <c r="C17" s="29"/>
      <c r="D17" s="29"/>
      <c r="E17" s="34"/>
    </row>
    <row r="18" spans="2:11">
      <c r="B18" s="39" t="s">
        <v>207</v>
      </c>
      <c r="C18" s="29"/>
      <c r="D18" s="29"/>
      <c r="E18" s="34"/>
    </row>
    <row r="19" spans="2:11">
      <c r="B19" s="39" t="s">
        <v>208</v>
      </c>
      <c r="C19" s="384" t="str">
        <f>IF(C20*0.1&lt;C18,"Exceed 10% Rule","")</f>
        <v/>
      </c>
      <c r="D19" s="384" t="str">
        <f>IF(D20*0.1&lt;D18,"Exceed 10% Rule","")</f>
        <v/>
      </c>
      <c r="E19" s="45" t="str">
        <f>IF(E20*0.1+E40&lt;E18,"Exceed 10% Rule","")</f>
        <v/>
      </c>
    </row>
    <row r="20" spans="2:11">
      <c r="B20" s="41" t="s">
        <v>23</v>
      </c>
      <c r="C20" s="389">
        <f>SUM(C8:C18)</f>
        <v>0</v>
      </c>
      <c r="D20" s="389">
        <f>SUM(D8:D18)</f>
        <v>0</v>
      </c>
      <c r="E20" s="42">
        <f>SUM(E8:E18)</f>
        <v>0</v>
      </c>
    </row>
    <row r="21" spans="2:11">
      <c r="B21" s="43" t="s">
        <v>24</v>
      </c>
      <c r="C21" s="389">
        <f>C20+C6</f>
        <v>0</v>
      </c>
      <c r="D21" s="389">
        <f>D20+D6</f>
        <v>0</v>
      </c>
      <c r="E21" s="42">
        <f>E20+E6</f>
        <v>0</v>
      </c>
    </row>
    <row r="22" spans="2:11">
      <c r="B22" s="27" t="s">
        <v>25</v>
      </c>
      <c r="C22" s="387"/>
      <c r="D22" s="387"/>
      <c r="E22" s="32"/>
    </row>
    <row r="23" spans="2:11">
      <c r="B23" s="38"/>
      <c r="C23" s="29"/>
      <c r="D23" s="29"/>
      <c r="E23" s="34"/>
    </row>
    <row r="24" spans="2:11">
      <c r="B24" s="38"/>
      <c r="C24" s="29"/>
      <c r="D24" s="29"/>
      <c r="E24" s="34"/>
      <c r="G24" s="809" t="str">
        <f>CONCATENATE("Desired Carryover Into ",E1+1,"")</f>
        <v>Desired Carryover Into 2014</v>
      </c>
      <c r="H24" s="810"/>
      <c r="I24" s="810"/>
      <c r="J24" s="811"/>
      <c r="K24" s="583"/>
    </row>
    <row r="25" spans="2:11">
      <c r="B25" s="38"/>
      <c r="C25" s="29"/>
      <c r="D25" s="29"/>
      <c r="E25" s="34"/>
      <c r="G25" s="614"/>
      <c r="H25" s="615"/>
      <c r="I25" s="616"/>
      <c r="J25" s="617"/>
      <c r="K25" s="583"/>
    </row>
    <row r="26" spans="2:11">
      <c r="B26" s="38"/>
      <c r="C26" s="29"/>
      <c r="D26" s="29"/>
      <c r="E26" s="34"/>
      <c r="G26" s="618" t="s">
        <v>709</v>
      </c>
      <c r="H26" s="616"/>
      <c r="I26" s="616"/>
      <c r="J26" s="619">
        <v>0</v>
      </c>
      <c r="K26" s="583"/>
    </row>
    <row r="27" spans="2:11">
      <c r="B27" s="38"/>
      <c r="C27" s="29"/>
      <c r="D27" s="29"/>
      <c r="E27" s="34"/>
      <c r="G27" s="614" t="s">
        <v>710</v>
      </c>
      <c r="H27" s="615"/>
      <c r="I27" s="615"/>
      <c r="J27" s="620" t="str">
        <f>IF(J26=0,"",ROUND((J26+E40-G39)/inputOth!E7*1000,3)-G44)</f>
        <v/>
      </c>
      <c r="K27" s="583"/>
    </row>
    <row r="28" spans="2:11">
      <c r="B28" s="38"/>
      <c r="C28" s="29"/>
      <c r="D28" s="29"/>
      <c r="E28" s="34"/>
      <c r="G28" s="621" t="str">
        <f>CONCATENATE("",E1," Tot Exp/Non-Appr Must Be:")</f>
        <v>2013 Tot Exp/Non-Appr Must Be:</v>
      </c>
      <c r="H28" s="622"/>
      <c r="I28" s="623"/>
      <c r="J28" s="624">
        <f>IF(J26&gt;0,IF(E37&lt;E21,IF(J26=G39,E37,((J26-G39)*(1-D39))+E21),E37+(J26-G39)),0)</f>
        <v>0</v>
      </c>
      <c r="K28" s="583"/>
    </row>
    <row r="29" spans="2:11">
      <c r="B29" s="38"/>
      <c r="C29" s="29"/>
      <c r="D29" s="29"/>
      <c r="E29" s="34"/>
      <c r="G29" s="625" t="s">
        <v>817</v>
      </c>
      <c r="H29" s="626"/>
      <c r="I29" s="626"/>
      <c r="J29" s="627">
        <f>IF(J26&gt;0,J28-E37,0)</f>
        <v>0</v>
      </c>
      <c r="K29" s="583"/>
    </row>
    <row r="30" spans="2:11">
      <c r="B30" s="35" t="s">
        <v>209</v>
      </c>
      <c r="C30" s="29"/>
      <c r="D30" s="29"/>
      <c r="E30" s="46" t="str">
        <f>nhood!E12</f>
        <v/>
      </c>
      <c r="G30" s="583"/>
      <c r="H30" s="583"/>
      <c r="I30" s="583"/>
      <c r="J30" s="583"/>
      <c r="K30" s="583"/>
    </row>
    <row r="31" spans="2:11">
      <c r="B31" s="35" t="s">
        <v>207</v>
      </c>
      <c r="C31" s="29"/>
      <c r="D31" s="29"/>
      <c r="E31" s="34"/>
      <c r="G31" s="809" t="str">
        <f>CONCATENATE("Projected Carryover Into ",E1+1,"")</f>
        <v>Projected Carryover Into 2014</v>
      </c>
      <c r="H31" s="812"/>
      <c r="I31" s="812"/>
      <c r="J31" s="813"/>
      <c r="K31" s="583"/>
    </row>
    <row r="32" spans="2:11">
      <c r="B32" s="35" t="s">
        <v>616</v>
      </c>
      <c r="C32" s="384" t="str">
        <f>IF(C33*0.1&lt;C31,"Exceed 10% Rule","")</f>
        <v/>
      </c>
      <c r="D32" s="384" t="str">
        <f>IF(D33*0.1&lt;D31,"Exceed 10% Rule","")</f>
        <v/>
      </c>
      <c r="E32" s="45" t="str">
        <f>IF(E33*0.1&lt;E31,"Exceed 10% Rule","")</f>
        <v/>
      </c>
      <c r="G32" s="614"/>
      <c r="H32" s="616"/>
      <c r="I32" s="616"/>
      <c r="J32" s="629"/>
      <c r="K32" s="583"/>
    </row>
    <row r="33" spans="2:11">
      <c r="B33" s="43" t="s">
        <v>26</v>
      </c>
      <c r="C33" s="389">
        <f>SUM(C23:C31)</f>
        <v>0</v>
      </c>
      <c r="D33" s="389">
        <f>SUM(D23:D31)</f>
        <v>0</v>
      </c>
      <c r="E33" s="42">
        <f>SUM(E23:E31)</f>
        <v>0</v>
      </c>
      <c r="G33" s="632">
        <f>D34</f>
        <v>0</v>
      </c>
      <c r="H33" s="633" t="str">
        <f>CONCATENATE("",E1-1," Ending Cash Balance (est.)")</f>
        <v>2012 Ending Cash Balance (est.)</v>
      </c>
      <c r="I33" s="634"/>
      <c r="J33" s="629"/>
      <c r="K33" s="583"/>
    </row>
    <row r="34" spans="2:11">
      <c r="B34" s="27" t="s">
        <v>115</v>
      </c>
      <c r="C34" s="382">
        <f>C21-C33</f>
        <v>0</v>
      </c>
      <c r="D34" s="382">
        <f>D21-D33</f>
        <v>0</v>
      </c>
      <c r="E34" s="33" t="s">
        <v>284</v>
      </c>
      <c r="G34" s="632">
        <f>E20</f>
        <v>0</v>
      </c>
      <c r="H34" s="616" t="str">
        <f>CONCATENATE("",E1," Non-AV Receipts (est.)")</f>
        <v>2013 Non-AV Receipts (est.)</v>
      </c>
      <c r="I34" s="634"/>
      <c r="J34" s="629"/>
      <c r="K34" s="583"/>
    </row>
    <row r="35" spans="2:11">
      <c r="B35" s="48" t="str">
        <f>CONCATENATE("",E1-2,"/",E1-1," Budget Authority Amount:")</f>
        <v>2011/2012 Budget Authority Amount:</v>
      </c>
      <c r="C35" s="131">
        <f>inputOth!B52</f>
        <v>0</v>
      </c>
      <c r="D35" s="159">
        <f>inputPrYr!D22</f>
        <v>0</v>
      </c>
      <c r="E35" s="33" t="s">
        <v>284</v>
      </c>
      <c r="F35" s="50"/>
      <c r="G35" s="641">
        <f>IF(E39&gt;0,E38,E40)</f>
        <v>0</v>
      </c>
      <c r="H35" s="616" t="str">
        <f>CONCATENATE("",E1," Ad Valorem Tax (est.)")</f>
        <v>2013 Ad Valorem Tax (est.)</v>
      </c>
      <c r="I35" s="634"/>
      <c r="J35" s="629"/>
      <c r="K35" s="642" t="str">
        <f>IF(G35=E40,"","Note: Does not include Delinquent Taxes")</f>
        <v/>
      </c>
    </row>
    <row r="36" spans="2:11">
      <c r="B36" s="48"/>
      <c r="C36" s="793" t="s">
        <v>617</v>
      </c>
      <c r="D36" s="794"/>
      <c r="E36" s="34"/>
      <c r="F36" s="483" t="str">
        <f>IF(E33/0.95-E33&lt;E36,"Exceeds 5%","")</f>
        <v/>
      </c>
      <c r="G36" s="632">
        <f>SUM(G33:G35)</f>
        <v>0</v>
      </c>
      <c r="H36" s="616" t="str">
        <f>CONCATENATE("Total ",E1," Resources Available")</f>
        <v>Total 2013 Resources Available</v>
      </c>
      <c r="I36" s="634"/>
      <c r="J36" s="629"/>
      <c r="K36" s="583"/>
    </row>
    <row r="37" spans="2:11">
      <c r="B37" s="396" t="str">
        <f>CONCATENATE(C92,"     ",D92)</f>
        <v xml:space="preserve">     </v>
      </c>
      <c r="C37" s="795" t="s">
        <v>618</v>
      </c>
      <c r="D37" s="796"/>
      <c r="E37" s="32">
        <f>E33+E36</f>
        <v>0</v>
      </c>
      <c r="G37" s="645"/>
      <c r="H37" s="616"/>
      <c r="I37" s="616"/>
      <c r="J37" s="629"/>
      <c r="K37" s="583"/>
    </row>
    <row r="38" spans="2:11">
      <c r="B38" s="396" t="str">
        <f>CONCATENATE(C93,"     ",D93)</f>
        <v xml:space="preserve">     </v>
      </c>
      <c r="C38" s="59"/>
      <c r="D38" s="52" t="s">
        <v>28</v>
      </c>
      <c r="E38" s="46">
        <f>IF(E37-E21&gt;0,E37-E21,0)</f>
        <v>0</v>
      </c>
      <c r="G38" s="641">
        <f>C33*0.05+C33</f>
        <v>0</v>
      </c>
      <c r="H38" s="616" t="str">
        <f>CONCATENATE("Less ",E1-2," Expenditures + 5%")</f>
        <v>Less 2011 Expenditures + 5%</v>
      </c>
      <c r="I38" s="616"/>
      <c r="J38" s="629"/>
      <c r="K38" s="583"/>
    </row>
    <row r="39" spans="2:11">
      <c r="B39" s="52"/>
      <c r="C39" s="400" t="s">
        <v>619</v>
      </c>
      <c r="D39" s="690">
        <f>inputOth!$E$40</f>
        <v>0</v>
      </c>
      <c r="E39" s="32">
        <f>ROUND(IF(D39&gt;0,(E38*D39),0),0)</f>
        <v>0</v>
      </c>
      <c r="G39" s="649">
        <f>G36-G38</f>
        <v>0</v>
      </c>
      <c r="H39" s="650" t="str">
        <f>CONCATENATE("Projected ",E1+1," carryover (est.)")</f>
        <v>Projected 2014 carryover (est.)</v>
      </c>
      <c r="I39" s="651"/>
      <c r="J39" s="652"/>
      <c r="K39" s="583"/>
    </row>
    <row r="40" spans="2:11">
      <c r="B40" s="14"/>
      <c r="C40" s="791" t="str">
        <f>CONCATENATE("Amount of  ",$E$1-1," Ad Valorem Tax")</f>
        <v>Amount of  2012 Ad Valorem Tax</v>
      </c>
      <c r="D40" s="792"/>
      <c r="E40" s="46">
        <f>E38+E39</f>
        <v>0</v>
      </c>
      <c r="G40" s="583"/>
      <c r="H40" s="583"/>
      <c r="I40" s="583"/>
      <c r="J40" s="583"/>
      <c r="K40" s="583"/>
    </row>
    <row r="41" spans="2:11">
      <c r="B41" s="14"/>
      <c r="C41" s="540"/>
      <c r="D41" s="14"/>
      <c r="E41" s="14"/>
      <c r="G41" s="806" t="s">
        <v>818</v>
      </c>
      <c r="H41" s="807"/>
      <c r="I41" s="807"/>
      <c r="J41" s="808"/>
      <c r="K41" s="583"/>
    </row>
    <row r="42" spans="2:11">
      <c r="B42" s="14"/>
      <c r="C42" s="540"/>
      <c r="D42" s="14"/>
      <c r="E42" s="14"/>
      <c r="G42" s="656"/>
      <c r="H42" s="633"/>
      <c r="I42" s="657"/>
      <c r="J42" s="658"/>
      <c r="K42" s="583"/>
    </row>
    <row r="43" spans="2:11">
      <c r="B43" s="22" t="s">
        <v>10</v>
      </c>
      <c r="C43" s="65"/>
      <c r="D43" s="65"/>
      <c r="E43" s="65"/>
      <c r="G43" s="659" t="e">
        <f>summ!#REF!</f>
        <v>#REF!</v>
      </c>
      <c r="H43" s="633" t="str">
        <f>CONCATENATE("",E1," Fund Mill Rate")</f>
        <v>2013 Fund Mill Rate</v>
      </c>
      <c r="I43" s="657"/>
      <c r="J43" s="658"/>
      <c r="K43" s="583"/>
    </row>
    <row r="44" spans="2:11">
      <c r="B44" s="14"/>
      <c r="C44" s="385" t="s">
        <v>11</v>
      </c>
      <c r="D44" s="388" t="s">
        <v>12</v>
      </c>
      <c r="E44" s="23" t="s">
        <v>13</v>
      </c>
      <c r="G44" s="660" t="e">
        <f>summ!#REF!</f>
        <v>#REF!</v>
      </c>
      <c r="H44" s="633" t="str">
        <f>CONCATENATE("",E1-1," Fund Mill Rate")</f>
        <v>2012 Fund Mill Rate</v>
      </c>
      <c r="I44" s="657"/>
      <c r="J44" s="658"/>
      <c r="K44" s="583"/>
    </row>
    <row r="45" spans="2:11">
      <c r="B45" s="478">
        <f>inputPrYr!B23</f>
        <v>0</v>
      </c>
      <c r="C45" s="386" t="str">
        <f>C5</f>
        <v>Actual for 2011</v>
      </c>
      <c r="D45" s="386" t="str">
        <f>D5</f>
        <v>Estimate for 2012</v>
      </c>
      <c r="E45" s="26" t="str">
        <f>E5</f>
        <v>Year for 2013</v>
      </c>
      <c r="G45" s="662">
        <f>summ!I24</f>
        <v>2.4510000000000001</v>
      </c>
      <c r="H45" s="633" t="str">
        <f>CONCATENATE("Total ",E1," Mill Rate")</f>
        <v>Total 2013 Mill Rate</v>
      </c>
      <c r="I45" s="657"/>
      <c r="J45" s="658"/>
      <c r="K45" s="583"/>
    </row>
    <row r="46" spans="2:11">
      <c r="B46" s="27" t="s">
        <v>114</v>
      </c>
      <c r="C46" s="29"/>
      <c r="D46" s="387">
        <f>C74</f>
        <v>0</v>
      </c>
      <c r="E46" s="32">
        <f>D74</f>
        <v>0</v>
      </c>
      <c r="G46" s="660">
        <f>summ!F24</f>
        <v>2.5310000000000001</v>
      </c>
      <c r="H46" s="663" t="str">
        <f>CONCATENATE("Total ",E1-1," Mill Rate")</f>
        <v>Total 2012 Mill Rate</v>
      </c>
      <c r="I46" s="664"/>
      <c r="J46" s="665"/>
      <c r="K46" s="583"/>
    </row>
    <row r="47" spans="2:11">
      <c r="B47" s="27" t="s">
        <v>116</v>
      </c>
      <c r="C47" s="387"/>
      <c r="D47" s="387"/>
      <c r="E47" s="33"/>
      <c r="G47" s="583"/>
      <c r="H47" s="583"/>
      <c r="I47" s="583"/>
      <c r="J47" s="583"/>
      <c r="K47" s="583"/>
    </row>
    <row r="48" spans="2:11">
      <c r="B48" s="27" t="s">
        <v>16</v>
      </c>
      <c r="C48" s="29"/>
      <c r="D48" s="387">
        <f>IF(inputPrYr!H15&gt;0,inputPrYr!G23,inputPrYr!E23)</f>
        <v>0</v>
      </c>
      <c r="E48" s="33" t="s">
        <v>284</v>
      </c>
      <c r="G48" s="583"/>
      <c r="H48" s="583"/>
      <c r="I48" s="583"/>
      <c r="J48" s="583"/>
      <c r="K48" s="583"/>
    </row>
    <row r="49" spans="2:11">
      <c r="B49" s="27" t="s">
        <v>17</v>
      </c>
      <c r="C49" s="29"/>
      <c r="D49" s="29"/>
      <c r="E49" s="34"/>
      <c r="G49" s="583"/>
      <c r="H49" s="583"/>
      <c r="I49" s="583"/>
      <c r="J49" s="583"/>
      <c r="K49" s="583"/>
    </row>
    <row r="50" spans="2:11">
      <c r="B50" s="27" t="s">
        <v>18</v>
      </c>
      <c r="C50" s="29"/>
      <c r="D50" s="29"/>
      <c r="E50" s="32">
        <f>mvalloc!G18</f>
        <v>0</v>
      </c>
      <c r="G50" s="583"/>
      <c r="H50" s="583"/>
      <c r="I50" s="583"/>
      <c r="J50" s="583"/>
      <c r="K50" s="583"/>
    </row>
    <row r="51" spans="2:11">
      <c r="B51" s="27" t="s">
        <v>19</v>
      </c>
      <c r="C51" s="29"/>
      <c r="D51" s="29"/>
      <c r="E51" s="32">
        <f>mvalloc!I18</f>
        <v>0</v>
      </c>
      <c r="G51" s="583"/>
      <c r="H51" s="583"/>
      <c r="I51" s="583"/>
      <c r="J51" s="583"/>
      <c r="K51" s="583"/>
    </row>
    <row r="52" spans="2:11">
      <c r="B52" s="27" t="s">
        <v>96</v>
      </c>
      <c r="C52" s="29"/>
      <c r="D52" s="29"/>
      <c r="E52" s="32">
        <f>mvalloc!J18</f>
        <v>0</v>
      </c>
      <c r="G52" s="583"/>
      <c r="H52" s="583"/>
      <c r="I52" s="583"/>
      <c r="J52" s="583"/>
      <c r="K52" s="583"/>
    </row>
    <row r="53" spans="2:11">
      <c r="B53" s="38"/>
      <c r="C53" s="29"/>
      <c r="D53" s="29"/>
      <c r="E53" s="34"/>
      <c r="G53" s="583"/>
      <c r="H53" s="583"/>
      <c r="I53" s="583"/>
      <c r="J53" s="583"/>
      <c r="K53" s="583"/>
    </row>
    <row r="54" spans="2:11">
      <c r="B54" s="38"/>
      <c r="C54" s="29"/>
      <c r="D54" s="29"/>
      <c r="E54" s="34"/>
      <c r="G54" s="583"/>
      <c r="H54" s="583"/>
      <c r="I54" s="583"/>
      <c r="J54" s="583"/>
      <c r="K54" s="583"/>
    </row>
    <row r="55" spans="2:11">
      <c r="B55" s="38"/>
      <c r="C55" s="29"/>
      <c r="D55" s="29"/>
      <c r="E55" s="34"/>
      <c r="G55" s="583"/>
      <c r="H55" s="583"/>
      <c r="I55" s="583"/>
      <c r="J55" s="583"/>
      <c r="K55" s="583"/>
    </row>
    <row r="56" spans="2:11">
      <c r="B56" s="38"/>
      <c r="C56" s="29"/>
      <c r="D56" s="29"/>
      <c r="E56" s="34"/>
      <c r="G56" s="583"/>
      <c r="H56" s="583"/>
      <c r="I56" s="583"/>
      <c r="J56" s="583"/>
      <c r="K56" s="583"/>
    </row>
    <row r="57" spans="2:11">
      <c r="B57" s="38" t="s">
        <v>22</v>
      </c>
      <c r="C57" s="29"/>
      <c r="D57" s="29"/>
      <c r="E57" s="34"/>
      <c r="G57" s="583"/>
      <c r="H57" s="583"/>
      <c r="I57" s="583"/>
      <c r="J57" s="583"/>
      <c r="K57" s="583"/>
    </row>
    <row r="58" spans="2:11">
      <c r="B58" s="39" t="s">
        <v>207</v>
      </c>
      <c r="C58" s="29"/>
      <c r="D58" s="29"/>
      <c r="E58" s="34"/>
      <c r="G58" s="583"/>
      <c r="H58" s="583"/>
      <c r="I58" s="583"/>
      <c r="J58" s="583"/>
      <c r="K58" s="583"/>
    </row>
    <row r="59" spans="2:11">
      <c r="B59" s="39" t="s">
        <v>208</v>
      </c>
      <c r="C59" s="384" t="str">
        <f>IF(C60*0.1&lt;C58,"Exceed 10% Rule","")</f>
        <v/>
      </c>
      <c r="D59" s="384" t="str">
        <f>IF(D60*0.1&lt;D58,"Exceed 10% Rule","")</f>
        <v/>
      </c>
      <c r="E59" s="45" t="str">
        <f>IF(E60*0.1+E80&lt;E58,"Exceed 10% Rule","")</f>
        <v/>
      </c>
      <c r="G59" s="583"/>
      <c r="H59" s="583"/>
      <c r="I59" s="583"/>
      <c r="J59" s="583"/>
      <c r="K59" s="583"/>
    </row>
    <row r="60" spans="2:11">
      <c r="B60" s="41" t="s">
        <v>23</v>
      </c>
      <c r="C60" s="389">
        <f>SUM(C48:C58)</f>
        <v>0</v>
      </c>
      <c r="D60" s="389">
        <f>SUM(D48:D58)</f>
        <v>0</v>
      </c>
      <c r="E60" s="42">
        <f>SUM(E48:E58)</f>
        <v>0</v>
      </c>
      <c r="G60" s="583"/>
      <c r="H60" s="583"/>
      <c r="I60" s="583"/>
      <c r="J60" s="583"/>
      <c r="K60" s="583"/>
    </row>
    <row r="61" spans="2:11">
      <c r="B61" s="43" t="s">
        <v>24</v>
      </c>
      <c r="C61" s="389">
        <f>C60+C46</f>
        <v>0</v>
      </c>
      <c r="D61" s="389">
        <f>D60+D46</f>
        <v>0</v>
      </c>
      <c r="E61" s="42">
        <f>E60+E46</f>
        <v>0</v>
      </c>
      <c r="G61" s="583"/>
      <c r="H61" s="583"/>
      <c r="I61" s="583"/>
      <c r="J61" s="583"/>
      <c r="K61" s="583"/>
    </row>
    <row r="62" spans="2:11">
      <c r="B62" s="27" t="s">
        <v>25</v>
      </c>
      <c r="C62" s="387"/>
      <c r="D62" s="387"/>
      <c r="E62" s="32"/>
      <c r="G62" s="583"/>
      <c r="H62" s="583"/>
      <c r="I62" s="583"/>
      <c r="J62" s="583"/>
      <c r="K62" s="583"/>
    </row>
    <row r="63" spans="2:11">
      <c r="B63" s="38"/>
      <c r="C63" s="29"/>
      <c r="D63" s="29"/>
      <c r="E63" s="34"/>
      <c r="G63" s="583"/>
      <c r="H63" s="583"/>
      <c r="I63" s="583"/>
      <c r="J63" s="583"/>
      <c r="K63" s="583"/>
    </row>
    <row r="64" spans="2:11">
      <c r="B64" s="38"/>
      <c r="C64" s="29"/>
      <c r="D64" s="29"/>
      <c r="E64" s="34"/>
      <c r="G64" s="809" t="str">
        <f>CONCATENATE("Desired Carryover Into ",E1+1,"")</f>
        <v>Desired Carryover Into 2014</v>
      </c>
      <c r="H64" s="810"/>
      <c r="I64" s="810"/>
      <c r="J64" s="811"/>
      <c r="K64" s="583"/>
    </row>
    <row r="65" spans="2:11">
      <c r="B65" s="38"/>
      <c r="C65" s="29"/>
      <c r="D65" s="29"/>
      <c r="E65" s="34"/>
      <c r="G65" s="614"/>
      <c r="H65" s="615"/>
      <c r="I65" s="616"/>
      <c r="J65" s="617"/>
      <c r="K65" s="583"/>
    </row>
    <row r="66" spans="2:11">
      <c r="B66" s="38"/>
      <c r="C66" s="29"/>
      <c r="D66" s="29"/>
      <c r="E66" s="34"/>
      <c r="G66" s="618" t="s">
        <v>709</v>
      </c>
      <c r="H66" s="616"/>
      <c r="I66" s="616"/>
      <c r="J66" s="619">
        <v>0</v>
      </c>
      <c r="K66" s="583"/>
    </row>
    <row r="67" spans="2:11">
      <c r="B67" s="38"/>
      <c r="C67" s="29"/>
      <c r="D67" s="29"/>
      <c r="E67" s="34"/>
      <c r="G67" s="614" t="s">
        <v>710</v>
      </c>
      <c r="H67" s="615"/>
      <c r="I67" s="615"/>
      <c r="J67" s="620" t="str">
        <f>IF(J66=0,"",ROUND((J66+E80-G79)/inputOth!E7*1000,3)-G84)</f>
        <v/>
      </c>
      <c r="K67" s="583"/>
    </row>
    <row r="68" spans="2:11">
      <c r="B68" s="38"/>
      <c r="C68" s="29"/>
      <c r="D68" s="29"/>
      <c r="E68" s="34"/>
      <c r="G68" s="621" t="str">
        <f>CONCATENATE("",E1," Tot Exp/Non-Appr Must Be:")</f>
        <v>2013 Tot Exp/Non-Appr Must Be:</v>
      </c>
      <c r="H68" s="622"/>
      <c r="I68" s="623"/>
      <c r="J68" s="624">
        <f>IF(J66&gt;0,IF(E77&lt;E61,IF(J66=G79,E77,((J66-G79)*(1-D79))+E61),E77+(J66-G79)),0)</f>
        <v>0</v>
      </c>
      <c r="K68" s="583"/>
    </row>
    <row r="69" spans="2:11">
      <c r="B69" s="38"/>
      <c r="C69" s="29"/>
      <c r="D69" s="29"/>
      <c r="E69" s="34"/>
      <c r="G69" s="625" t="s">
        <v>817</v>
      </c>
      <c r="H69" s="626"/>
      <c r="I69" s="626"/>
      <c r="J69" s="627">
        <f>IF(J66&gt;0,J68-E77,0)</f>
        <v>0</v>
      </c>
      <c r="K69" s="583"/>
    </row>
    <row r="70" spans="2:11">
      <c r="B70" s="35" t="s">
        <v>209</v>
      </c>
      <c r="C70" s="29"/>
      <c r="D70" s="29"/>
      <c r="E70" s="46" t="str">
        <f>nhood!E13</f>
        <v/>
      </c>
      <c r="G70" s="583"/>
      <c r="H70" s="583"/>
      <c r="I70" s="583"/>
      <c r="J70" s="583"/>
      <c r="K70" s="583"/>
    </row>
    <row r="71" spans="2:11">
      <c r="B71" s="35" t="s">
        <v>207</v>
      </c>
      <c r="C71" s="29"/>
      <c r="D71" s="29"/>
      <c r="E71" s="34"/>
      <c r="G71" s="809" t="str">
        <f>CONCATENATE("Projected Carryover Into ",E1+1,"")</f>
        <v>Projected Carryover Into 2014</v>
      </c>
      <c r="H71" s="814"/>
      <c r="I71" s="814"/>
      <c r="J71" s="813"/>
      <c r="K71" s="583"/>
    </row>
    <row r="72" spans="2:11">
      <c r="B72" s="35" t="s">
        <v>616</v>
      </c>
      <c r="C72" s="384" t="str">
        <f>IF(C73*0.1&lt;C71,"Exceed 10% Rule","")</f>
        <v/>
      </c>
      <c r="D72" s="384" t="str">
        <f>IF(D73*0.1&lt;D71,"Exceed 10% Rule","")</f>
        <v/>
      </c>
      <c r="E72" s="45" t="str">
        <f>IF(E73*0.1&lt;E71,"Exceed 10% Rule","")</f>
        <v/>
      </c>
      <c r="G72" s="668"/>
      <c r="H72" s="615"/>
      <c r="I72" s="615"/>
      <c r="J72" s="669"/>
      <c r="K72" s="583"/>
    </row>
    <row r="73" spans="2:11">
      <c r="B73" s="43" t="s">
        <v>26</v>
      </c>
      <c r="C73" s="389">
        <f>SUM(C63:C71)</f>
        <v>0</v>
      </c>
      <c r="D73" s="389">
        <f>SUM(D63:D71)</f>
        <v>0</v>
      </c>
      <c r="E73" s="42">
        <f>SUM(E63:E71)</f>
        <v>0</v>
      </c>
      <c r="G73" s="632">
        <f>D74</f>
        <v>0</v>
      </c>
      <c r="H73" s="633" t="str">
        <f>CONCATENATE("",E1-1," Ending Cash Balance (est.)")</f>
        <v>2012 Ending Cash Balance (est.)</v>
      </c>
      <c r="I73" s="634"/>
      <c r="J73" s="669"/>
      <c r="K73" s="583"/>
    </row>
    <row r="74" spans="2:11">
      <c r="B74" s="27" t="s">
        <v>115</v>
      </c>
      <c r="C74" s="382">
        <f>C61-C73</f>
        <v>0</v>
      </c>
      <c r="D74" s="382">
        <f>D61-D73</f>
        <v>0</v>
      </c>
      <c r="E74" s="33" t="s">
        <v>284</v>
      </c>
      <c r="G74" s="632">
        <f>E60</f>
        <v>0</v>
      </c>
      <c r="H74" s="616" t="str">
        <f>CONCATENATE("",E1," Non-AV Receipts (est.)")</f>
        <v>2013 Non-AV Receipts (est.)</v>
      </c>
      <c r="I74" s="634"/>
      <c r="J74" s="669"/>
      <c r="K74" s="583"/>
    </row>
    <row r="75" spans="2:11">
      <c r="B75" s="48" t="str">
        <f>CONCATENATE("",E1-2,"/",E1-1," Budget Authority Amount:")</f>
        <v>2011/2012 Budget Authority Amount:</v>
      </c>
      <c r="C75" s="131">
        <f>inputOth!B53</f>
        <v>0</v>
      </c>
      <c r="D75" s="159">
        <f>inputPrYr!D23</f>
        <v>0</v>
      </c>
      <c r="E75" s="33" t="s">
        <v>284</v>
      </c>
      <c r="F75" s="50"/>
      <c r="G75" s="641">
        <f>IF(E79&gt;0,E78,E80)</f>
        <v>0</v>
      </c>
      <c r="H75" s="616" t="str">
        <f>CONCATENATE("",E1," Ad Valorem Tax (est.)")</f>
        <v>2013 Ad Valorem Tax (est.)</v>
      </c>
      <c r="I75" s="634"/>
      <c r="J75" s="669"/>
      <c r="K75" s="642" t="str">
        <f>IF(G75=E80,"","Note: Does not include Delinquent Taxes")</f>
        <v/>
      </c>
    </row>
    <row r="76" spans="2:11">
      <c r="B76" s="48"/>
      <c r="C76" s="793" t="s">
        <v>617</v>
      </c>
      <c r="D76" s="794"/>
      <c r="E76" s="532"/>
      <c r="F76" s="483" t="str">
        <f>IF(E73/0.95-E73&lt;E76,"Exceeds 5%","")</f>
        <v/>
      </c>
      <c r="G76" s="671">
        <f>SUM(G73:G75)</f>
        <v>0</v>
      </c>
      <c r="H76" s="616" t="str">
        <f>CONCATENATE("Total ",E1," Resources Available")</f>
        <v>Total 2013 Resources Available</v>
      </c>
      <c r="I76" s="672"/>
      <c r="J76" s="669"/>
      <c r="K76" s="583"/>
    </row>
    <row r="77" spans="2:11">
      <c r="B77" s="396" t="str">
        <f>CONCATENATE(C94,"     ",D94)</f>
        <v xml:space="preserve">     </v>
      </c>
      <c r="C77" s="795" t="s">
        <v>618</v>
      </c>
      <c r="D77" s="796"/>
      <c r="E77" s="32">
        <f>E73+E76</f>
        <v>0</v>
      </c>
      <c r="G77" s="673"/>
      <c r="H77" s="674"/>
      <c r="I77" s="615"/>
      <c r="J77" s="669"/>
      <c r="K77" s="583"/>
    </row>
    <row r="78" spans="2:11">
      <c r="B78" s="396" t="str">
        <f>CONCATENATE(C95,"     ",D95)</f>
        <v xml:space="preserve">     </v>
      </c>
      <c r="C78" s="59"/>
      <c r="D78" s="52" t="s">
        <v>28</v>
      </c>
      <c r="E78" s="46">
        <f>IF(E77-E61&gt;0,E77-E61,0)</f>
        <v>0</v>
      </c>
      <c r="G78" s="641">
        <f>ROUND(C73*0.05+C73,0)</f>
        <v>0</v>
      </c>
      <c r="H78" s="616" t="str">
        <f>CONCATENATE("Less ",E1-2," Expenditures + 5%")</f>
        <v>Less 2011 Expenditures + 5%</v>
      </c>
      <c r="I78" s="672"/>
      <c r="J78" s="669"/>
      <c r="K78" s="583"/>
    </row>
    <row r="79" spans="2:11">
      <c r="B79" s="52"/>
      <c r="C79" s="400" t="s">
        <v>619</v>
      </c>
      <c r="D79" s="690">
        <f>inputOth!$E$40</f>
        <v>0</v>
      </c>
      <c r="E79" s="32">
        <f>ROUND(IF(D79&gt;0,(E78*D79),0),0)</f>
        <v>0</v>
      </c>
      <c r="G79" s="649">
        <f>G76-G78</f>
        <v>0</v>
      </c>
      <c r="H79" s="650" t="str">
        <f>CONCATENATE("Projected ",E1+1," carryover (est.)")</f>
        <v>Projected 2014 carryover (est.)</v>
      </c>
      <c r="I79" s="675"/>
      <c r="J79" s="676"/>
      <c r="K79" s="583"/>
    </row>
    <row r="80" spans="2:11">
      <c r="B80" s="14"/>
      <c r="C80" s="791" t="str">
        <f>CONCATENATE("Amount of  ",$E$1-1," Ad Valorem Tax")</f>
        <v>Amount of  2012 Ad Valorem Tax</v>
      </c>
      <c r="D80" s="792"/>
      <c r="E80" s="46">
        <f>E78+E79</f>
        <v>0</v>
      </c>
      <c r="G80" s="583"/>
      <c r="H80" s="583"/>
      <c r="I80" s="583"/>
      <c r="J80" s="583"/>
      <c r="K80" s="583"/>
    </row>
    <row r="81" spans="2:11">
      <c r="B81" s="52" t="s">
        <v>9</v>
      </c>
      <c r="C81" s="531"/>
      <c r="D81" s="14"/>
      <c r="E81" s="14"/>
      <c r="G81" s="806" t="s">
        <v>818</v>
      </c>
      <c r="H81" s="807"/>
      <c r="I81" s="807"/>
      <c r="J81" s="808"/>
      <c r="K81" s="583"/>
    </row>
    <row r="82" spans="2:11">
      <c r="B82" s="79"/>
      <c r="G82" s="656"/>
      <c r="H82" s="633"/>
      <c r="I82" s="657"/>
      <c r="J82" s="658"/>
      <c r="K82" s="583"/>
    </row>
    <row r="83" spans="2:11">
      <c r="G83" s="659" t="e">
        <f>summ!#REF!</f>
        <v>#REF!</v>
      </c>
      <c r="H83" s="633" t="str">
        <f>CONCATENATE("",E1," Fund Mill Rate")</f>
        <v>2013 Fund Mill Rate</v>
      </c>
      <c r="I83" s="657"/>
      <c r="J83" s="658"/>
      <c r="K83" s="583"/>
    </row>
    <row r="84" spans="2:11">
      <c r="G84" s="660" t="e">
        <f>summ!#REF!</f>
        <v>#REF!</v>
      </c>
      <c r="H84" s="633" t="str">
        <f>CONCATENATE("",E1-1," Fund Mill Rate")</f>
        <v>2012 Fund Mill Rate</v>
      </c>
      <c r="I84" s="657"/>
      <c r="J84" s="658"/>
      <c r="K84" s="583"/>
    </row>
    <row r="85" spans="2:11">
      <c r="G85" s="662">
        <f>summ!I24</f>
        <v>2.4510000000000001</v>
      </c>
      <c r="H85" s="633" t="str">
        <f>CONCATENATE("Total ",E1," Mill Rate")</f>
        <v>Total 2013 Mill Rate</v>
      </c>
      <c r="I85" s="657"/>
      <c r="J85" s="658"/>
      <c r="K85" s="583"/>
    </row>
    <row r="86" spans="2:11">
      <c r="G86" s="660">
        <f>summ!F24</f>
        <v>2.5310000000000001</v>
      </c>
      <c r="H86" s="663" t="str">
        <f>CONCATENATE("Total ",E1-1," Mill Rate")</f>
        <v>Total 2012 Mill Rate</v>
      </c>
      <c r="I86" s="664"/>
      <c r="J86" s="665"/>
      <c r="K86" s="583"/>
    </row>
    <row r="92" spans="2:11" hidden="1">
      <c r="C92" s="16" t="str">
        <f>IF(C33&gt;C35,"See Tab A","")</f>
        <v/>
      </c>
      <c r="D92" s="16" t="str">
        <f>IF(D33&gt;D35,"See Tab C","")</f>
        <v/>
      </c>
    </row>
    <row r="93" spans="2:11" hidden="1">
      <c r="C93" s="16" t="str">
        <f>IF(C34&lt;0,"See Tab B","")</f>
        <v/>
      </c>
      <c r="D93" s="16" t="str">
        <f>IF(D34&lt;0,"See Tab D","")</f>
        <v/>
      </c>
    </row>
    <row r="94" spans="2:11" hidden="1">
      <c r="C94" s="16" t="str">
        <f>IF(C73&gt;C75,"See Tab A","")</f>
        <v/>
      </c>
      <c r="D94" s="16" t="str">
        <f>IF(D73&gt;D75,"See Tab C","")</f>
        <v/>
      </c>
    </row>
    <row r="95" spans="2:11" hidden="1">
      <c r="C95" s="16" t="str">
        <f>IF(C74&lt;0,"See Tab B","")</f>
        <v/>
      </c>
      <c r="D95" s="16" t="str">
        <f>IF(D74&lt;0,"See Tab D","")</f>
        <v/>
      </c>
    </row>
  </sheetData>
  <mergeCells count="12">
    <mergeCell ref="C80:D80"/>
    <mergeCell ref="C40:D40"/>
    <mergeCell ref="C36:D36"/>
    <mergeCell ref="C37:D37"/>
    <mergeCell ref="C76:D76"/>
    <mergeCell ref="C77:D77"/>
    <mergeCell ref="G81:J81"/>
    <mergeCell ref="G24:J24"/>
    <mergeCell ref="G31:J31"/>
    <mergeCell ref="G41:J41"/>
    <mergeCell ref="G64:J64"/>
    <mergeCell ref="G71:J71"/>
  </mergeCells>
  <phoneticPr fontId="0" type="noConversion"/>
  <conditionalFormatting sqref="C71">
    <cfRule type="cellIs" dxfId="74" priority="5" stopIfTrue="1" operator="greaterThan">
      <formula>$C$73*0.1</formula>
    </cfRule>
  </conditionalFormatting>
  <conditionalFormatting sqref="D71">
    <cfRule type="cellIs" dxfId="73" priority="6" stopIfTrue="1" operator="greaterThan">
      <formula>$D$73*0.1</formula>
    </cfRule>
  </conditionalFormatting>
  <conditionalFormatting sqref="E71">
    <cfRule type="cellIs" dxfId="72" priority="7" stopIfTrue="1" operator="greaterThan">
      <formula>$E$73*0.1</formula>
    </cfRule>
  </conditionalFormatting>
  <conditionalFormatting sqref="C58">
    <cfRule type="cellIs" dxfId="71" priority="8" stopIfTrue="1" operator="greaterThan">
      <formula>$C$60*0.1</formula>
    </cfRule>
  </conditionalFormatting>
  <conditionalFormatting sqref="D58">
    <cfRule type="cellIs" dxfId="70" priority="9" stopIfTrue="1" operator="greaterThan">
      <formula>$D$60*0.1</formula>
    </cfRule>
  </conditionalFormatting>
  <conditionalFormatting sqref="E36">
    <cfRule type="cellIs" dxfId="69" priority="10" stopIfTrue="1" operator="greaterThan">
      <formula>$E$33/0.95-$E$33</formula>
    </cfRule>
  </conditionalFormatting>
  <conditionalFormatting sqref="C31">
    <cfRule type="cellIs" dxfId="68" priority="11" stopIfTrue="1" operator="greaterThan">
      <formula>$C$33*0.1</formula>
    </cfRule>
  </conditionalFormatting>
  <conditionalFormatting sqref="D31">
    <cfRule type="cellIs" dxfId="67" priority="12" stopIfTrue="1" operator="greaterThan">
      <formula>$D$33*0.1</formula>
    </cfRule>
  </conditionalFormatting>
  <conditionalFormatting sqref="E31">
    <cfRule type="cellIs" dxfId="66" priority="13" stopIfTrue="1" operator="greaterThan">
      <formula>$E$33*0.1</formula>
    </cfRule>
  </conditionalFormatting>
  <conditionalFormatting sqref="C18">
    <cfRule type="cellIs" dxfId="65" priority="14" stopIfTrue="1" operator="greaterThan">
      <formula>$C$20*0.1</formula>
    </cfRule>
  </conditionalFormatting>
  <conditionalFormatting sqref="D18">
    <cfRule type="cellIs" dxfId="64" priority="15" stopIfTrue="1" operator="greaterThan">
      <formula>$D$20*0.1</formula>
    </cfRule>
  </conditionalFormatting>
  <conditionalFormatting sqref="E58">
    <cfRule type="cellIs" dxfId="63" priority="16" stopIfTrue="1" operator="greaterThan">
      <formula>$E$60*0.1+$E$80</formula>
    </cfRule>
  </conditionalFormatting>
  <conditionalFormatting sqref="E18">
    <cfRule type="cellIs" dxfId="62" priority="17" stopIfTrue="1" operator="greaterThan">
      <formula>$E$20*0.1+$E$40</formula>
    </cfRule>
  </conditionalFormatting>
  <conditionalFormatting sqref="C74 C34">
    <cfRule type="cellIs" dxfId="61" priority="18" stopIfTrue="1" operator="lessThan">
      <formula>0</formula>
    </cfRule>
  </conditionalFormatting>
  <conditionalFormatting sqref="C73">
    <cfRule type="cellIs" dxfId="60" priority="19" stopIfTrue="1" operator="greaterThan">
      <formula>$C$75</formula>
    </cfRule>
  </conditionalFormatting>
  <conditionalFormatting sqref="D73">
    <cfRule type="cellIs" dxfId="59" priority="20" stopIfTrue="1" operator="greaterThan">
      <formula>$D$75</formula>
    </cfRule>
  </conditionalFormatting>
  <conditionalFormatting sqref="C33">
    <cfRule type="cellIs" dxfId="58" priority="21" stopIfTrue="1" operator="greaterThan">
      <formula>$C$35</formula>
    </cfRule>
  </conditionalFormatting>
  <conditionalFormatting sqref="D33">
    <cfRule type="cellIs" dxfId="57" priority="22" stopIfTrue="1" operator="greaterThan">
      <formula>$D$35</formula>
    </cfRule>
  </conditionalFormatting>
  <conditionalFormatting sqref="D34 D74">
    <cfRule type="cellIs" dxfId="56" priority="3" stopIfTrue="1" operator="lessThan">
      <formula>0</formula>
    </cfRule>
  </conditionalFormatting>
  <conditionalFormatting sqref="E76">
    <cfRule type="cellIs" dxfId="55" priority="1" stopIfTrue="1" operator="greaterThan">
      <formula>$E$73/0.95-$E$73</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9.xml><?xml version="1.0" encoding="utf-8"?>
<worksheet xmlns="http://schemas.openxmlformats.org/spreadsheetml/2006/main" xmlns:r="http://schemas.openxmlformats.org/officeDocument/2006/relationships">
  <sheetPr>
    <pageSetUpPr fitToPage="1"/>
  </sheetPr>
  <dimension ref="B1:K95"/>
  <sheetViews>
    <sheetView zoomScaleNormal="100" workbookViewId="0">
      <selection activeCell="G39" sqref="G39"/>
    </sheetView>
  </sheetViews>
  <sheetFormatPr defaultRowHeight="15.75"/>
  <cols>
    <col min="1" max="1" width="2.3984375" style="16" customWidth="1"/>
    <col min="2" max="2" width="31" style="16" customWidth="1"/>
    <col min="3" max="4" width="15.69921875" style="16" customWidth="1"/>
    <col min="5" max="5" width="13.69921875" style="16" customWidth="1"/>
    <col min="6" max="6" width="7.3984375" style="16" customWidth="1"/>
    <col min="7" max="7" width="10.09765625" style="16" customWidth="1"/>
    <col min="8" max="8" width="8.796875" style="16"/>
    <col min="9" max="9" width="4.8984375" style="16" customWidth="1"/>
    <col min="10" max="10" width="9.8984375" style="16" customWidth="1"/>
    <col min="11" max="16384" width="8.796875" style="16"/>
  </cols>
  <sheetData>
    <row r="1" spans="2:5">
      <c r="B1" s="13" t="str">
        <f>inputPrYr!D2</f>
        <v>Paxton Township</v>
      </c>
      <c r="C1" s="14"/>
      <c r="D1" s="14"/>
      <c r="E1" s="15">
        <f>inputPrYr!D5</f>
        <v>2013</v>
      </c>
    </row>
    <row r="2" spans="2:5">
      <c r="B2" s="17"/>
      <c r="C2" s="14"/>
      <c r="D2" s="60"/>
      <c r="E2" s="61"/>
    </row>
    <row r="3" spans="2:5">
      <c r="B3" s="533" t="s">
        <v>714</v>
      </c>
      <c r="C3" s="65"/>
      <c r="D3" s="65"/>
      <c r="E3" s="65"/>
    </row>
    <row r="4" spans="2:5">
      <c r="B4" s="22" t="s">
        <v>10</v>
      </c>
      <c r="C4" s="385" t="s">
        <v>11</v>
      </c>
      <c r="D4" s="388" t="s">
        <v>12</v>
      </c>
      <c r="E4" s="23" t="s">
        <v>13</v>
      </c>
    </row>
    <row r="5" spans="2:5">
      <c r="B5" s="397">
        <f>inputPrYr!B24</f>
        <v>0</v>
      </c>
      <c r="C5" s="386" t="str">
        <f>gen!C5</f>
        <v>Actual for 2011</v>
      </c>
      <c r="D5" s="386" t="str">
        <f>gen!D5</f>
        <v>Estimate for 2012</v>
      </c>
      <c r="E5" s="26" t="str">
        <f>gen!E5</f>
        <v>Year for 2013</v>
      </c>
    </row>
    <row r="6" spans="2:5">
      <c r="B6" s="27" t="s">
        <v>114</v>
      </c>
      <c r="C6" s="29"/>
      <c r="D6" s="387">
        <f>C34</f>
        <v>0</v>
      </c>
      <c r="E6" s="32">
        <f>D34</f>
        <v>0</v>
      </c>
    </row>
    <row r="7" spans="2:5">
      <c r="B7" s="27" t="s">
        <v>116</v>
      </c>
      <c r="C7" s="387"/>
      <c r="D7" s="387"/>
      <c r="E7" s="33"/>
    </row>
    <row r="8" spans="2:5">
      <c r="B8" s="27" t="s">
        <v>16</v>
      </c>
      <c r="C8" s="29"/>
      <c r="D8" s="387">
        <f>IF(inputPrYr!H15&gt;0,inputPrYr!G24,inputPrYr!E24)</f>
        <v>0</v>
      </c>
      <c r="E8" s="33" t="s">
        <v>284</v>
      </c>
    </row>
    <row r="9" spans="2:5">
      <c r="B9" s="27" t="s">
        <v>17</v>
      </c>
      <c r="C9" s="29"/>
      <c r="D9" s="29"/>
      <c r="E9" s="34"/>
    </row>
    <row r="10" spans="2:5">
      <c r="B10" s="27" t="s">
        <v>18</v>
      </c>
      <c r="C10" s="29"/>
      <c r="D10" s="29"/>
      <c r="E10" s="32">
        <f>mvalloc!G19</f>
        <v>0</v>
      </c>
    </row>
    <row r="11" spans="2:5">
      <c r="B11" s="27" t="s">
        <v>19</v>
      </c>
      <c r="C11" s="29"/>
      <c r="D11" s="29"/>
      <c r="E11" s="32">
        <f>mvalloc!I19</f>
        <v>0</v>
      </c>
    </row>
    <row r="12" spans="2:5">
      <c r="B12" s="27" t="s">
        <v>96</v>
      </c>
      <c r="C12" s="29"/>
      <c r="D12" s="29"/>
      <c r="E12" s="32">
        <f>mvalloc!J19</f>
        <v>0</v>
      </c>
    </row>
    <row r="13" spans="2:5">
      <c r="B13" s="38"/>
      <c r="C13" s="29"/>
      <c r="D13" s="29"/>
      <c r="E13" s="34"/>
    </row>
    <row r="14" spans="2:5">
      <c r="B14" s="38"/>
      <c r="C14" s="29"/>
      <c r="D14" s="29"/>
      <c r="E14" s="34"/>
    </row>
    <row r="15" spans="2:5">
      <c r="B15" s="38"/>
      <c r="C15" s="29"/>
      <c r="D15" s="29"/>
      <c r="E15" s="34"/>
    </row>
    <row r="16" spans="2:5">
      <c r="B16" s="38"/>
      <c r="C16" s="29"/>
      <c r="D16" s="29"/>
      <c r="E16" s="34"/>
    </row>
    <row r="17" spans="2:11">
      <c r="B17" s="38" t="s">
        <v>22</v>
      </c>
      <c r="C17" s="29"/>
      <c r="D17" s="29"/>
      <c r="E17" s="34"/>
    </row>
    <row r="18" spans="2:11">
      <c r="B18" s="39" t="s">
        <v>207</v>
      </c>
      <c r="C18" s="29"/>
      <c r="D18" s="29"/>
      <c r="E18" s="34"/>
    </row>
    <row r="19" spans="2:11">
      <c r="B19" s="39" t="s">
        <v>208</v>
      </c>
      <c r="C19" s="384" t="str">
        <f>IF(C20*0.1&lt;C18,"Exceed 10% Rule","")</f>
        <v/>
      </c>
      <c r="D19" s="384" t="str">
        <f>IF(D20*0.1&lt;D18,"Exceed 10% Rule","")</f>
        <v/>
      </c>
      <c r="E19" s="45" t="str">
        <f>IF(E20*0.1+E40&lt;E18,"Exceed 10% Rule","")</f>
        <v/>
      </c>
    </row>
    <row r="20" spans="2:11">
      <c r="B20" s="41" t="s">
        <v>23</v>
      </c>
      <c r="C20" s="389">
        <f>SUM(C8:C18)</f>
        <v>0</v>
      </c>
      <c r="D20" s="389">
        <f>SUM(D8:D18)</f>
        <v>0</v>
      </c>
      <c r="E20" s="42">
        <f>SUM(E8:E18)</f>
        <v>0</v>
      </c>
    </row>
    <row r="21" spans="2:11">
      <c r="B21" s="43" t="s">
        <v>24</v>
      </c>
      <c r="C21" s="389">
        <f>C20+C6</f>
        <v>0</v>
      </c>
      <c r="D21" s="389">
        <f>D20+D6</f>
        <v>0</v>
      </c>
      <c r="E21" s="42">
        <f>E20+E6</f>
        <v>0</v>
      </c>
    </row>
    <row r="22" spans="2:11">
      <c r="B22" s="27" t="s">
        <v>25</v>
      </c>
      <c r="C22" s="387"/>
      <c r="D22" s="387"/>
      <c r="E22" s="32"/>
    </row>
    <row r="23" spans="2:11">
      <c r="B23" s="38"/>
      <c r="C23" s="29"/>
      <c r="D23" s="29"/>
      <c r="E23" s="34"/>
    </row>
    <row r="24" spans="2:11">
      <c r="B24" s="38"/>
      <c r="C24" s="29"/>
      <c r="D24" s="29"/>
      <c r="E24" s="34"/>
      <c r="G24" s="809" t="str">
        <f>CONCATENATE("Desired Carryover Into ",E1+1,"")</f>
        <v>Desired Carryover Into 2014</v>
      </c>
      <c r="H24" s="810"/>
      <c r="I24" s="810"/>
      <c r="J24" s="811"/>
      <c r="K24" s="583"/>
    </row>
    <row r="25" spans="2:11">
      <c r="B25" s="38"/>
      <c r="C25" s="29"/>
      <c r="D25" s="29"/>
      <c r="E25" s="34"/>
      <c r="G25" s="614"/>
      <c r="H25" s="615"/>
      <c r="I25" s="616"/>
      <c r="J25" s="617"/>
      <c r="K25" s="583"/>
    </row>
    <row r="26" spans="2:11">
      <c r="B26" s="29"/>
      <c r="C26" s="29"/>
      <c r="D26" s="29"/>
      <c r="E26" s="34"/>
      <c r="G26" s="618" t="s">
        <v>709</v>
      </c>
      <c r="H26" s="616"/>
      <c r="I26" s="616"/>
      <c r="J26" s="619">
        <v>0</v>
      </c>
      <c r="K26" s="583"/>
    </row>
    <row r="27" spans="2:11">
      <c r="B27" s="29"/>
      <c r="C27" s="29"/>
      <c r="D27" s="29"/>
      <c r="E27" s="34"/>
      <c r="G27" s="614" t="s">
        <v>710</v>
      </c>
      <c r="H27" s="615"/>
      <c r="I27" s="615"/>
      <c r="J27" s="620" t="str">
        <f>IF(J26=0,"",ROUND((J26+E40-G39)/inputOth!E7*1000,3)-G44)</f>
        <v/>
      </c>
      <c r="K27" s="583"/>
    </row>
    <row r="28" spans="2:11">
      <c r="B28" s="38"/>
      <c r="C28" s="29"/>
      <c r="D28" s="29"/>
      <c r="E28" s="34"/>
      <c r="G28" s="621" t="str">
        <f>CONCATENATE("",E1," Tot Exp/Non-Appr Must Be:")</f>
        <v>2013 Tot Exp/Non-Appr Must Be:</v>
      </c>
      <c r="H28" s="622"/>
      <c r="I28" s="623"/>
      <c r="J28" s="624">
        <f>IF(J26&gt;0,IF(E37&lt;E21,IF(J26=G39,E37,((J26-G39)*(1-D39))+E21),E37+(J26-G39)),0)</f>
        <v>0</v>
      </c>
      <c r="K28" s="583"/>
    </row>
    <row r="29" spans="2:11">
      <c r="B29" s="38"/>
      <c r="C29" s="29"/>
      <c r="D29" s="29"/>
      <c r="E29" s="34"/>
      <c r="G29" s="625" t="s">
        <v>817</v>
      </c>
      <c r="H29" s="626"/>
      <c r="I29" s="626"/>
      <c r="J29" s="627">
        <f>IF(J26&gt;0,J28-E37,0)</f>
        <v>0</v>
      </c>
      <c r="K29" s="583"/>
    </row>
    <row r="30" spans="2:11">
      <c r="B30" s="35" t="s">
        <v>209</v>
      </c>
      <c r="C30" s="29"/>
      <c r="D30" s="29"/>
      <c r="E30" s="46" t="str">
        <f>nhood!E14</f>
        <v/>
      </c>
      <c r="G30" s="583"/>
      <c r="H30" s="583"/>
      <c r="I30" s="583"/>
      <c r="J30" s="583"/>
      <c r="K30" s="583"/>
    </row>
    <row r="31" spans="2:11">
      <c r="B31" s="35" t="s">
        <v>207</v>
      </c>
      <c r="C31" s="29"/>
      <c r="D31" s="29"/>
      <c r="E31" s="34"/>
      <c r="G31" s="809" t="str">
        <f>CONCATENATE("Projected Carryover Into ",E1+1,"")</f>
        <v>Projected Carryover Into 2014</v>
      </c>
      <c r="H31" s="812"/>
      <c r="I31" s="812"/>
      <c r="J31" s="813"/>
      <c r="K31" s="583"/>
    </row>
    <row r="32" spans="2:11">
      <c r="B32" s="35" t="s">
        <v>616</v>
      </c>
      <c r="C32" s="384" t="str">
        <f>IF(C33*0.1&lt;C31,"Exceed 10% Rule","")</f>
        <v/>
      </c>
      <c r="D32" s="384" t="str">
        <f>IF(D33*0.1&lt;D31,"Exceed 10% Rule","")</f>
        <v/>
      </c>
      <c r="E32" s="45" t="str">
        <f>IF(E33*0.1&lt;E31,"Exceed 10% Rule","")</f>
        <v/>
      </c>
      <c r="G32" s="614"/>
      <c r="H32" s="616"/>
      <c r="I32" s="616"/>
      <c r="J32" s="629"/>
      <c r="K32" s="583"/>
    </row>
    <row r="33" spans="2:11">
      <c r="B33" s="43" t="s">
        <v>26</v>
      </c>
      <c r="C33" s="389">
        <f>SUM(C23:C31)</f>
        <v>0</v>
      </c>
      <c r="D33" s="389">
        <f>SUM(D23:D31)</f>
        <v>0</v>
      </c>
      <c r="E33" s="42">
        <f>SUM(E23:E31)</f>
        <v>0</v>
      </c>
      <c r="G33" s="632">
        <f>D34</f>
        <v>0</v>
      </c>
      <c r="H33" s="633" t="str">
        <f>CONCATENATE("",E1-1," Ending Cash Balance (est.)")</f>
        <v>2012 Ending Cash Balance (est.)</v>
      </c>
      <c r="I33" s="634"/>
      <c r="J33" s="629"/>
      <c r="K33" s="583"/>
    </row>
    <row r="34" spans="2:11">
      <c r="B34" s="27" t="s">
        <v>115</v>
      </c>
      <c r="C34" s="382">
        <f>C21-C33</f>
        <v>0</v>
      </c>
      <c r="D34" s="382">
        <f>D21-D33</f>
        <v>0</v>
      </c>
      <c r="E34" s="33" t="s">
        <v>284</v>
      </c>
      <c r="G34" s="632">
        <f>E20</f>
        <v>0</v>
      </c>
      <c r="H34" s="616" t="str">
        <f>CONCATENATE("",E1," Non-AV Receipts (est.)")</f>
        <v>2013 Non-AV Receipts (est.)</v>
      </c>
      <c r="I34" s="634"/>
      <c r="J34" s="629"/>
      <c r="K34" s="583"/>
    </row>
    <row r="35" spans="2:11">
      <c r="B35" s="48" t="str">
        <f>CONCATENATE("",E1-2,"/",E1-1," Budget Authority Amount:")</f>
        <v>2011/2012 Budget Authority Amount:</v>
      </c>
      <c r="C35" s="131">
        <f>inputOth!B54</f>
        <v>0</v>
      </c>
      <c r="D35" s="159">
        <f>inputPrYr!D24</f>
        <v>0</v>
      </c>
      <c r="E35" s="33" t="s">
        <v>284</v>
      </c>
      <c r="F35" s="50"/>
      <c r="G35" s="641">
        <f>IF(E39&gt;0,E38,E40)</f>
        <v>0</v>
      </c>
      <c r="H35" s="616" t="str">
        <f>CONCATENATE("",E1," Ad Valorem Tax (est.)")</f>
        <v>2013 Ad Valorem Tax (est.)</v>
      </c>
      <c r="I35" s="634"/>
      <c r="J35" s="629"/>
      <c r="K35" s="642" t="str">
        <f>IF(G35=E40,"","Note: Does not include Delinquent Taxes")</f>
        <v/>
      </c>
    </row>
    <row r="36" spans="2:11">
      <c r="B36" s="48"/>
      <c r="C36" s="793" t="s">
        <v>617</v>
      </c>
      <c r="D36" s="794"/>
      <c r="E36" s="34"/>
      <c r="F36" s="483" t="str">
        <f>IF(E33/0.95-E33&lt;E36,"Exceeds 5%","")</f>
        <v/>
      </c>
      <c r="G36" s="632">
        <f>SUM(G33:G35)</f>
        <v>0</v>
      </c>
      <c r="H36" s="616" t="str">
        <f>CONCATENATE("Total ",E1," Resources Available")</f>
        <v>Total 2013 Resources Available</v>
      </c>
      <c r="I36" s="634"/>
      <c r="J36" s="629"/>
      <c r="K36" s="583"/>
    </row>
    <row r="37" spans="2:11">
      <c r="B37" s="396" t="str">
        <f>CONCATENATE(C92,"     ",D92)</f>
        <v xml:space="preserve">     </v>
      </c>
      <c r="C37" s="795" t="s">
        <v>618</v>
      </c>
      <c r="D37" s="796"/>
      <c r="E37" s="32">
        <f>E33+E36</f>
        <v>0</v>
      </c>
      <c r="G37" s="645"/>
      <c r="H37" s="616"/>
      <c r="I37" s="616"/>
      <c r="J37" s="629"/>
      <c r="K37" s="583"/>
    </row>
    <row r="38" spans="2:11">
      <c r="B38" s="396" t="str">
        <f>CONCATENATE(C93,"     ",D93)</f>
        <v xml:space="preserve">     </v>
      </c>
      <c r="C38" s="59"/>
      <c r="D38" s="52" t="s">
        <v>28</v>
      </c>
      <c r="E38" s="46">
        <f>IF(E37-E21&gt;0,E37-E21,0)</f>
        <v>0</v>
      </c>
      <c r="G38" s="641">
        <f>ROUND(C33*0.05+C33,)</f>
        <v>0</v>
      </c>
      <c r="H38" s="616" t="str">
        <f>CONCATENATE("Less ",E1-2," Expenditures + 5%")</f>
        <v>Less 2011 Expenditures + 5%</v>
      </c>
      <c r="I38" s="616"/>
      <c r="J38" s="629"/>
      <c r="K38" s="583"/>
    </row>
    <row r="39" spans="2:11">
      <c r="B39" s="52"/>
      <c r="C39" s="400" t="s">
        <v>619</v>
      </c>
      <c r="D39" s="690">
        <f>inputOth!$E$40</f>
        <v>0</v>
      </c>
      <c r="E39" s="32">
        <f>ROUND(IF(D39&gt;0,(E38*D39),0),0)</f>
        <v>0</v>
      </c>
      <c r="G39" s="649">
        <f>G36-G38</f>
        <v>0</v>
      </c>
      <c r="H39" s="650" t="str">
        <f>CONCATENATE("Projected ",E1+1," carryover (est.)")</f>
        <v>Projected 2014 carryover (est.)</v>
      </c>
      <c r="I39" s="651"/>
      <c r="J39" s="652"/>
      <c r="K39" s="583"/>
    </row>
    <row r="40" spans="2:11">
      <c r="B40" s="14"/>
      <c r="C40" s="791" t="str">
        <f>CONCATENATE("Amount of  ",$E$1-1," Ad Valorem Tax")</f>
        <v>Amount of  2012 Ad Valorem Tax</v>
      </c>
      <c r="D40" s="792"/>
      <c r="E40" s="46">
        <f>E38+E39</f>
        <v>0</v>
      </c>
      <c r="G40" s="583"/>
      <c r="H40" s="583"/>
      <c r="I40" s="583"/>
      <c r="J40" s="583"/>
      <c r="K40" s="583"/>
    </row>
    <row r="41" spans="2:11">
      <c r="B41" s="14"/>
      <c r="C41" s="540"/>
      <c r="D41" s="14"/>
      <c r="E41" s="14"/>
      <c r="G41" s="806" t="s">
        <v>818</v>
      </c>
      <c r="H41" s="807"/>
      <c r="I41" s="807"/>
      <c r="J41" s="808"/>
      <c r="K41" s="583"/>
    </row>
    <row r="42" spans="2:11">
      <c r="B42" s="14"/>
      <c r="C42" s="540"/>
      <c r="D42" s="14"/>
      <c r="E42" s="14"/>
      <c r="G42" s="656"/>
      <c r="H42" s="633"/>
      <c r="I42" s="657"/>
      <c r="J42" s="658"/>
      <c r="K42" s="583"/>
    </row>
    <row r="43" spans="2:11">
      <c r="B43" s="22" t="s">
        <v>10</v>
      </c>
      <c r="C43" s="65"/>
      <c r="D43" s="65"/>
      <c r="E43" s="65"/>
      <c r="G43" s="659" t="e">
        <f>summ!#REF!</f>
        <v>#REF!</v>
      </c>
      <c r="H43" s="633" t="str">
        <f>CONCATENATE("",E1," Fund Mill Rate")</f>
        <v>2013 Fund Mill Rate</v>
      </c>
      <c r="I43" s="657"/>
      <c r="J43" s="658"/>
      <c r="K43" s="583"/>
    </row>
    <row r="44" spans="2:11">
      <c r="B44" s="14"/>
      <c r="C44" s="385" t="s">
        <v>11</v>
      </c>
      <c r="D44" s="388" t="s">
        <v>12</v>
      </c>
      <c r="E44" s="23" t="s">
        <v>13</v>
      </c>
      <c r="G44" s="660" t="e">
        <f>summ!#REF!</f>
        <v>#REF!</v>
      </c>
      <c r="H44" s="633" t="str">
        <f>CONCATENATE("",E1-1," Fund Mill Rate")</f>
        <v>2012 Fund Mill Rate</v>
      </c>
      <c r="I44" s="657"/>
      <c r="J44" s="658"/>
      <c r="K44" s="583"/>
    </row>
    <row r="45" spans="2:11">
      <c r="B45" s="478">
        <f>inputPrYr!B25</f>
        <v>0</v>
      </c>
      <c r="C45" s="386" t="str">
        <f>C5</f>
        <v>Actual for 2011</v>
      </c>
      <c r="D45" s="386" t="str">
        <f>D5</f>
        <v>Estimate for 2012</v>
      </c>
      <c r="E45" s="26" t="str">
        <f>E5</f>
        <v>Year for 2013</v>
      </c>
      <c r="G45" s="662">
        <f>summ!I24</f>
        <v>2.4510000000000001</v>
      </c>
      <c r="H45" s="633" t="str">
        <f>CONCATENATE("Total ",E1," Mill Rate")</f>
        <v>Total 2013 Mill Rate</v>
      </c>
      <c r="I45" s="657"/>
      <c r="J45" s="658"/>
      <c r="K45" s="583"/>
    </row>
    <row r="46" spans="2:11">
      <c r="B46" s="27" t="s">
        <v>114</v>
      </c>
      <c r="C46" s="29"/>
      <c r="D46" s="387">
        <f>C74</f>
        <v>0</v>
      </c>
      <c r="E46" s="32">
        <f>D74</f>
        <v>0</v>
      </c>
      <c r="G46" s="660">
        <f>summ!F24</f>
        <v>2.5310000000000001</v>
      </c>
      <c r="H46" s="663" t="str">
        <f>CONCATENATE("Total ",E1-1," Mill Rate")</f>
        <v>Total 2012 Mill Rate</v>
      </c>
      <c r="I46" s="664"/>
      <c r="J46" s="665"/>
      <c r="K46" s="583"/>
    </row>
    <row r="47" spans="2:11">
      <c r="B47" s="27" t="s">
        <v>116</v>
      </c>
      <c r="C47" s="387"/>
      <c r="D47" s="387"/>
      <c r="E47" s="33"/>
      <c r="G47" s="583"/>
      <c r="H47" s="583"/>
      <c r="I47" s="583"/>
      <c r="J47" s="583"/>
      <c r="K47" s="583"/>
    </row>
    <row r="48" spans="2:11">
      <c r="B48" s="27" t="s">
        <v>16</v>
      </c>
      <c r="C48" s="29"/>
      <c r="D48" s="387">
        <f>IF(inputPrYr!H15&gt;0,inputPrYr!G25,inputPrYr!E25)</f>
        <v>0</v>
      </c>
      <c r="E48" s="33" t="s">
        <v>284</v>
      </c>
      <c r="G48" s="583"/>
      <c r="H48" s="583"/>
      <c r="I48" s="583"/>
      <c r="J48" s="583"/>
      <c r="K48" s="583"/>
    </row>
    <row r="49" spans="2:11">
      <c r="B49" s="27" t="s">
        <v>17</v>
      </c>
      <c r="C49" s="29"/>
      <c r="D49" s="29"/>
      <c r="E49" s="34"/>
      <c r="G49" s="583"/>
      <c r="H49" s="583"/>
      <c r="I49" s="583"/>
      <c r="J49" s="583"/>
      <c r="K49" s="583"/>
    </row>
    <row r="50" spans="2:11">
      <c r="B50" s="27" t="s">
        <v>18</v>
      </c>
      <c r="C50" s="29"/>
      <c r="D50" s="29"/>
      <c r="E50" s="32">
        <f>mvalloc!G20</f>
        <v>0</v>
      </c>
      <c r="G50" s="583"/>
      <c r="H50" s="583"/>
      <c r="I50" s="583"/>
      <c r="J50" s="583"/>
      <c r="K50" s="583"/>
    </row>
    <row r="51" spans="2:11">
      <c r="B51" s="27" t="s">
        <v>19</v>
      </c>
      <c r="C51" s="29"/>
      <c r="D51" s="29"/>
      <c r="E51" s="32">
        <f>mvalloc!I20</f>
        <v>0</v>
      </c>
      <c r="G51" s="583"/>
      <c r="H51" s="583"/>
      <c r="I51" s="583"/>
      <c r="J51" s="583"/>
      <c r="K51" s="583"/>
    </row>
    <row r="52" spans="2:11">
      <c r="B52" s="27" t="s">
        <v>96</v>
      </c>
      <c r="C52" s="29"/>
      <c r="D52" s="29"/>
      <c r="E52" s="32">
        <f>mvalloc!J20</f>
        <v>0</v>
      </c>
      <c r="G52" s="583"/>
      <c r="H52" s="583"/>
      <c r="I52" s="583"/>
      <c r="J52" s="583"/>
      <c r="K52" s="583"/>
    </row>
    <row r="53" spans="2:11">
      <c r="B53" s="37"/>
      <c r="C53" s="29"/>
      <c r="D53" s="29"/>
      <c r="E53" s="34"/>
      <c r="G53" s="583"/>
      <c r="H53" s="583"/>
      <c r="I53" s="583"/>
      <c r="J53" s="583"/>
      <c r="K53" s="583"/>
    </row>
    <row r="54" spans="2:11">
      <c r="B54" s="37"/>
      <c r="C54" s="29"/>
      <c r="D54" s="29"/>
      <c r="E54" s="34"/>
      <c r="G54" s="583"/>
      <c r="H54" s="583"/>
      <c r="I54" s="583"/>
      <c r="J54" s="583"/>
      <c r="K54" s="583"/>
    </row>
    <row r="55" spans="2:11">
      <c r="B55" s="37"/>
      <c r="C55" s="29"/>
      <c r="D55" s="29"/>
      <c r="E55" s="34"/>
      <c r="G55" s="583"/>
      <c r="H55" s="583"/>
      <c r="I55" s="583"/>
      <c r="J55" s="583"/>
      <c r="K55" s="583"/>
    </row>
    <row r="56" spans="2:11">
      <c r="B56" s="38"/>
      <c r="C56" s="29"/>
      <c r="D56" s="29"/>
      <c r="E56" s="34"/>
      <c r="G56" s="583"/>
      <c r="H56" s="583"/>
      <c r="I56" s="583"/>
      <c r="J56" s="583"/>
      <c r="K56" s="583"/>
    </row>
    <row r="57" spans="2:11">
      <c r="B57" s="38" t="s">
        <v>22</v>
      </c>
      <c r="C57" s="29"/>
      <c r="D57" s="29"/>
      <c r="E57" s="34"/>
      <c r="G57" s="583"/>
      <c r="H57" s="583"/>
      <c r="I57" s="583"/>
      <c r="J57" s="583"/>
      <c r="K57" s="583"/>
    </row>
    <row r="58" spans="2:11">
      <c r="B58" s="39" t="s">
        <v>207</v>
      </c>
      <c r="C58" s="29"/>
      <c r="D58" s="29"/>
      <c r="E58" s="34"/>
      <c r="G58" s="583"/>
      <c r="H58" s="583"/>
      <c r="I58" s="583"/>
      <c r="J58" s="583"/>
      <c r="K58" s="583"/>
    </row>
    <row r="59" spans="2:11">
      <c r="B59" s="39" t="s">
        <v>208</v>
      </c>
      <c r="C59" s="384" t="str">
        <f>IF(C60*0.1&lt;C58,"Exceed 10% Rule","")</f>
        <v/>
      </c>
      <c r="D59" s="384" t="str">
        <f>IF(D60*0.1&lt;D58,"Exceed 10% Rule","")</f>
        <v/>
      </c>
      <c r="E59" s="45" t="str">
        <f>IF(E60*0.1+E80&lt;E58,"Exceed 10% Rule","")</f>
        <v/>
      </c>
      <c r="G59" s="583"/>
      <c r="H59" s="583"/>
      <c r="I59" s="583"/>
      <c r="J59" s="583"/>
      <c r="K59" s="583"/>
    </row>
    <row r="60" spans="2:11">
      <c r="B60" s="41" t="s">
        <v>23</v>
      </c>
      <c r="C60" s="389">
        <f>SUM(C48:C58)</f>
        <v>0</v>
      </c>
      <c r="D60" s="389">
        <f>SUM(D48:D58)</f>
        <v>0</v>
      </c>
      <c r="E60" s="42">
        <f>SUM(E48:E58)</f>
        <v>0</v>
      </c>
      <c r="G60" s="583"/>
      <c r="H60" s="583"/>
      <c r="I60" s="583"/>
      <c r="J60" s="583"/>
      <c r="K60" s="583"/>
    </row>
    <row r="61" spans="2:11">
      <c r="B61" s="43" t="s">
        <v>24</v>
      </c>
      <c r="C61" s="389">
        <f>C60+C46</f>
        <v>0</v>
      </c>
      <c r="D61" s="389">
        <f>D60+D46</f>
        <v>0</v>
      </c>
      <c r="E61" s="42">
        <f>E60+E46</f>
        <v>0</v>
      </c>
      <c r="G61" s="583"/>
      <c r="H61" s="583"/>
      <c r="I61" s="583"/>
      <c r="J61" s="583"/>
      <c r="K61" s="583"/>
    </row>
    <row r="62" spans="2:11">
      <c r="B62" s="27" t="s">
        <v>25</v>
      </c>
      <c r="C62" s="387"/>
      <c r="D62" s="387"/>
      <c r="E62" s="32"/>
      <c r="G62" s="583"/>
      <c r="H62" s="583"/>
      <c r="I62" s="583"/>
      <c r="J62" s="583"/>
      <c r="K62" s="583"/>
    </row>
    <row r="63" spans="2:11">
      <c r="B63" s="38"/>
      <c r="C63" s="29"/>
      <c r="D63" s="29"/>
      <c r="E63" s="34"/>
      <c r="G63" s="583"/>
      <c r="H63" s="583"/>
      <c r="I63" s="583"/>
      <c r="J63" s="583"/>
      <c r="K63" s="583"/>
    </row>
    <row r="64" spans="2:11">
      <c r="B64" s="38"/>
      <c r="C64" s="29"/>
      <c r="D64" s="29"/>
      <c r="E64" s="34"/>
      <c r="G64" s="809" t="str">
        <f>CONCATENATE("Desired Carryover Into ",E1+1,"")</f>
        <v>Desired Carryover Into 2014</v>
      </c>
      <c r="H64" s="810"/>
      <c r="I64" s="810"/>
      <c r="J64" s="811"/>
      <c r="K64" s="583"/>
    </row>
    <row r="65" spans="2:11">
      <c r="B65" s="38"/>
      <c r="C65" s="29"/>
      <c r="D65" s="29"/>
      <c r="E65" s="34"/>
      <c r="G65" s="614"/>
      <c r="H65" s="615"/>
      <c r="I65" s="616"/>
      <c r="J65" s="617"/>
      <c r="K65" s="583"/>
    </row>
    <row r="66" spans="2:11">
      <c r="B66" s="38"/>
      <c r="C66" s="29"/>
      <c r="D66" s="29"/>
      <c r="E66" s="34"/>
      <c r="G66" s="618" t="s">
        <v>709</v>
      </c>
      <c r="H66" s="616"/>
      <c r="I66" s="616"/>
      <c r="J66" s="619">
        <v>0</v>
      </c>
      <c r="K66" s="583"/>
    </row>
    <row r="67" spans="2:11">
      <c r="B67" s="38"/>
      <c r="C67" s="29"/>
      <c r="D67" s="29"/>
      <c r="E67" s="34"/>
      <c r="G67" s="614" t="s">
        <v>710</v>
      </c>
      <c r="H67" s="615"/>
      <c r="I67" s="615"/>
      <c r="J67" s="620" t="str">
        <f>IF(J66=0,"",ROUND((J66+E80-G79)/inputOth!E7*1000,3)-G84)</f>
        <v/>
      </c>
      <c r="K67" s="583"/>
    </row>
    <row r="68" spans="2:11">
      <c r="B68" s="38"/>
      <c r="C68" s="29"/>
      <c r="D68" s="29"/>
      <c r="E68" s="34"/>
      <c r="G68" s="621" t="str">
        <f>CONCATENATE("",E1," Tot Exp/Non-Appr Must Be:")</f>
        <v>2013 Tot Exp/Non-Appr Must Be:</v>
      </c>
      <c r="H68" s="622"/>
      <c r="I68" s="623"/>
      <c r="J68" s="624">
        <f>IF(J66&gt;0,IF(E77&lt;E61,IF(J66=G79,E77,((J66-G79)*(1-D79))+E61),E77+(J66-G79)),0)</f>
        <v>0</v>
      </c>
      <c r="K68" s="583"/>
    </row>
    <row r="69" spans="2:11">
      <c r="B69" s="38"/>
      <c r="C69" s="29"/>
      <c r="D69" s="29"/>
      <c r="E69" s="34"/>
      <c r="G69" s="625" t="s">
        <v>817</v>
      </c>
      <c r="H69" s="626"/>
      <c r="I69" s="626"/>
      <c r="J69" s="627">
        <f>IF(J66&gt;0,J68-E77,0)</f>
        <v>0</v>
      </c>
      <c r="K69" s="583"/>
    </row>
    <row r="70" spans="2:11">
      <c r="B70" s="35" t="s">
        <v>209</v>
      </c>
      <c r="C70" s="29"/>
      <c r="D70" s="29"/>
      <c r="E70" s="46" t="str">
        <f>nhood!E15</f>
        <v/>
      </c>
      <c r="G70" s="583"/>
      <c r="H70" s="583"/>
      <c r="I70" s="583"/>
      <c r="J70" s="583"/>
      <c r="K70" s="583"/>
    </row>
    <row r="71" spans="2:11">
      <c r="B71" s="35" t="s">
        <v>207</v>
      </c>
      <c r="C71" s="29"/>
      <c r="D71" s="29"/>
      <c r="E71" s="34"/>
      <c r="G71" s="809" t="str">
        <f>CONCATENATE("Projected Carryover Into ",E1+1,"")</f>
        <v>Projected Carryover Into 2014</v>
      </c>
      <c r="H71" s="814"/>
      <c r="I71" s="814"/>
      <c r="J71" s="813"/>
      <c r="K71" s="583"/>
    </row>
    <row r="72" spans="2:11">
      <c r="B72" s="35" t="s">
        <v>616</v>
      </c>
      <c r="C72" s="384" t="str">
        <f>IF(C73*0.1&lt;C71,"Exceed 10% Rule","")</f>
        <v/>
      </c>
      <c r="D72" s="384" t="str">
        <f>IF(D73*0.1&lt;D71,"Exceed 10% Rule","")</f>
        <v/>
      </c>
      <c r="E72" s="45" t="str">
        <f>IF(E73*0.1&lt;E71,"Exceed 10% Rule","")</f>
        <v/>
      </c>
      <c r="G72" s="668"/>
      <c r="H72" s="615"/>
      <c r="I72" s="615"/>
      <c r="J72" s="669"/>
      <c r="K72" s="583"/>
    </row>
    <row r="73" spans="2:11">
      <c r="B73" s="43" t="s">
        <v>26</v>
      </c>
      <c r="C73" s="389">
        <f>SUM(C63:C71)</f>
        <v>0</v>
      </c>
      <c r="D73" s="389">
        <f>SUM(D63:D71)</f>
        <v>0</v>
      </c>
      <c r="E73" s="42">
        <f>SUM(E63:E71)</f>
        <v>0</v>
      </c>
      <c r="G73" s="632">
        <f>D74</f>
        <v>0</v>
      </c>
      <c r="H73" s="633" t="str">
        <f>CONCATENATE("",E1-1," Ending Cash Balance (est.)")</f>
        <v>2012 Ending Cash Balance (est.)</v>
      </c>
      <c r="I73" s="634"/>
      <c r="J73" s="669"/>
      <c r="K73" s="583"/>
    </row>
    <row r="74" spans="2:11">
      <c r="B74" s="27" t="s">
        <v>115</v>
      </c>
      <c r="C74" s="382">
        <f>C61-C73</f>
        <v>0</v>
      </c>
      <c r="D74" s="382">
        <f>D61-D73</f>
        <v>0</v>
      </c>
      <c r="E74" s="33" t="s">
        <v>284</v>
      </c>
      <c r="G74" s="632">
        <f>E60</f>
        <v>0</v>
      </c>
      <c r="H74" s="616" t="str">
        <f>CONCATENATE("",E1," Non-AV Receipts (est.)")</f>
        <v>2013 Non-AV Receipts (est.)</v>
      </c>
      <c r="I74" s="634"/>
      <c r="J74" s="669"/>
      <c r="K74" s="583"/>
    </row>
    <row r="75" spans="2:11">
      <c r="B75" s="48" t="str">
        <f>CONCATENATE("",E1-2,"/",E1-1," Budget Authority Amount:")</f>
        <v>2011/2012 Budget Authority Amount:</v>
      </c>
      <c r="C75" s="131">
        <f>inputOth!B55</f>
        <v>0</v>
      </c>
      <c r="D75" s="159">
        <f>inputPrYr!D25</f>
        <v>0</v>
      </c>
      <c r="E75" s="33" t="s">
        <v>284</v>
      </c>
      <c r="F75" s="50"/>
      <c r="G75" s="641">
        <f>IF(E79&gt;0,E78,E80)</f>
        <v>0</v>
      </c>
      <c r="H75" s="616" t="str">
        <f>CONCATENATE("",E1," Ad Valorem Tax (est.)")</f>
        <v>2013 Ad Valorem Tax (est.)</v>
      </c>
      <c r="I75" s="634"/>
      <c r="J75" s="669"/>
      <c r="K75" s="642" t="str">
        <f>IF(G75=E80,"","Note: Does not include Delinquent Taxes")</f>
        <v/>
      </c>
    </row>
    <row r="76" spans="2:11">
      <c r="B76" s="48"/>
      <c r="C76" s="793" t="s">
        <v>617</v>
      </c>
      <c r="D76" s="794"/>
      <c r="E76" s="34"/>
      <c r="F76" s="483" t="str">
        <f>IF(E73/0.95-E73&lt;E76,"Exceeds 5%","")</f>
        <v/>
      </c>
      <c r="G76" s="671">
        <f>SUM(G73:G75)</f>
        <v>0</v>
      </c>
      <c r="H76" s="616" t="str">
        <f>CONCATENATE("Total ",E1," Resources Available")</f>
        <v>Total 2013 Resources Available</v>
      </c>
      <c r="I76" s="672"/>
      <c r="J76" s="669"/>
      <c r="K76" s="583"/>
    </row>
    <row r="77" spans="2:11">
      <c r="B77" s="48"/>
      <c r="C77" s="795" t="s">
        <v>618</v>
      </c>
      <c r="D77" s="796"/>
      <c r="E77" s="32">
        <f>E73+E76</f>
        <v>0</v>
      </c>
      <c r="G77" s="673"/>
      <c r="H77" s="674"/>
      <c r="I77" s="615"/>
      <c r="J77" s="669"/>
      <c r="K77" s="583"/>
    </row>
    <row r="78" spans="2:11">
      <c r="B78" s="48"/>
      <c r="C78" s="59"/>
      <c r="D78" s="52" t="s">
        <v>28</v>
      </c>
      <c r="E78" s="46">
        <f>IF(E77-E61&gt;0,E77-E61,0)</f>
        <v>0</v>
      </c>
      <c r="G78" s="641">
        <f>ROUND(C73*0.05+C73,0)</f>
        <v>0</v>
      </c>
      <c r="H78" s="616" t="str">
        <f>CONCATENATE("Less ",E1-2," Expenditures + 5%")</f>
        <v>Less 2011 Expenditures + 5%</v>
      </c>
      <c r="I78" s="672"/>
      <c r="J78" s="669"/>
      <c r="K78" s="583"/>
    </row>
    <row r="79" spans="2:11">
      <c r="B79" s="52"/>
      <c r="C79" s="400" t="s">
        <v>619</v>
      </c>
      <c r="D79" s="690">
        <f>inputOth!$E$40</f>
        <v>0</v>
      </c>
      <c r="E79" s="32">
        <f>ROUND(IF(D79&gt;0,(E78*D79),0),0)</f>
        <v>0</v>
      </c>
      <c r="G79" s="649">
        <f>G76-G78</f>
        <v>0</v>
      </c>
      <c r="H79" s="650" t="str">
        <f>CONCATENATE("Projected ",E1+1," carryover (est.)")</f>
        <v>Projected 2014 carryover (est.)</v>
      </c>
      <c r="I79" s="675"/>
      <c r="J79" s="676"/>
      <c r="K79" s="583"/>
    </row>
    <row r="80" spans="2:11">
      <c r="B80" s="14"/>
      <c r="C80" s="791" t="str">
        <f>CONCATENATE("Amount of  ",$E$1-1," Ad Valorem Tax")</f>
        <v>Amount of  2012 Ad Valorem Tax</v>
      </c>
      <c r="D80" s="792"/>
      <c r="E80" s="46">
        <f>E78+E79</f>
        <v>0</v>
      </c>
      <c r="G80" s="583"/>
      <c r="H80" s="583"/>
      <c r="I80" s="583"/>
      <c r="J80" s="583"/>
      <c r="K80" s="583"/>
    </row>
    <row r="81" spans="2:11">
      <c r="B81" s="52" t="s">
        <v>9</v>
      </c>
      <c r="C81" s="531"/>
      <c r="D81" s="14"/>
      <c r="E81" s="14"/>
      <c r="G81" s="806" t="s">
        <v>818</v>
      </c>
      <c r="H81" s="807"/>
      <c r="I81" s="807"/>
      <c r="J81" s="808"/>
      <c r="K81" s="583"/>
    </row>
    <row r="82" spans="2:11">
      <c r="B82" s="79"/>
      <c r="G82" s="656"/>
      <c r="H82" s="633"/>
      <c r="I82" s="657"/>
      <c r="J82" s="658"/>
      <c r="K82" s="583"/>
    </row>
    <row r="83" spans="2:11">
      <c r="G83" s="659" t="e">
        <f>summ!#REF!</f>
        <v>#REF!</v>
      </c>
      <c r="H83" s="633" t="str">
        <f>CONCATENATE("",E1," Fund Mill Rate")</f>
        <v>2013 Fund Mill Rate</v>
      </c>
      <c r="I83" s="657"/>
      <c r="J83" s="658"/>
      <c r="K83" s="583"/>
    </row>
    <row r="84" spans="2:11">
      <c r="G84" s="660" t="e">
        <f>summ!#REF!</f>
        <v>#REF!</v>
      </c>
      <c r="H84" s="633" t="str">
        <f>CONCATENATE("",E1-1," Fund Mill Rate")</f>
        <v>2012 Fund Mill Rate</v>
      </c>
      <c r="I84" s="657"/>
      <c r="J84" s="658"/>
      <c r="K84" s="583"/>
    </row>
    <row r="85" spans="2:11">
      <c r="G85" s="662">
        <f>summ!I24</f>
        <v>2.4510000000000001</v>
      </c>
      <c r="H85" s="633" t="str">
        <f>CONCATENATE("Total ",E1," Mill Rate")</f>
        <v>Total 2013 Mill Rate</v>
      </c>
      <c r="I85" s="657"/>
      <c r="J85" s="658"/>
      <c r="K85" s="583"/>
    </row>
    <row r="86" spans="2:11">
      <c r="G86" s="660">
        <f>summ!F24</f>
        <v>2.5310000000000001</v>
      </c>
      <c r="H86" s="663" t="str">
        <f>CONCATENATE("Total ",E1-1," Mill Rate")</f>
        <v>Total 2012 Mill Rate</v>
      </c>
      <c r="I86" s="664"/>
      <c r="J86" s="665"/>
      <c r="K86" s="583"/>
    </row>
    <row r="92" spans="2:11" hidden="1">
      <c r="C92" s="16" t="str">
        <f>IF(C33&gt;C35,"See Tab A","")</f>
        <v/>
      </c>
      <c r="D92" s="16" t="str">
        <f>IF(D33&gt;D35,"See Tab C","")</f>
        <v/>
      </c>
    </row>
    <row r="93" spans="2:11" hidden="1">
      <c r="C93" s="16" t="str">
        <f>IF(C34&lt;0,"See Tab B","")</f>
        <v/>
      </c>
      <c r="D93" s="16" t="str">
        <f>IF(D34&lt;0,"See Tab D","")</f>
        <v/>
      </c>
    </row>
    <row r="94" spans="2:11" hidden="1">
      <c r="C94" s="16" t="str">
        <f>IF(C73&gt;C75,"See Tab A","")</f>
        <v/>
      </c>
      <c r="D94" s="16" t="str">
        <f>IF(D73&gt;D75,"See Tab C","")</f>
        <v/>
      </c>
    </row>
    <row r="95" spans="2:11" hidden="1">
      <c r="C95" s="16" t="str">
        <f>IF(C74&lt;0,"See Tab B","")</f>
        <v/>
      </c>
      <c r="D95" s="16" t="str">
        <f>IF(D74&lt;0,"See Tab D","")</f>
        <v/>
      </c>
    </row>
  </sheetData>
  <mergeCells count="12">
    <mergeCell ref="C80:D80"/>
    <mergeCell ref="C40:D40"/>
    <mergeCell ref="C76:D76"/>
    <mergeCell ref="C77:D77"/>
    <mergeCell ref="C36:D36"/>
    <mergeCell ref="C37:D37"/>
    <mergeCell ref="G81:J81"/>
    <mergeCell ref="G24:J24"/>
    <mergeCell ref="G31:J31"/>
    <mergeCell ref="G41:J41"/>
    <mergeCell ref="G64:J64"/>
    <mergeCell ref="G71:J71"/>
  </mergeCells>
  <phoneticPr fontId="0" type="noConversion"/>
  <conditionalFormatting sqref="E76">
    <cfRule type="cellIs" dxfId="54" priority="3" stopIfTrue="1" operator="greaterThan">
      <formula>$E$73/0.95-$E$73</formula>
    </cfRule>
  </conditionalFormatting>
  <conditionalFormatting sqref="C71">
    <cfRule type="cellIs" dxfId="53" priority="4" stopIfTrue="1" operator="greaterThan">
      <formula>$C$73*0.1</formula>
    </cfRule>
  </conditionalFormatting>
  <conditionalFormatting sqref="D71">
    <cfRule type="cellIs" dxfId="52" priority="5" stopIfTrue="1" operator="greaterThan">
      <formula>$D$73*0.1</formula>
    </cfRule>
  </conditionalFormatting>
  <conditionalFormatting sqref="E71">
    <cfRule type="cellIs" dxfId="51" priority="6" stopIfTrue="1" operator="greaterThan">
      <formula>$E$73*0.1</formula>
    </cfRule>
  </conditionalFormatting>
  <conditionalFormatting sqref="C58">
    <cfRule type="cellIs" dxfId="50" priority="7" stopIfTrue="1" operator="greaterThan">
      <formula>$C$60*0.1</formula>
    </cfRule>
  </conditionalFormatting>
  <conditionalFormatting sqref="D58">
    <cfRule type="cellIs" dxfId="49" priority="8" stopIfTrue="1" operator="greaterThan">
      <formula>$D$60*0.1</formula>
    </cfRule>
  </conditionalFormatting>
  <conditionalFormatting sqref="E36">
    <cfRule type="cellIs" dxfId="48" priority="9" stopIfTrue="1" operator="greaterThan">
      <formula>$E$33/0.95-$E$33</formula>
    </cfRule>
  </conditionalFormatting>
  <conditionalFormatting sqref="C31">
    <cfRule type="cellIs" dxfId="47" priority="10" stopIfTrue="1" operator="greaterThan">
      <formula>$C$33*0.1</formula>
    </cfRule>
  </conditionalFormatting>
  <conditionalFormatting sqref="D31">
    <cfRule type="cellIs" dxfId="46" priority="11" stopIfTrue="1" operator="greaterThan">
      <formula>$D$33*0.1</formula>
    </cfRule>
  </conditionalFormatting>
  <conditionalFormatting sqref="E31">
    <cfRule type="cellIs" dxfId="45" priority="12" stopIfTrue="1" operator="greaterThan">
      <formula>$E$33*0.1</formula>
    </cfRule>
  </conditionalFormatting>
  <conditionalFormatting sqref="C18">
    <cfRule type="cellIs" dxfId="44" priority="13" stopIfTrue="1" operator="greaterThan">
      <formula>$C$20*0.1</formula>
    </cfRule>
  </conditionalFormatting>
  <conditionalFormatting sqref="D18">
    <cfRule type="cellIs" dxfId="43" priority="14" stopIfTrue="1" operator="greaterThan">
      <formula>$D$20*0.1</formula>
    </cfRule>
  </conditionalFormatting>
  <conditionalFormatting sqref="E58">
    <cfRule type="cellIs" dxfId="42" priority="15" stopIfTrue="1" operator="greaterThan">
      <formula>$E$60*0.1+$E$80</formula>
    </cfRule>
  </conditionalFormatting>
  <conditionalFormatting sqref="E18">
    <cfRule type="cellIs" dxfId="41" priority="16" stopIfTrue="1" operator="greaterThan">
      <formula>$E$20*0.1+$E$40</formula>
    </cfRule>
  </conditionalFormatting>
  <conditionalFormatting sqref="C74 C34">
    <cfRule type="cellIs" dxfId="40" priority="17" stopIfTrue="1" operator="lessThan">
      <formula>0</formula>
    </cfRule>
  </conditionalFormatting>
  <conditionalFormatting sqref="C73">
    <cfRule type="cellIs" dxfId="39" priority="18" stopIfTrue="1" operator="greaterThan">
      <formula>$C$75</formula>
    </cfRule>
  </conditionalFormatting>
  <conditionalFormatting sqref="D73">
    <cfRule type="cellIs" dxfId="38" priority="19" stopIfTrue="1" operator="greaterThan">
      <formula>$D$75</formula>
    </cfRule>
  </conditionalFormatting>
  <conditionalFormatting sqref="C33">
    <cfRule type="cellIs" dxfId="37" priority="20" stopIfTrue="1" operator="greaterThan">
      <formula>$C$35</formula>
    </cfRule>
  </conditionalFormatting>
  <conditionalFormatting sqref="D33">
    <cfRule type="cellIs" dxfId="36" priority="21" stopIfTrue="1" operator="greaterThan">
      <formula>$D$35</formula>
    </cfRule>
  </conditionalFormatting>
  <conditionalFormatting sqref="D34 D74">
    <cfRule type="cellIs" dxfId="35"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20.xml><?xml version="1.0" encoding="utf-8"?>
<worksheet xmlns="http://schemas.openxmlformats.org/spreadsheetml/2006/main" xmlns:r="http://schemas.openxmlformats.org/officeDocument/2006/relationships">
  <sheetPr>
    <pageSetUpPr fitToPage="1"/>
  </sheetPr>
  <dimension ref="B1:E65"/>
  <sheetViews>
    <sheetView workbookViewId="0">
      <selection activeCell="C24" sqref="C24:E24"/>
    </sheetView>
  </sheetViews>
  <sheetFormatPr defaultRowHeight="15.75"/>
  <cols>
    <col min="1" max="1" width="2.3984375" style="79" customWidth="1"/>
    <col min="2" max="2" width="31" style="79" customWidth="1"/>
    <col min="3" max="5" width="14.19921875" style="79" customWidth="1"/>
    <col min="6" max="16384" width="8.796875" style="79"/>
  </cols>
  <sheetData>
    <row r="1" spans="2:5">
      <c r="B1" s="13" t="str">
        <f>inputPrYr!D2</f>
        <v>Paxton Township</v>
      </c>
      <c r="C1" s="14"/>
      <c r="D1" s="14"/>
      <c r="E1" s="15">
        <f>inputPrYr!D5</f>
        <v>2013</v>
      </c>
    </row>
    <row r="2" spans="2:5">
      <c r="B2" s="14"/>
      <c r="C2" s="14"/>
      <c r="D2" s="14"/>
      <c r="E2" s="52"/>
    </row>
    <row r="3" spans="2:5">
      <c r="B3" s="17" t="s">
        <v>137</v>
      </c>
      <c r="C3" s="65"/>
      <c r="D3" s="65"/>
      <c r="E3" s="65"/>
    </row>
    <row r="4" spans="2:5">
      <c r="B4" s="22" t="s">
        <v>10</v>
      </c>
      <c r="C4" s="68" t="s">
        <v>11</v>
      </c>
      <c r="D4" s="23" t="s">
        <v>12</v>
      </c>
      <c r="E4" s="23" t="s">
        <v>13</v>
      </c>
    </row>
    <row r="5" spans="2:5">
      <c r="B5" s="397">
        <f>inputPrYr!B29</f>
        <v>0</v>
      </c>
      <c r="C5" s="26" t="str">
        <f>gen!C5</f>
        <v>Actual for 2011</v>
      </c>
      <c r="D5" s="26" t="str">
        <f>gen!D5</f>
        <v>Estimate for 2012</v>
      </c>
      <c r="E5" s="26" t="str">
        <f>gen!E5</f>
        <v>Year for 2013</v>
      </c>
    </row>
    <row r="6" spans="2:5">
      <c r="B6" s="82" t="s">
        <v>138</v>
      </c>
      <c r="C6" s="34"/>
      <c r="D6" s="32">
        <f>C29</f>
        <v>0</v>
      </c>
      <c r="E6" s="32">
        <f>D29</f>
        <v>0</v>
      </c>
    </row>
    <row r="7" spans="2:5" s="16" customFormat="1">
      <c r="B7" s="83" t="s">
        <v>116</v>
      </c>
      <c r="C7" s="84"/>
      <c r="D7" s="84"/>
      <c r="E7" s="84"/>
    </row>
    <row r="8" spans="2:5">
      <c r="B8" s="37"/>
      <c r="C8" s="34"/>
      <c r="D8" s="34"/>
      <c r="E8" s="34"/>
    </row>
    <row r="9" spans="2:5">
      <c r="B9" s="37"/>
      <c r="C9" s="34"/>
      <c r="D9" s="34"/>
      <c r="E9" s="34"/>
    </row>
    <row r="10" spans="2:5">
      <c r="B10" s="37"/>
      <c r="C10" s="34"/>
      <c r="D10" s="34"/>
      <c r="E10" s="34"/>
    </row>
    <row r="11" spans="2:5">
      <c r="B11" s="37"/>
      <c r="C11" s="34"/>
      <c r="D11" s="34"/>
      <c r="E11" s="34"/>
    </row>
    <row r="12" spans="2:5">
      <c r="B12" s="85" t="s">
        <v>22</v>
      </c>
      <c r="C12" s="34"/>
      <c r="D12" s="34"/>
      <c r="E12" s="34"/>
    </row>
    <row r="13" spans="2:5">
      <c r="B13" s="39" t="s">
        <v>207</v>
      </c>
      <c r="C13" s="34"/>
      <c r="D13" s="30"/>
      <c r="E13" s="30"/>
    </row>
    <row r="14" spans="2:5">
      <c r="B14" s="39" t="s">
        <v>208</v>
      </c>
      <c r="C14" s="45" t="str">
        <f>IF(C15*0.1&lt;C13,"Exceed 10% Rule","")</f>
        <v/>
      </c>
      <c r="D14" s="40" t="str">
        <f>IF(D15*0.1&lt;D13,"Exceed 10% Rule","")</f>
        <v/>
      </c>
      <c r="E14" s="40" t="str">
        <f>IF(E15*0.1&lt;E13,"Exceed 10% Rule","")</f>
        <v/>
      </c>
    </row>
    <row r="15" spans="2:5">
      <c r="B15" s="43" t="s">
        <v>23</v>
      </c>
      <c r="C15" s="42">
        <f>SUM(C8:C13)</f>
        <v>0</v>
      </c>
      <c r="D15" s="42">
        <f>SUM(D8:D13)</f>
        <v>0</v>
      </c>
      <c r="E15" s="42">
        <f>SUM(E8:E13)</f>
        <v>0</v>
      </c>
    </row>
    <row r="16" spans="2:5">
      <c r="B16" s="43" t="s">
        <v>24</v>
      </c>
      <c r="C16" s="42">
        <f>C6+C15</f>
        <v>0</v>
      </c>
      <c r="D16" s="42">
        <f>D6+D15</f>
        <v>0</v>
      </c>
      <c r="E16" s="42">
        <f>E6+E15</f>
        <v>0</v>
      </c>
    </row>
    <row r="17" spans="2:5">
      <c r="B17" s="27" t="s">
        <v>25</v>
      </c>
      <c r="C17" s="32"/>
      <c r="D17" s="32"/>
      <c r="E17" s="32"/>
    </row>
    <row r="18" spans="2:5">
      <c r="B18" s="37"/>
      <c r="C18" s="34"/>
      <c r="D18" s="34"/>
      <c r="E18" s="34"/>
    </row>
    <row r="19" spans="2:5">
      <c r="B19" s="37"/>
      <c r="C19" s="34"/>
      <c r="D19" s="34"/>
      <c r="E19" s="34"/>
    </row>
    <row r="20" spans="2:5">
      <c r="B20" s="37"/>
      <c r="C20" s="34"/>
      <c r="D20" s="34"/>
      <c r="E20" s="34"/>
    </row>
    <row r="21" spans="2:5">
      <c r="B21" s="37"/>
      <c r="C21" s="34"/>
      <c r="D21" s="34"/>
      <c r="E21" s="34"/>
    </row>
    <row r="22" spans="2:5">
      <c r="B22" s="37"/>
      <c r="C22" s="34"/>
      <c r="D22" s="34"/>
      <c r="E22" s="34"/>
    </row>
    <row r="23" spans="2:5">
      <c r="B23" s="37"/>
      <c r="C23" s="34"/>
      <c r="D23" s="34"/>
      <c r="E23" s="34"/>
    </row>
    <row r="24" spans="2:5">
      <c r="B24" s="37"/>
      <c r="C24" s="34"/>
      <c r="D24" s="34"/>
      <c r="E24" s="34"/>
    </row>
    <row r="25" spans="2:5">
      <c r="B25" s="37"/>
      <c r="C25" s="34"/>
      <c r="D25" s="34"/>
      <c r="E25" s="34"/>
    </row>
    <row r="26" spans="2:5">
      <c r="B26" s="35" t="s">
        <v>207</v>
      </c>
      <c r="C26" s="34"/>
      <c r="D26" s="30"/>
      <c r="E26" s="30"/>
    </row>
    <row r="27" spans="2:5">
      <c r="B27" s="35" t="s">
        <v>616</v>
      </c>
      <c r="C27" s="45" t="str">
        <f>IF(C28*0.1&lt;C26,"Exceed 10% Rule","")</f>
        <v/>
      </c>
      <c r="D27" s="40" t="str">
        <f>IF(D28*0.1&lt;D26,"Exceed 10% Rule","")</f>
        <v/>
      </c>
      <c r="E27" s="40" t="str">
        <f>IF(E28*0.1&lt;E26,"Exceed 10% Rule","")</f>
        <v/>
      </c>
    </row>
    <row r="28" spans="2:5">
      <c r="B28" s="43" t="s">
        <v>26</v>
      </c>
      <c r="C28" s="42">
        <f>SUM(C18:C26)</f>
        <v>0</v>
      </c>
      <c r="D28" s="42">
        <f>SUM(D18:D26)</f>
        <v>0</v>
      </c>
      <c r="E28" s="42">
        <f>SUM(E18:E26)</f>
        <v>0</v>
      </c>
    </row>
    <row r="29" spans="2:5">
      <c r="B29" s="27" t="s">
        <v>115</v>
      </c>
      <c r="C29" s="46">
        <f>C16-C28</f>
        <v>0</v>
      </c>
      <c r="D29" s="46">
        <f>D16-D28</f>
        <v>0</v>
      </c>
      <c r="E29" s="46">
        <f>E16-E28</f>
        <v>0</v>
      </c>
    </row>
    <row r="30" spans="2:5">
      <c r="B30" s="48" t="str">
        <f>CONCATENATE("",E1-2,"/",E1-1," Budget Authority Amount:")</f>
        <v>2011/2012 Budget Authority Amount:</v>
      </c>
      <c r="C30" s="131">
        <f>inputOth!B56</f>
        <v>0</v>
      </c>
      <c r="D30" s="131">
        <f>inputPrYr!D29</f>
        <v>0</v>
      </c>
      <c r="E30" s="395" t="str">
        <f>IF(E29&lt;0,"See Tab E","")</f>
        <v/>
      </c>
    </row>
    <row r="31" spans="2:5">
      <c r="B31" s="48"/>
      <c r="C31" s="51" t="str">
        <f>IF(C28&gt;C30,"See Tab A","")</f>
        <v/>
      </c>
      <c r="D31" s="51" t="str">
        <f>IF(D28&gt;D30,"See Tab C","")</f>
        <v/>
      </c>
      <c r="E31" s="55"/>
    </row>
    <row r="32" spans="2:5">
      <c r="B32" s="48"/>
      <c r="C32" s="51" t="str">
        <f>IF(C29&lt;0,"See Tab B","")</f>
        <v/>
      </c>
      <c r="D32" s="86" t="str">
        <f>IF(D29&lt;0,"See Tab D","")</f>
        <v/>
      </c>
      <c r="E32" s="55"/>
    </row>
    <row r="33" spans="2:5">
      <c r="B33" s="14"/>
      <c r="C33" s="55"/>
      <c r="D33" s="55"/>
      <c r="E33" s="55"/>
    </row>
    <row r="34" spans="2:5">
      <c r="B34" s="22" t="s">
        <v>10</v>
      </c>
      <c r="C34" s="65"/>
      <c r="D34" s="65"/>
      <c r="E34" s="65"/>
    </row>
    <row r="35" spans="2:5">
      <c r="B35" s="14"/>
      <c r="C35" s="68" t="s">
        <v>11</v>
      </c>
      <c r="D35" s="23" t="s">
        <v>12</v>
      </c>
      <c r="E35" s="23" t="s">
        <v>13</v>
      </c>
    </row>
    <row r="36" spans="2:5">
      <c r="B36" s="478">
        <f>inputPrYr!B30</f>
        <v>0</v>
      </c>
      <c r="C36" s="26" t="str">
        <f>C5</f>
        <v>Actual for 2011</v>
      </c>
      <c r="D36" s="26" t="str">
        <f>D5</f>
        <v>Estimate for 2012</v>
      </c>
      <c r="E36" s="26" t="str">
        <f>E5</f>
        <v>Year for 2013</v>
      </c>
    </row>
    <row r="37" spans="2:5">
      <c r="B37" s="82" t="s">
        <v>138</v>
      </c>
      <c r="C37" s="34"/>
      <c r="D37" s="32">
        <f>C60</f>
        <v>0</v>
      </c>
      <c r="E37" s="32">
        <f>D60</f>
        <v>0</v>
      </c>
    </row>
    <row r="38" spans="2:5" s="16" customFormat="1">
      <c r="B38" s="82" t="s">
        <v>116</v>
      </c>
      <c r="C38" s="84"/>
      <c r="D38" s="84"/>
      <c r="E38" s="84"/>
    </row>
    <row r="39" spans="2:5">
      <c r="B39" s="37"/>
      <c r="C39" s="34"/>
      <c r="D39" s="34"/>
      <c r="E39" s="34"/>
    </row>
    <row r="40" spans="2:5">
      <c r="B40" s="37"/>
      <c r="C40" s="34"/>
      <c r="D40" s="34"/>
      <c r="E40" s="34"/>
    </row>
    <row r="41" spans="2:5">
      <c r="B41" s="37"/>
      <c r="C41" s="34"/>
      <c r="D41" s="34"/>
      <c r="E41" s="34"/>
    </row>
    <row r="42" spans="2:5">
      <c r="B42" s="37"/>
      <c r="C42" s="34"/>
      <c r="D42" s="34"/>
      <c r="E42" s="34"/>
    </row>
    <row r="43" spans="2:5">
      <c r="B43" s="85" t="s">
        <v>22</v>
      </c>
      <c r="C43" s="34"/>
      <c r="D43" s="34"/>
      <c r="E43" s="34"/>
    </row>
    <row r="44" spans="2:5">
      <c r="B44" s="39" t="s">
        <v>207</v>
      </c>
      <c r="C44" s="34"/>
      <c r="D44" s="30"/>
      <c r="E44" s="30"/>
    </row>
    <row r="45" spans="2:5">
      <c r="B45" s="39" t="s">
        <v>208</v>
      </c>
      <c r="C45" s="45" t="str">
        <f>IF(C46*0.1&lt;C44,"Exceed 10% Rule","")</f>
        <v/>
      </c>
      <c r="D45" s="40" t="str">
        <f>IF(D46*0.1&lt;D44,"Exceed 10% Rule","")</f>
        <v/>
      </c>
      <c r="E45" s="40" t="str">
        <f>IF(E46*0.1&lt;E44,"Exceed 10% Rule","")</f>
        <v/>
      </c>
    </row>
    <row r="46" spans="2:5">
      <c r="B46" s="43" t="s">
        <v>23</v>
      </c>
      <c r="C46" s="42">
        <f>SUM(C39:C44)</f>
        <v>0</v>
      </c>
      <c r="D46" s="42">
        <f>SUM(D39:D44)</f>
        <v>0</v>
      </c>
      <c r="E46" s="42">
        <f>SUM(E39:E44)</f>
        <v>0</v>
      </c>
    </row>
    <row r="47" spans="2:5">
      <c r="B47" s="43" t="s">
        <v>24</v>
      </c>
      <c r="C47" s="42">
        <f>C37+C46</f>
        <v>0</v>
      </c>
      <c r="D47" s="42">
        <f>D37+D46</f>
        <v>0</v>
      </c>
      <c r="E47" s="42">
        <f>E37+E46</f>
        <v>0</v>
      </c>
    </row>
    <row r="48" spans="2:5">
      <c r="B48" s="27" t="s">
        <v>25</v>
      </c>
      <c r="C48" s="32"/>
      <c r="D48" s="32"/>
      <c r="E48" s="32"/>
    </row>
    <row r="49" spans="2:5">
      <c r="B49" s="37"/>
      <c r="C49" s="34"/>
      <c r="D49" s="34"/>
      <c r="E49" s="34"/>
    </row>
    <row r="50" spans="2:5">
      <c r="B50" s="37"/>
      <c r="C50" s="34"/>
      <c r="D50" s="34"/>
      <c r="E50" s="34"/>
    </row>
    <row r="51" spans="2:5">
      <c r="B51" s="37"/>
      <c r="C51" s="34"/>
      <c r="D51" s="34"/>
      <c r="E51" s="34"/>
    </row>
    <row r="52" spans="2:5">
      <c r="B52" s="37"/>
      <c r="C52" s="34"/>
      <c r="D52" s="34"/>
      <c r="E52" s="34"/>
    </row>
    <row r="53" spans="2:5">
      <c r="B53" s="37"/>
      <c r="C53" s="34"/>
      <c r="D53" s="34"/>
      <c r="E53" s="34"/>
    </row>
    <row r="54" spans="2:5">
      <c r="B54" s="37"/>
      <c r="C54" s="34"/>
      <c r="D54" s="34"/>
      <c r="E54" s="34"/>
    </row>
    <row r="55" spans="2:5">
      <c r="B55" s="37"/>
      <c r="C55" s="34"/>
      <c r="D55" s="34"/>
      <c r="E55" s="34"/>
    </row>
    <row r="56" spans="2:5">
      <c r="B56" s="37"/>
      <c r="C56" s="34"/>
      <c r="D56" s="34"/>
      <c r="E56" s="34"/>
    </row>
    <row r="57" spans="2:5">
      <c r="B57" s="35" t="s">
        <v>207</v>
      </c>
      <c r="C57" s="34"/>
      <c r="D57" s="30"/>
      <c r="E57" s="30"/>
    </row>
    <row r="58" spans="2:5">
      <c r="B58" s="35" t="s">
        <v>616</v>
      </c>
      <c r="C58" s="45" t="str">
        <f>IF(C59*0.1&lt;C57,"Exceed 10% Rule","")</f>
        <v/>
      </c>
      <c r="D58" s="40" t="str">
        <f>IF(D59*0.1&lt;D57,"Exceed 10% Rule","")</f>
        <v/>
      </c>
      <c r="E58" s="40" t="str">
        <f>IF(E59*0.1&lt;E57,"Exceed 10% Rule","")</f>
        <v/>
      </c>
    </row>
    <row r="59" spans="2:5">
      <c r="B59" s="43" t="s">
        <v>26</v>
      </c>
      <c r="C59" s="42">
        <f>SUM(C49:C57)</f>
        <v>0</v>
      </c>
      <c r="D59" s="42">
        <f>SUM(D49:D57)</f>
        <v>0</v>
      </c>
      <c r="E59" s="42">
        <f>SUM(E49:E57)</f>
        <v>0</v>
      </c>
    </row>
    <row r="60" spans="2:5">
      <c r="B60" s="27" t="s">
        <v>115</v>
      </c>
      <c r="C60" s="46">
        <f>C47-C59</f>
        <v>0</v>
      </c>
      <c r="D60" s="46">
        <f>D47-D59</f>
        <v>0</v>
      </c>
      <c r="E60" s="46">
        <f>E47-E59</f>
        <v>0</v>
      </c>
    </row>
    <row r="61" spans="2:5">
      <c r="B61" s="48" t="str">
        <f>CONCATENATE("",E1-2,"/",E1-1," Budget Authority Amount:")</f>
        <v>2011/2012 Budget Authority Amount:</v>
      </c>
      <c r="C61" s="131">
        <f>inputOth!B57</f>
        <v>0</v>
      </c>
      <c r="D61" s="131">
        <f>inputPrYr!D30</f>
        <v>0</v>
      </c>
      <c r="E61" s="394" t="str">
        <f>IF(E60&lt;0,"See Tab E","")</f>
        <v/>
      </c>
    </row>
    <row r="62" spans="2:5">
      <c r="B62" s="48"/>
      <c r="C62" s="51" t="str">
        <f>IF(C59&gt;C61,"See Tab A","")</f>
        <v/>
      </c>
      <c r="D62" s="51" t="str">
        <f>IF(D59&gt;D61,"See Tab C","")</f>
        <v/>
      </c>
      <c r="E62" s="14"/>
    </row>
    <row r="63" spans="2:5">
      <c r="B63" s="48"/>
      <c r="C63" s="51" t="str">
        <f>IF(C60&lt;0,"See Tab B","")</f>
        <v/>
      </c>
      <c r="D63" s="86" t="str">
        <f>IF(D60&lt;0,"See Tab D","")</f>
        <v/>
      </c>
      <c r="E63" s="14"/>
    </row>
    <row r="64" spans="2:5">
      <c r="B64" s="14"/>
      <c r="C64" s="14"/>
      <c r="D64" s="14"/>
      <c r="E64" s="14"/>
    </row>
    <row r="65" spans="2:5">
      <c r="B65" s="52" t="s">
        <v>9</v>
      </c>
      <c r="C65" s="64"/>
      <c r="D65" s="14"/>
      <c r="E65" s="14"/>
    </row>
  </sheetData>
  <phoneticPr fontId="11" type="noConversion"/>
  <conditionalFormatting sqref="C57">
    <cfRule type="cellIs" dxfId="34" priority="3" stopIfTrue="1" operator="greaterThan">
      <formula>$C$59*0.1</formula>
    </cfRule>
  </conditionalFormatting>
  <conditionalFormatting sqref="D57">
    <cfRule type="cellIs" dxfId="33" priority="4" stopIfTrue="1" operator="greaterThan">
      <formula>$D$59*0.1</formula>
    </cfRule>
  </conditionalFormatting>
  <conditionalFormatting sqref="E57">
    <cfRule type="cellIs" dxfId="32" priority="5" stopIfTrue="1" operator="greaterThan">
      <formula>$E$59*0.1</formula>
    </cfRule>
  </conditionalFormatting>
  <conditionalFormatting sqref="C44">
    <cfRule type="cellIs" dxfId="31" priority="6" stopIfTrue="1" operator="greaterThan">
      <formula>$C$46*0.1</formula>
    </cfRule>
  </conditionalFormatting>
  <conditionalFormatting sqref="D44">
    <cfRule type="cellIs" dxfId="30" priority="7" stopIfTrue="1" operator="greaterThan">
      <formula>$D$46*0.1</formula>
    </cfRule>
  </conditionalFormatting>
  <conditionalFormatting sqref="E44">
    <cfRule type="cellIs" dxfId="29" priority="8" stopIfTrue="1" operator="greaterThan">
      <formula>$E$46*0.1</formula>
    </cfRule>
  </conditionalFormatting>
  <conditionalFormatting sqref="C26">
    <cfRule type="cellIs" dxfId="28" priority="9" stopIfTrue="1" operator="greaterThan">
      <formula>$C$28*0.1</formula>
    </cfRule>
  </conditionalFormatting>
  <conditionalFormatting sqref="D26">
    <cfRule type="cellIs" dxfId="27" priority="10" stopIfTrue="1" operator="greaterThan">
      <formula>$D$28*0.1</formula>
    </cfRule>
  </conditionalFormatting>
  <conditionalFormatting sqref="E26">
    <cfRule type="cellIs" dxfId="26" priority="11" stopIfTrue="1" operator="greaterThan">
      <formula>$E$28*0.1</formula>
    </cfRule>
  </conditionalFormatting>
  <conditionalFormatting sqref="C13">
    <cfRule type="cellIs" dxfId="25" priority="12" stopIfTrue="1" operator="greaterThan">
      <formula>$C$15*0.1</formula>
    </cfRule>
  </conditionalFormatting>
  <conditionalFormatting sqref="D13">
    <cfRule type="cellIs" dxfId="24" priority="13" stopIfTrue="1" operator="greaterThan">
      <formula>$D$15*0.1</formula>
    </cfRule>
  </conditionalFormatting>
  <conditionalFormatting sqref="E13">
    <cfRule type="cellIs" dxfId="23" priority="14" stopIfTrue="1" operator="greaterThan">
      <formula>$E$15*0.1</formula>
    </cfRule>
  </conditionalFormatting>
  <conditionalFormatting sqref="C59">
    <cfRule type="cellIs" dxfId="22" priority="15" stopIfTrue="1" operator="greaterThan">
      <formula>$C$61</formula>
    </cfRule>
  </conditionalFormatting>
  <conditionalFormatting sqref="C60 E60 E29 C29">
    <cfRule type="cellIs" dxfId="21" priority="16" stopIfTrue="1" operator="lessThan">
      <formula>0</formula>
    </cfRule>
  </conditionalFormatting>
  <conditionalFormatting sqref="C28">
    <cfRule type="cellIs" dxfId="20" priority="17" stopIfTrue="1" operator="greaterThan">
      <formula>$C$30</formula>
    </cfRule>
  </conditionalFormatting>
  <conditionalFormatting sqref="D28">
    <cfRule type="cellIs" dxfId="19" priority="18" stopIfTrue="1" operator="greaterThan">
      <formula>$D$30</formula>
    </cfRule>
  </conditionalFormatting>
  <conditionalFormatting sqref="D59">
    <cfRule type="cellIs" dxfId="18" priority="19" stopIfTrue="1" operator="greaterThan">
      <formula>$D$61</formula>
    </cfRule>
  </conditionalFormatting>
  <conditionalFormatting sqref="D29">
    <cfRule type="cellIs" dxfId="17" priority="2" stopIfTrue="1" operator="lessThan">
      <formula>0</formula>
    </cfRule>
  </conditionalFormatting>
  <conditionalFormatting sqref="D60">
    <cfRule type="cellIs" dxfId="16" priority="1" stopIfTrue="1" operator="lessThan">
      <formula>0</formula>
    </cfRule>
  </conditionalFormatting>
  <pageMargins left="0.75" right="0.75" top="1" bottom="1" header="0.5" footer="0.5"/>
  <pageSetup scale="71" orientation="portrait" blackAndWhite="1" r:id="rId1"/>
  <headerFooter alignWithMargins="0">
    <oddHeader>&amp;RState of Kansas
Township</oddHeader>
  </headerFooter>
</worksheet>
</file>

<file path=xl/worksheets/sheet21.xml><?xml version="1.0" encoding="utf-8"?>
<worksheet xmlns="http://schemas.openxmlformats.org/spreadsheetml/2006/main" xmlns:r="http://schemas.openxmlformats.org/officeDocument/2006/relationships">
  <sheetPr>
    <pageSetUpPr fitToPage="1"/>
  </sheetPr>
  <dimension ref="A1:L41"/>
  <sheetViews>
    <sheetView workbookViewId="0">
      <selection activeCell="F23" sqref="F23:H23"/>
    </sheetView>
  </sheetViews>
  <sheetFormatPr defaultRowHeight="15.75"/>
  <cols>
    <col min="1" max="1" width="10.3984375" style="79" customWidth="1"/>
    <col min="2" max="2" width="6.69921875" style="79" customWidth="1"/>
    <col min="3" max="3" width="10.3984375" style="79" customWidth="1"/>
    <col min="4" max="4" width="6.69921875" style="79" customWidth="1"/>
    <col min="5" max="5" width="10.3984375" style="79" customWidth="1"/>
    <col min="6" max="6" width="6.69921875" style="79" customWidth="1"/>
    <col min="7" max="7" width="10.3984375" style="79" customWidth="1"/>
    <col min="8" max="8" width="6.69921875" style="79" customWidth="1"/>
    <col min="9" max="9" width="10.3984375" style="79" customWidth="1"/>
    <col min="10" max="16384" width="8.796875" style="79"/>
  </cols>
  <sheetData>
    <row r="1" spans="1:11">
      <c r="A1" s="87" t="str">
        <f>inputPrYr!$D$2</f>
        <v>Paxton Township</v>
      </c>
      <c r="B1" s="88"/>
      <c r="C1" s="89"/>
      <c r="D1" s="89"/>
      <c r="E1" s="89"/>
      <c r="F1" s="90" t="s">
        <v>320</v>
      </c>
      <c r="G1" s="89"/>
      <c r="H1" s="89"/>
      <c r="I1" s="89"/>
      <c r="J1" s="89"/>
      <c r="K1" s="89">
        <f>inputPrYr!$D$5</f>
        <v>2013</v>
      </c>
    </row>
    <row r="2" spans="1:11">
      <c r="A2" s="89"/>
      <c r="B2" s="89"/>
      <c r="C2" s="89"/>
      <c r="D2" s="89"/>
      <c r="E2" s="89"/>
      <c r="F2" s="91" t="str">
        <f>CONCATENATE("(Only the actual budget year for ",K1-2," is to be shown)")</f>
        <v>(Only the actual budget year for 2011 is to be shown)</v>
      </c>
      <c r="G2" s="89"/>
      <c r="H2" s="89"/>
      <c r="I2" s="89"/>
      <c r="J2" s="89"/>
      <c r="K2" s="89"/>
    </row>
    <row r="3" spans="1:11">
      <c r="A3" s="89" t="s">
        <v>321</v>
      </c>
      <c r="B3" s="89"/>
      <c r="C3" s="89"/>
      <c r="D3" s="89"/>
      <c r="E3" s="89"/>
      <c r="F3" s="88"/>
      <c r="G3" s="89"/>
      <c r="H3" s="89"/>
      <c r="I3" s="89"/>
      <c r="J3" s="89"/>
      <c r="K3" s="89"/>
    </row>
    <row r="4" spans="1:11">
      <c r="A4" s="89" t="s">
        <v>322</v>
      </c>
      <c r="B4" s="89"/>
      <c r="C4" s="89" t="s">
        <v>323</v>
      </c>
      <c r="D4" s="89"/>
      <c r="E4" s="89" t="s">
        <v>324</v>
      </c>
      <c r="F4" s="88"/>
      <c r="G4" s="89" t="s">
        <v>325</v>
      </c>
      <c r="H4" s="89"/>
      <c r="I4" s="89" t="s">
        <v>326</v>
      </c>
      <c r="J4" s="89"/>
      <c r="K4" s="89"/>
    </row>
    <row r="5" spans="1:11">
      <c r="A5" s="831">
        <f>inputPrYr!B34</f>
        <v>0</v>
      </c>
      <c r="B5" s="832"/>
      <c r="C5" s="831">
        <f>inputPrYr!B35</f>
        <v>0</v>
      </c>
      <c r="D5" s="832"/>
      <c r="E5" s="831">
        <f>inputPrYr!B36</f>
        <v>0</v>
      </c>
      <c r="F5" s="832"/>
      <c r="G5" s="833">
        <f>inputPrYr!B37</f>
        <v>0</v>
      </c>
      <c r="H5" s="832"/>
      <c r="I5" s="833">
        <f>inputPrYr!B38</f>
        <v>0</v>
      </c>
      <c r="J5" s="832"/>
      <c r="K5" s="93"/>
    </row>
    <row r="6" spans="1:11">
      <c r="A6" s="94" t="s">
        <v>327</v>
      </c>
      <c r="B6" s="95"/>
      <c r="C6" s="96" t="s">
        <v>327</v>
      </c>
      <c r="D6" s="97"/>
      <c r="E6" s="96" t="s">
        <v>327</v>
      </c>
      <c r="F6" s="98"/>
      <c r="G6" s="96" t="s">
        <v>327</v>
      </c>
      <c r="H6" s="92"/>
      <c r="I6" s="96" t="s">
        <v>327</v>
      </c>
      <c r="J6" s="89"/>
      <c r="K6" s="99" t="s">
        <v>270</v>
      </c>
    </row>
    <row r="7" spans="1:11">
      <c r="A7" s="100" t="s">
        <v>328</v>
      </c>
      <c r="B7" s="101"/>
      <c r="C7" s="102" t="s">
        <v>328</v>
      </c>
      <c r="D7" s="101"/>
      <c r="E7" s="102" t="s">
        <v>328</v>
      </c>
      <c r="F7" s="101"/>
      <c r="G7" s="102" t="s">
        <v>328</v>
      </c>
      <c r="H7" s="101"/>
      <c r="I7" s="102" t="s">
        <v>328</v>
      </c>
      <c r="J7" s="101"/>
      <c r="K7" s="103">
        <f>SUM(B7+D7+F7+H7+J7)</f>
        <v>0</v>
      </c>
    </row>
    <row r="8" spans="1:11">
      <c r="A8" s="104" t="s">
        <v>116</v>
      </c>
      <c r="B8" s="105"/>
      <c r="C8" s="104" t="s">
        <v>116</v>
      </c>
      <c r="D8" s="106"/>
      <c r="E8" s="104" t="s">
        <v>116</v>
      </c>
      <c r="F8" s="88"/>
      <c r="G8" s="104" t="s">
        <v>116</v>
      </c>
      <c r="H8" s="89"/>
      <c r="I8" s="104" t="s">
        <v>116</v>
      </c>
      <c r="J8" s="89"/>
      <c r="K8" s="88"/>
    </row>
    <row r="9" spans="1:11">
      <c r="A9" s="107"/>
      <c r="B9" s="101"/>
      <c r="C9" s="107"/>
      <c r="D9" s="101"/>
      <c r="E9" s="107"/>
      <c r="F9" s="101"/>
      <c r="G9" s="107"/>
      <c r="H9" s="101"/>
      <c r="I9" s="107"/>
      <c r="J9" s="101"/>
      <c r="K9" s="88"/>
    </row>
    <row r="10" spans="1:11">
      <c r="A10" s="107"/>
      <c r="B10" s="101"/>
      <c r="C10" s="107"/>
      <c r="D10" s="101"/>
      <c r="E10" s="107"/>
      <c r="F10" s="101"/>
      <c r="G10" s="107"/>
      <c r="H10" s="101"/>
      <c r="I10" s="107"/>
      <c r="J10" s="101"/>
      <c r="K10" s="88"/>
    </row>
    <row r="11" spans="1:11">
      <c r="A11" s="107"/>
      <c r="B11" s="101"/>
      <c r="C11" s="108"/>
      <c r="D11" s="109"/>
      <c r="E11" s="108"/>
      <c r="F11" s="101"/>
      <c r="G11" s="108"/>
      <c r="H11" s="101"/>
      <c r="I11" s="110"/>
      <c r="J11" s="101"/>
      <c r="K11" s="88"/>
    </row>
    <row r="12" spans="1:11">
      <c r="A12" s="107"/>
      <c r="B12" s="111"/>
      <c r="C12" s="107"/>
      <c r="D12" s="112"/>
      <c r="E12" s="113"/>
      <c r="F12" s="101"/>
      <c r="G12" s="113"/>
      <c r="H12" s="101"/>
      <c r="I12" s="113"/>
      <c r="J12" s="101"/>
      <c r="K12" s="88"/>
    </row>
    <row r="13" spans="1:11">
      <c r="A13" s="114"/>
      <c r="B13" s="115"/>
      <c r="C13" s="116"/>
      <c r="D13" s="112"/>
      <c r="E13" s="116"/>
      <c r="F13" s="101"/>
      <c r="G13" s="116"/>
      <c r="H13" s="101"/>
      <c r="I13" s="110"/>
      <c r="J13" s="101"/>
      <c r="K13" s="88"/>
    </row>
    <row r="14" spans="1:11">
      <c r="A14" s="107"/>
      <c r="B14" s="101"/>
      <c r="C14" s="113"/>
      <c r="D14" s="112"/>
      <c r="E14" s="113"/>
      <c r="F14" s="101"/>
      <c r="G14" s="113"/>
      <c r="H14" s="101"/>
      <c r="I14" s="113"/>
      <c r="J14" s="101"/>
      <c r="K14" s="88"/>
    </row>
    <row r="15" spans="1:11">
      <c r="A15" s="107"/>
      <c r="B15" s="101"/>
      <c r="C15" s="113"/>
      <c r="D15" s="112"/>
      <c r="E15" s="113"/>
      <c r="F15" s="101"/>
      <c r="G15" s="113"/>
      <c r="H15" s="101"/>
      <c r="I15" s="113"/>
      <c r="J15" s="101"/>
      <c r="K15" s="88"/>
    </row>
    <row r="16" spans="1:11">
      <c r="A16" s="107"/>
      <c r="B16" s="115"/>
      <c r="C16" s="107"/>
      <c r="D16" s="112"/>
      <c r="E16" s="107"/>
      <c r="F16" s="101"/>
      <c r="G16" s="113"/>
      <c r="H16" s="101"/>
      <c r="I16" s="107"/>
      <c r="J16" s="101"/>
      <c r="K16" s="88"/>
    </row>
    <row r="17" spans="1:12">
      <c r="A17" s="104" t="s">
        <v>23</v>
      </c>
      <c r="B17" s="103">
        <f>SUM(B9:B16)</f>
        <v>0</v>
      </c>
      <c r="C17" s="104" t="s">
        <v>23</v>
      </c>
      <c r="D17" s="103">
        <f>SUM(D9:D16)</f>
        <v>0</v>
      </c>
      <c r="E17" s="104" t="s">
        <v>23</v>
      </c>
      <c r="F17" s="117">
        <f>SUM(F9:F16)</f>
        <v>0</v>
      </c>
      <c r="G17" s="104" t="s">
        <v>23</v>
      </c>
      <c r="H17" s="103">
        <f>SUM(H9:H16)</f>
        <v>0</v>
      </c>
      <c r="I17" s="104" t="s">
        <v>23</v>
      </c>
      <c r="J17" s="103">
        <f>SUM(J9:J16)</f>
        <v>0</v>
      </c>
      <c r="K17" s="103">
        <f>SUM(B17+D17+F17+H17+J17)</f>
        <v>0</v>
      </c>
    </row>
    <row r="18" spans="1:12">
      <c r="A18" s="104" t="s">
        <v>24</v>
      </c>
      <c r="B18" s="103">
        <f>SUM(B7+B17)</f>
        <v>0</v>
      </c>
      <c r="C18" s="104" t="s">
        <v>24</v>
      </c>
      <c r="D18" s="103">
        <f>SUM(D7+D17)</f>
        <v>0</v>
      </c>
      <c r="E18" s="104" t="s">
        <v>24</v>
      </c>
      <c r="F18" s="103">
        <f>SUM(F7+F17)</f>
        <v>0</v>
      </c>
      <c r="G18" s="104" t="s">
        <v>24</v>
      </c>
      <c r="H18" s="103">
        <f>SUM(H7+H17)</f>
        <v>0</v>
      </c>
      <c r="I18" s="104" t="s">
        <v>24</v>
      </c>
      <c r="J18" s="103">
        <f>SUM(J7+J17)</f>
        <v>0</v>
      </c>
      <c r="K18" s="103">
        <f>SUM(B18+D18+F18+H18+J18)</f>
        <v>0</v>
      </c>
    </row>
    <row r="19" spans="1:12">
      <c r="A19" s="104" t="s">
        <v>25</v>
      </c>
      <c r="B19" s="105"/>
      <c r="C19" s="104" t="s">
        <v>25</v>
      </c>
      <c r="D19" s="106"/>
      <c r="E19" s="104" t="s">
        <v>25</v>
      </c>
      <c r="F19" s="88"/>
      <c r="G19" s="104" t="s">
        <v>25</v>
      </c>
      <c r="H19" s="89"/>
      <c r="I19" s="104" t="s">
        <v>25</v>
      </c>
      <c r="J19" s="89"/>
      <c r="K19" s="88"/>
    </row>
    <row r="20" spans="1:12">
      <c r="A20" s="107"/>
      <c r="B20" s="101"/>
      <c r="C20" s="113"/>
      <c r="D20" s="101"/>
      <c r="E20" s="113"/>
      <c r="F20" s="101"/>
      <c r="G20" s="113"/>
      <c r="H20" s="101"/>
      <c r="I20" s="113"/>
      <c r="J20" s="101"/>
      <c r="K20" s="88"/>
    </row>
    <row r="21" spans="1:12">
      <c r="A21" s="107"/>
      <c r="B21" s="101"/>
      <c r="C21" s="113"/>
      <c r="D21" s="101"/>
      <c r="E21" s="113"/>
      <c r="F21" s="101"/>
      <c r="G21" s="113"/>
      <c r="H21" s="101"/>
      <c r="I21" s="113"/>
      <c r="J21" s="101"/>
      <c r="K21" s="88"/>
    </row>
    <row r="22" spans="1:12">
      <c r="A22" s="107"/>
      <c r="B22" s="101"/>
      <c r="C22" s="116"/>
      <c r="D22" s="101"/>
      <c r="E22" s="116"/>
      <c r="F22" s="101"/>
      <c r="G22" s="116"/>
      <c r="H22" s="101"/>
      <c r="I22" s="110"/>
      <c r="J22" s="101"/>
      <c r="K22" s="88"/>
    </row>
    <row r="23" spans="1:12">
      <c r="A23" s="107"/>
      <c r="B23" s="101"/>
      <c r="C23" s="113"/>
      <c r="D23" s="101"/>
      <c r="E23" s="113"/>
      <c r="F23" s="101"/>
      <c r="G23" s="113"/>
      <c r="H23" s="101"/>
      <c r="I23" s="113"/>
      <c r="J23" s="101"/>
      <c r="K23" s="88"/>
    </row>
    <row r="24" spans="1:12">
      <c r="A24" s="107"/>
      <c r="B24" s="101"/>
      <c r="C24" s="116"/>
      <c r="D24" s="101"/>
      <c r="E24" s="116"/>
      <c r="F24" s="101"/>
      <c r="G24" s="116"/>
      <c r="H24" s="101"/>
      <c r="I24" s="110"/>
      <c r="J24" s="101"/>
      <c r="K24" s="88"/>
    </row>
    <row r="25" spans="1:12">
      <c r="A25" s="107"/>
      <c r="B25" s="101"/>
      <c r="C25" s="113"/>
      <c r="D25" s="101"/>
      <c r="E25" s="113"/>
      <c r="F25" s="101"/>
      <c r="G25" s="113"/>
      <c r="H25" s="101"/>
      <c r="I25" s="113"/>
      <c r="J25" s="101"/>
      <c r="K25" s="88"/>
    </row>
    <row r="26" spans="1:12">
      <c r="A26" s="107"/>
      <c r="B26" s="101"/>
      <c r="C26" s="113"/>
      <c r="D26" s="101"/>
      <c r="E26" s="113"/>
      <c r="F26" s="101"/>
      <c r="G26" s="113"/>
      <c r="H26" s="101"/>
      <c r="I26" s="113"/>
      <c r="J26" s="101"/>
      <c r="K26" s="88"/>
    </row>
    <row r="27" spans="1:12">
      <c r="A27" s="107"/>
      <c r="B27" s="101"/>
      <c r="C27" s="107"/>
      <c r="D27" s="101"/>
      <c r="E27" s="107"/>
      <c r="F27" s="101"/>
      <c r="G27" s="113"/>
      <c r="H27" s="101"/>
      <c r="I27" s="113"/>
      <c r="J27" s="101"/>
      <c r="K27" s="88"/>
    </row>
    <row r="28" spans="1:12">
      <c r="A28" s="104" t="s">
        <v>26</v>
      </c>
      <c r="B28" s="103">
        <f>SUM(B20:B27)</f>
        <v>0</v>
      </c>
      <c r="C28" s="104" t="s">
        <v>26</v>
      </c>
      <c r="D28" s="103">
        <f>SUM(D20:D27)</f>
        <v>0</v>
      </c>
      <c r="E28" s="104" t="s">
        <v>26</v>
      </c>
      <c r="F28" s="117">
        <f>SUM(F20:F27)</f>
        <v>0</v>
      </c>
      <c r="G28" s="104" t="s">
        <v>26</v>
      </c>
      <c r="H28" s="117">
        <f>SUM(H20:H27)</f>
        <v>0</v>
      </c>
      <c r="I28" s="104" t="s">
        <v>26</v>
      </c>
      <c r="J28" s="103">
        <f>SUM(J20:J27)</f>
        <v>0</v>
      </c>
      <c r="K28" s="103">
        <f>SUM(B28+D28+F28+H28+J28)</f>
        <v>0</v>
      </c>
    </row>
    <row r="29" spans="1:12">
      <c r="A29" s="104" t="s">
        <v>329</v>
      </c>
      <c r="B29" s="103">
        <f>SUM(B18-B28)</f>
        <v>0</v>
      </c>
      <c r="C29" s="104" t="s">
        <v>329</v>
      </c>
      <c r="D29" s="103">
        <f>SUM(D18-D28)</f>
        <v>0</v>
      </c>
      <c r="E29" s="104" t="s">
        <v>329</v>
      </c>
      <c r="F29" s="103">
        <f>SUM(F18-F28)</f>
        <v>0</v>
      </c>
      <c r="G29" s="104" t="s">
        <v>329</v>
      </c>
      <c r="H29" s="103">
        <f>SUM(H18-H28)</f>
        <v>0</v>
      </c>
      <c r="I29" s="104" t="s">
        <v>329</v>
      </c>
      <c r="J29" s="103">
        <f>SUM(J18-J28)</f>
        <v>0</v>
      </c>
      <c r="K29" s="118">
        <f>SUM(B29+D29+F29+H29+J29)</f>
        <v>0</v>
      </c>
      <c r="L29" s="79" t="s">
        <v>330</v>
      </c>
    </row>
    <row r="30" spans="1:12">
      <c r="A30" s="104"/>
      <c r="B30" s="123" t="str">
        <f>IF(B29&lt;0,"See Tab B","")</f>
        <v/>
      </c>
      <c r="C30" s="104"/>
      <c r="D30" s="123" t="str">
        <f>IF(D29&lt;0,"See Tab B","")</f>
        <v/>
      </c>
      <c r="E30" s="104"/>
      <c r="F30" s="123" t="str">
        <f>IF(F29&lt;0,"See Tab B","")</f>
        <v/>
      </c>
      <c r="G30" s="89"/>
      <c r="H30" s="123" t="str">
        <f>IF(H29&lt;0,"See Tab B","")</f>
        <v/>
      </c>
      <c r="I30" s="89"/>
      <c r="J30" s="123" t="str">
        <f>IF(J29&lt;0,"See Tab B","")</f>
        <v/>
      </c>
      <c r="K30" s="118">
        <f>SUM(K7+K17-K28)</f>
        <v>0</v>
      </c>
      <c r="L30" s="79" t="s">
        <v>330</v>
      </c>
    </row>
    <row r="31" spans="1:12">
      <c r="A31" s="89"/>
      <c r="B31" s="119"/>
      <c r="C31" s="89"/>
      <c r="D31" s="88"/>
      <c r="E31" s="89"/>
      <c r="F31" s="89"/>
      <c r="G31" s="120" t="s">
        <v>331</v>
      </c>
      <c r="H31" s="120"/>
      <c r="I31" s="120"/>
      <c r="J31" s="120"/>
      <c r="K31" s="89"/>
    </row>
    <row r="32" spans="1:12">
      <c r="A32" s="89"/>
      <c r="B32" s="119"/>
      <c r="C32" s="89"/>
      <c r="D32" s="89"/>
      <c r="E32" s="89"/>
      <c r="F32" s="89"/>
      <c r="G32" s="89"/>
      <c r="H32" s="89"/>
      <c r="I32" s="89"/>
      <c r="J32" s="89"/>
      <c r="K32" s="89"/>
    </row>
    <row r="33" spans="1:11">
      <c r="A33" s="89"/>
      <c r="B33" s="119"/>
      <c r="C33" s="89"/>
      <c r="D33" s="89"/>
      <c r="E33" s="121" t="s">
        <v>9</v>
      </c>
      <c r="F33" s="64"/>
      <c r="G33" s="89"/>
      <c r="H33" s="89"/>
      <c r="I33" s="89"/>
      <c r="J33" s="89"/>
      <c r="K33" s="89"/>
    </row>
    <row r="34" spans="1:11">
      <c r="B34" s="122"/>
    </row>
    <row r="35" spans="1:11">
      <c r="B35" s="122"/>
    </row>
    <row r="36" spans="1:11">
      <c r="B36" s="122"/>
    </row>
    <row r="37" spans="1:11">
      <c r="B37" s="122"/>
    </row>
    <row r="38" spans="1:11">
      <c r="B38" s="122"/>
    </row>
    <row r="39" spans="1:11">
      <c r="B39" s="122"/>
    </row>
    <row r="40" spans="1:11">
      <c r="B40" s="122"/>
    </row>
    <row r="41" spans="1:11">
      <c r="B41" s="122"/>
    </row>
  </sheetData>
  <mergeCells count="5">
    <mergeCell ref="A5:B5"/>
    <mergeCell ref="C5:D5"/>
    <mergeCell ref="E5:F5"/>
    <mergeCell ref="G5:H5"/>
    <mergeCell ref="I5:J5"/>
  </mergeCells>
  <pageMargins left="0.7" right="0.7" top="0.75" bottom="0.75" header="0.3" footer="0.3"/>
  <pageSetup scale="67" orientation="portrait" blackAndWhite="1" r:id="rId1"/>
</worksheet>
</file>

<file path=xl/worksheets/sheet22.xml><?xml version="1.0" encoding="utf-8"?>
<worksheet xmlns="http://schemas.openxmlformats.org/spreadsheetml/2006/main" xmlns:r="http://schemas.openxmlformats.org/officeDocument/2006/relationships">
  <dimension ref="A1:A25"/>
  <sheetViews>
    <sheetView workbookViewId="0">
      <selection activeCell="B2" sqref="B2"/>
    </sheetView>
  </sheetViews>
  <sheetFormatPr defaultRowHeight="15.75"/>
  <cols>
    <col min="1" max="1" width="62.3984375" style="12" customWidth="1"/>
    <col min="2" max="16384" width="8.796875" style="12"/>
  </cols>
  <sheetData>
    <row r="1" spans="1:1" ht="20.25">
      <c r="A1" s="160" t="s">
        <v>338</v>
      </c>
    </row>
    <row r="2" spans="1:1" ht="54.75" customHeight="1">
      <c r="A2" s="161" t="s">
        <v>339</v>
      </c>
    </row>
    <row r="3" spans="1:1">
      <c r="A3" s="162"/>
    </row>
    <row r="4" spans="1:1" ht="56.25" customHeight="1">
      <c r="A4" s="161" t="s">
        <v>340</v>
      </c>
    </row>
    <row r="5" spans="1:1">
      <c r="A5" s="79"/>
    </row>
    <row r="6" spans="1:1" ht="50.25" customHeight="1">
      <c r="A6" s="161" t="s">
        <v>341</v>
      </c>
    </row>
    <row r="7" spans="1:1" ht="16.5" customHeight="1">
      <c r="A7" s="161"/>
    </row>
    <row r="8" spans="1:1" ht="50.25" customHeight="1">
      <c r="A8" s="482" t="s">
        <v>708</v>
      </c>
    </row>
    <row r="9" spans="1:1">
      <c r="A9" s="162"/>
    </row>
    <row r="10" spans="1:1" ht="40.5" customHeight="1">
      <c r="A10" s="161" t="s">
        <v>342</v>
      </c>
    </row>
    <row r="11" spans="1:1">
      <c r="A11" s="79"/>
    </row>
    <row r="12" spans="1:1" ht="40.5" customHeight="1">
      <c r="A12" s="161" t="s">
        <v>343</v>
      </c>
    </row>
    <row r="13" spans="1:1">
      <c r="A13" s="162"/>
    </row>
    <row r="14" spans="1:1" ht="71.25" customHeight="1">
      <c r="A14" s="161" t="s">
        <v>344</v>
      </c>
    </row>
    <row r="15" spans="1:1">
      <c r="A15" s="162"/>
    </row>
    <row r="16" spans="1:1" ht="40.5" customHeight="1">
      <c r="A16" s="161" t="s">
        <v>345</v>
      </c>
    </row>
    <row r="17" spans="1:1">
      <c r="A17" s="79"/>
    </row>
    <row r="18" spans="1:1" ht="49.5" customHeight="1">
      <c r="A18" s="161" t="s">
        <v>346</v>
      </c>
    </row>
    <row r="19" spans="1:1">
      <c r="A19" s="162"/>
    </row>
    <row r="20" spans="1:1" ht="52.5" customHeight="1">
      <c r="A20" s="161" t="s">
        <v>347</v>
      </c>
    </row>
    <row r="21" spans="1:1">
      <c r="A21" s="162"/>
    </row>
    <row r="22" spans="1:1" ht="48.75" customHeight="1">
      <c r="A22" s="161" t="s">
        <v>348</v>
      </c>
    </row>
    <row r="23" spans="1:1">
      <c r="A23" s="162"/>
    </row>
    <row r="24" spans="1:1">
      <c r="A24" s="79"/>
    </row>
    <row r="25" spans="1:1" ht="51.75" customHeight="1">
      <c r="A25" s="161" t="s">
        <v>349</v>
      </c>
    </row>
  </sheetData>
  <sheetProtection sheet="1"/>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sheetPr>
    <pageSetUpPr fitToPage="1"/>
  </sheetPr>
  <dimension ref="A1:F39"/>
  <sheetViews>
    <sheetView workbookViewId="0">
      <selection activeCell="A30" sqref="A30"/>
    </sheetView>
  </sheetViews>
  <sheetFormatPr defaultRowHeight="15.75"/>
  <cols>
    <col min="1" max="1" width="10.59765625" style="12" customWidth="1"/>
    <col min="2" max="2" width="13.69921875" style="12" customWidth="1"/>
    <col min="3" max="5" width="12.69921875" style="12" customWidth="1"/>
    <col min="6" max="16384" width="8.796875" style="12"/>
  </cols>
  <sheetData>
    <row r="1" spans="1:6">
      <c r="A1" s="13" t="str">
        <f>inputPrYr!D2</f>
        <v>Paxton Township</v>
      </c>
      <c r="B1" s="14"/>
      <c r="C1" s="14"/>
      <c r="D1" s="14"/>
      <c r="E1" s="14"/>
      <c r="F1" s="14">
        <f>inputPrYr!D5</f>
        <v>2013</v>
      </c>
    </row>
    <row r="2" spans="1:6">
      <c r="A2" s="14"/>
      <c r="B2" s="14"/>
      <c r="C2" s="14"/>
      <c r="D2" s="14"/>
      <c r="E2" s="14"/>
      <c r="F2" s="14"/>
    </row>
    <row r="3" spans="1:6">
      <c r="A3" s="14"/>
      <c r="B3" s="763" t="str">
        <f>CONCATENATE("",F1," Neighborhood Revitalization Rebate")</f>
        <v>2013 Neighborhood Revitalization Rebate</v>
      </c>
      <c r="C3" s="771"/>
      <c r="D3" s="771"/>
      <c r="E3" s="771"/>
      <c r="F3" s="14"/>
    </row>
    <row r="4" spans="1:6">
      <c r="A4" s="14"/>
      <c r="B4" s="14"/>
      <c r="C4" s="14"/>
      <c r="D4" s="14"/>
      <c r="E4" s="14"/>
      <c r="F4" s="14"/>
    </row>
    <row r="5" spans="1:6" ht="51" customHeight="1">
      <c r="A5" s="14"/>
      <c r="B5" s="125" t="str">
        <f>CONCATENATE("Budgeted Funds                            for ",F1,"")</f>
        <v>Budgeted Funds                            for 2013</v>
      </c>
      <c r="C5" s="125" t="str">
        <f>CONCATENATE("",F1-1," Ad Valorem before Rebate**")</f>
        <v>2012 Ad Valorem before Rebate**</v>
      </c>
      <c r="D5" s="126" t="str">
        <f>CONCATENATE("",F1-1," Mil Rate before Rebate")</f>
        <v>2012 Mil Rate before Rebate</v>
      </c>
      <c r="E5" s="127" t="str">
        <f>CONCATENATE("Estimate ",F1," NR Rebate")</f>
        <v>Estimate 2013 NR Rebate</v>
      </c>
      <c r="F5" s="128"/>
    </row>
    <row r="6" spans="1:6">
      <c r="A6" s="14"/>
      <c r="B6" s="71" t="str">
        <f>inputPrYr!B16</f>
        <v>General</v>
      </c>
      <c r="C6" s="129"/>
      <c r="D6" s="130" t="str">
        <f t="shared" ref="D6:D15" si="0">IF(C6&gt;0,C6/$D$21,"")</f>
        <v/>
      </c>
      <c r="E6" s="131" t="str">
        <f t="shared" ref="E6:E15" si="1">IF(C6&gt;0,ROUND(D6*$D$25,0),"")</f>
        <v/>
      </c>
      <c r="F6" s="128"/>
    </row>
    <row r="7" spans="1:6">
      <c r="A7" s="14"/>
      <c r="B7" s="71" t="str">
        <f>inputPrYr!B17</f>
        <v>Debt Service</v>
      </c>
      <c r="C7" s="129"/>
      <c r="D7" s="130" t="str">
        <f t="shared" si="0"/>
        <v/>
      </c>
      <c r="E7" s="131" t="str">
        <f t="shared" si="1"/>
        <v/>
      </c>
      <c r="F7" s="128"/>
    </row>
    <row r="8" spans="1:6">
      <c r="A8" s="14"/>
      <c r="B8" s="71" t="str">
        <f>inputPrYr!B18</f>
        <v>Library</v>
      </c>
      <c r="C8" s="129"/>
      <c r="D8" s="130" t="str">
        <f>IF(C8&gt;0,C8/$D$21,"")</f>
        <v/>
      </c>
      <c r="E8" s="131" t="str">
        <f>IF(C8&gt;0,ROUND(D8*$D$25,0),"")</f>
        <v/>
      </c>
      <c r="F8" s="128"/>
    </row>
    <row r="9" spans="1:6">
      <c r="A9" s="14"/>
      <c r="B9" s="71" t="str">
        <f>inputPrYr!B19</f>
        <v>Road</v>
      </c>
      <c r="C9" s="129"/>
      <c r="D9" s="130" t="str">
        <f t="shared" si="0"/>
        <v/>
      </c>
      <c r="E9" s="131" t="str">
        <f t="shared" si="1"/>
        <v/>
      </c>
      <c r="F9" s="128"/>
    </row>
    <row r="10" spans="1:6">
      <c r="A10" s="14"/>
      <c r="B10" s="71" t="str">
        <f>inputPrYr!B20</f>
        <v>Prairie Dog</v>
      </c>
      <c r="C10" s="129"/>
      <c r="D10" s="130" t="str">
        <f t="shared" si="0"/>
        <v/>
      </c>
      <c r="E10" s="131" t="str">
        <f t="shared" si="1"/>
        <v/>
      </c>
      <c r="F10" s="128"/>
    </row>
    <row r="11" spans="1:6">
      <c r="A11" s="14"/>
      <c r="B11" s="71" t="str">
        <f>inputPrYr!B21</f>
        <v>Noxious Weed</v>
      </c>
      <c r="C11" s="129"/>
      <c r="D11" s="130" t="str">
        <f t="shared" si="0"/>
        <v/>
      </c>
      <c r="E11" s="131" t="str">
        <f t="shared" si="1"/>
        <v/>
      </c>
      <c r="F11" s="128"/>
    </row>
    <row r="12" spans="1:6">
      <c r="A12" s="14"/>
      <c r="B12" s="71">
        <f>inputPrYr!B22</f>
        <v>0</v>
      </c>
      <c r="C12" s="129"/>
      <c r="D12" s="130" t="str">
        <f t="shared" si="0"/>
        <v/>
      </c>
      <c r="E12" s="131" t="str">
        <f t="shared" si="1"/>
        <v/>
      </c>
      <c r="F12" s="128"/>
    </row>
    <row r="13" spans="1:6">
      <c r="A13" s="14"/>
      <c r="B13" s="71">
        <f>inputPrYr!B23</f>
        <v>0</v>
      </c>
      <c r="C13" s="132"/>
      <c r="D13" s="130" t="str">
        <f t="shared" si="0"/>
        <v/>
      </c>
      <c r="E13" s="131" t="str">
        <f t="shared" si="1"/>
        <v/>
      </c>
      <c r="F13" s="128"/>
    </row>
    <row r="14" spans="1:6">
      <c r="A14" s="14"/>
      <c r="B14" s="71">
        <f>inputPrYr!B24</f>
        <v>0</v>
      </c>
      <c r="C14" s="132"/>
      <c r="D14" s="130" t="str">
        <f t="shared" si="0"/>
        <v/>
      </c>
      <c r="E14" s="131" t="str">
        <f t="shared" si="1"/>
        <v/>
      </c>
      <c r="F14" s="128"/>
    </row>
    <row r="15" spans="1:6">
      <c r="A15" s="14"/>
      <c r="B15" s="71">
        <f>inputPrYr!B25</f>
        <v>0</v>
      </c>
      <c r="C15" s="132"/>
      <c r="D15" s="130" t="str">
        <f t="shared" si="0"/>
        <v/>
      </c>
      <c r="E15" s="131" t="str">
        <f t="shared" si="1"/>
        <v/>
      </c>
      <c r="F15" s="128"/>
    </row>
    <row r="16" spans="1:6" ht="16.5" thickBot="1">
      <c r="A16" s="14"/>
      <c r="B16" s="72" t="s">
        <v>206</v>
      </c>
      <c r="C16" s="133">
        <f>SUM(C6:C15)</f>
        <v>0</v>
      </c>
      <c r="D16" s="134">
        <f>SUM(D6:D15)</f>
        <v>0</v>
      </c>
      <c r="E16" s="133">
        <f>SUM(E6:E15)</f>
        <v>0</v>
      </c>
      <c r="F16" s="128"/>
    </row>
    <row r="17" spans="1:6" ht="16.5" thickTop="1">
      <c r="A17" s="14"/>
      <c r="B17" s="14"/>
      <c r="C17" s="14"/>
      <c r="D17" s="14"/>
      <c r="E17" s="14"/>
      <c r="F17" s="128"/>
    </row>
    <row r="18" spans="1:6">
      <c r="A18" s="14"/>
      <c r="B18" s="14"/>
      <c r="C18" s="14"/>
      <c r="D18" s="14"/>
      <c r="E18" s="14"/>
      <c r="F18" s="128"/>
    </row>
    <row r="19" spans="1:6">
      <c r="A19" s="836" t="str">
        <f>CONCATENATE("",F1-1," July 1 Valuation:")</f>
        <v>2012 July 1 Valuation:</v>
      </c>
      <c r="B19" s="835"/>
      <c r="C19" s="836"/>
      <c r="D19" s="135">
        <f>inputOth!E7</f>
        <v>3461441</v>
      </c>
      <c r="E19" s="14"/>
      <c r="F19" s="128"/>
    </row>
    <row r="20" spans="1:6">
      <c r="A20" s="14"/>
      <c r="B20" s="14"/>
      <c r="C20" s="14"/>
      <c r="D20" s="14"/>
      <c r="E20" s="14"/>
      <c r="F20" s="128"/>
    </row>
    <row r="21" spans="1:6">
      <c r="A21" s="14"/>
      <c r="B21" s="836" t="s">
        <v>360</v>
      </c>
      <c r="C21" s="836"/>
      <c r="D21" s="136">
        <f>IF(D19&gt;0,(D19*0.001),"")</f>
        <v>3461.4410000000003</v>
      </c>
      <c r="E21" s="14"/>
      <c r="F21" s="128"/>
    </row>
    <row r="22" spans="1:6">
      <c r="A22" s="14"/>
      <c r="B22" s="48"/>
      <c r="C22" s="48"/>
      <c r="D22" s="137"/>
      <c r="E22" s="14"/>
      <c r="F22" s="128"/>
    </row>
    <row r="23" spans="1:6">
      <c r="A23" s="834" t="s">
        <v>362</v>
      </c>
      <c r="B23" s="762"/>
      <c r="C23" s="762"/>
      <c r="D23" s="138">
        <f>inputOth!E13</f>
        <v>31915</v>
      </c>
      <c r="E23" s="139"/>
      <c r="F23" s="139"/>
    </row>
    <row r="24" spans="1:6">
      <c r="A24" s="139"/>
      <c r="B24" s="139"/>
      <c r="C24" s="139"/>
      <c r="D24" s="140"/>
      <c r="E24" s="139"/>
      <c r="F24" s="139"/>
    </row>
    <row r="25" spans="1:6">
      <c r="A25" s="139"/>
      <c r="B25" s="834" t="s">
        <v>363</v>
      </c>
      <c r="C25" s="835"/>
      <c r="D25" s="141">
        <f>IF(D23&gt;0,(D23*0.001),"")</f>
        <v>31.914999999999999</v>
      </c>
      <c r="E25" s="139"/>
      <c r="F25" s="139"/>
    </row>
    <row r="26" spans="1:6">
      <c r="A26" s="139"/>
      <c r="B26" s="139"/>
      <c r="C26" s="139"/>
      <c r="D26" s="139"/>
      <c r="E26" s="139"/>
      <c r="F26" s="139"/>
    </row>
    <row r="27" spans="1:6">
      <c r="A27" s="139"/>
      <c r="B27" s="139"/>
      <c r="C27" s="139"/>
      <c r="D27" s="139"/>
      <c r="E27" s="139"/>
      <c r="F27" s="139"/>
    </row>
    <row r="28" spans="1:6">
      <c r="A28" s="139"/>
      <c r="B28" s="139"/>
      <c r="C28" s="139"/>
      <c r="D28" s="139"/>
      <c r="E28" s="139"/>
      <c r="F28" s="139"/>
    </row>
    <row r="29" spans="1:6">
      <c r="A29" s="372" t="str">
        <f>CONCATENATE("**This information comes from the ",F1," Budget Summary page.  See instructions tab #12 for completing")</f>
        <v>**This information comes from the 2013 Budget Summary page.  See instructions tab #12 for completing</v>
      </c>
      <c r="B29" s="139"/>
      <c r="C29" s="139"/>
      <c r="D29" s="139"/>
      <c r="E29" s="139"/>
      <c r="F29" s="139"/>
    </row>
    <row r="30" spans="1:6">
      <c r="A30" s="372" t="s">
        <v>598</v>
      </c>
      <c r="B30" s="139"/>
      <c r="C30" s="139"/>
      <c r="D30" s="139"/>
      <c r="E30" s="139"/>
      <c r="F30" s="139"/>
    </row>
    <row r="31" spans="1:6">
      <c r="A31" s="372"/>
      <c r="B31" s="139"/>
      <c r="C31" s="139"/>
      <c r="D31" s="139"/>
      <c r="E31" s="139"/>
      <c r="F31" s="139"/>
    </row>
    <row r="32" spans="1:6">
      <c r="A32" s="372"/>
      <c r="B32" s="139"/>
      <c r="C32" s="139"/>
      <c r="D32" s="139"/>
      <c r="E32" s="139"/>
      <c r="F32" s="139"/>
    </row>
    <row r="33" spans="1:6">
      <c r="A33" s="372"/>
      <c r="B33" s="139"/>
      <c r="C33" s="139"/>
      <c r="D33" s="139"/>
      <c r="E33" s="139"/>
      <c r="F33" s="139"/>
    </row>
    <row r="34" spans="1:6">
      <c r="A34" s="372"/>
      <c r="B34" s="139"/>
      <c r="C34" s="139"/>
      <c r="D34" s="139"/>
      <c r="E34" s="139"/>
      <c r="F34" s="139"/>
    </row>
    <row r="35" spans="1:6">
      <c r="A35" s="372"/>
      <c r="B35" s="139"/>
      <c r="C35" s="139"/>
      <c r="D35" s="139"/>
      <c r="E35" s="139"/>
      <c r="F35" s="139"/>
    </row>
    <row r="36" spans="1:6">
      <c r="A36" s="372"/>
      <c r="B36" s="139"/>
      <c r="C36" s="139"/>
      <c r="D36" s="139"/>
      <c r="E36" s="139"/>
      <c r="F36" s="139"/>
    </row>
    <row r="37" spans="1:6">
      <c r="A37" s="139"/>
      <c r="B37" s="139"/>
      <c r="C37" s="139"/>
      <c r="D37" s="139"/>
      <c r="E37" s="139"/>
      <c r="F37" s="139"/>
    </row>
    <row r="38" spans="1:6">
      <c r="A38" s="139"/>
      <c r="B38" s="121" t="s">
        <v>9</v>
      </c>
      <c r="C38" s="64"/>
      <c r="D38" s="139"/>
      <c r="E38" s="139"/>
      <c r="F38" s="139"/>
    </row>
    <row r="39" spans="1:6">
      <c r="A39" s="128"/>
      <c r="B39" s="14"/>
      <c r="C39" s="14"/>
      <c r="D39" s="142"/>
      <c r="E39" s="128"/>
      <c r="F39" s="128"/>
    </row>
  </sheetData>
  <sheetProtection sheet="1"/>
  <mergeCells count="5">
    <mergeCell ref="B25:C25"/>
    <mergeCell ref="B3:E3"/>
    <mergeCell ref="A19:C19"/>
    <mergeCell ref="B21:C21"/>
    <mergeCell ref="A23:C23"/>
  </mergeCells>
  <phoneticPr fontId="11" type="noConversion"/>
  <pageMargins left="0.75" right="0.75" top="1" bottom="1" header="0.5" footer="0.5"/>
  <pageSetup scale="98" orientation="portrait" blackAndWhite="1" r:id="rId1"/>
  <headerFooter alignWithMargins="0">
    <oddHeader>&amp;RState of Kansas
Township</oddHeader>
  </headerFooter>
</worksheet>
</file>

<file path=xl/worksheets/sheet24.xml><?xml version="1.0" encoding="utf-8"?>
<worksheet xmlns="http://schemas.openxmlformats.org/spreadsheetml/2006/main" xmlns:r="http://schemas.openxmlformats.org/officeDocument/2006/relationships">
  <sheetPr>
    <pageSetUpPr fitToPage="1"/>
  </sheetPr>
  <dimension ref="A1:I50"/>
  <sheetViews>
    <sheetView workbookViewId="0">
      <selection activeCell="D50" sqref="D50"/>
    </sheetView>
  </sheetViews>
  <sheetFormatPr defaultRowHeight="15.75"/>
  <sheetData>
    <row r="1" spans="1:9">
      <c r="A1" s="844" t="s">
        <v>123</v>
      </c>
      <c r="B1" s="844"/>
      <c r="C1" s="844"/>
      <c r="D1" s="844"/>
      <c r="E1" s="844"/>
      <c r="F1" s="844"/>
      <c r="G1" s="844"/>
    </row>
    <row r="2" spans="1:9">
      <c r="A2" s="1"/>
    </row>
    <row r="3" spans="1:9">
      <c r="A3" s="845" t="s">
        <v>124</v>
      </c>
      <c r="B3" s="845"/>
      <c r="C3" s="845"/>
      <c r="D3" s="845"/>
      <c r="E3" s="845"/>
      <c r="F3" s="845"/>
      <c r="G3" s="845"/>
    </row>
    <row r="4" spans="1:9">
      <c r="A4" s="2"/>
    </row>
    <row r="5" spans="1:9">
      <c r="A5" s="2"/>
    </row>
    <row r="6" spans="1:9">
      <c r="A6" s="8" t="str">
        <f>CONCATENATE("A resolution expressing the property taxation policy of the Board of ",(inputPrYr!D2)," ")</f>
        <v xml:space="preserve">A resolution expressing the property taxation policy of the Board of Paxton Township </v>
      </c>
      <c r="I6" t="str">
        <f>CONCATENATE(I7)</f>
        <v/>
      </c>
    </row>
    <row r="7" spans="1:9">
      <c r="A7" s="846" t="str">
        <f>CONCATENATE("   with respect to financing the ",inputPrYr!D5," annual budget for ",(inputPrYr!D2)," , ",(inputPrYr!D3)," , Kansas.")</f>
        <v xml:space="preserve">   with respect to financing the 2013 annual budget for Paxton Township , Logan County , Kansas.</v>
      </c>
      <c r="B7" s="839"/>
      <c r="C7" s="839"/>
      <c r="D7" s="839"/>
      <c r="E7" s="839"/>
      <c r="F7" s="839"/>
      <c r="G7" s="839"/>
    </row>
    <row r="8" spans="1:9">
      <c r="A8" s="839"/>
      <c r="B8" s="839"/>
      <c r="C8" s="839"/>
      <c r="D8" s="839"/>
      <c r="E8" s="839"/>
      <c r="F8" s="839"/>
      <c r="G8" s="839"/>
    </row>
    <row r="9" spans="1:9">
      <c r="A9" s="1"/>
    </row>
    <row r="10" spans="1:9">
      <c r="A10" s="9" t="s">
        <v>125</v>
      </c>
    </row>
    <row r="11" spans="1:9">
      <c r="A11" s="7" t="str">
        <f>CONCATENATE("to finance the ",inputPrYr!D5," ",(inputPrYr!D2)," budget exceed the amount levied to finance the ",inputPrYr!D5-1,"")</f>
        <v>to finance the 2013 Paxton Township budget exceed the amount levied to finance the 2012</v>
      </c>
    </row>
    <row r="12" spans="1:9">
      <c r="A12" s="842" t="str">
        <f>CONCATENATE((inputPrYr!D2)," Township budget, except with regard to revenue produced and attributable to the taxation of 1) new improvements to real property; 2) increased personal property valuation, other than increased")</f>
        <v>Paxton Township Township budget, except with regard to revenue produced and attributable to the taxation of 1) new improvements to real property; 2) increased personal property valuation, other than increased</v>
      </c>
      <c r="B12" s="839"/>
      <c r="C12" s="839"/>
      <c r="D12" s="839"/>
      <c r="E12" s="839"/>
      <c r="F12" s="839"/>
      <c r="G12" s="839"/>
    </row>
    <row r="13" spans="1:9">
      <c r="A13" s="839"/>
      <c r="B13" s="839"/>
      <c r="C13" s="839"/>
      <c r="D13" s="839"/>
      <c r="E13" s="839"/>
      <c r="F13" s="839"/>
      <c r="G13" s="839"/>
    </row>
    <row r="14" spans="1:9">
      <c r="A14" s="842" t="s">
        <v>130</v>
      </c>
      <c r="B14" s="839"/>
      <c r="C14" s="839"/>
      <c r="D14" s="839"/>
      <c r="E14" s="839"/>
      <c r="F14" s="839"/>
      <c r="G14" s="839"/>
    </row>
    <row r="15" spans="1:9">
      <c r="A15" s="839"/>
      <c r="B15" s="839"/>
      <c r="C15" s="839"/>
      <c r="D15" s="839"/>
      <c r="E15" s="839"/>
      <c r="F15" s="839"/>
      <c r="G15" s="839"/>
    </row>
    <row r="16" spans="1:9">
      <c r="A16" s="843"/>
      <c r="B16" s="843"/>
      <c r="C16" s="843"/>
      <c r="D16" s="843"/>
      <c r="E16" s="843"/>
      <c r="F16" s="843"/>
      <c r="G16" s="843"/>
    </row>
    <row r="17" spans="1:7">
      <c r="A17" s="2"/>
    </row>
    <row r="18" spans="1:7">
      <c r="A18" s="840" t="s">
        <v>126</v>
      </c>
      <c r="B18" s="839"/>
      <c r="C18" s="839"/>
      <c r="D18" s="839"/>
      <c r="E18" s="839"/>
      <c r="F18" s="839"/>
      <c r="G18" s="839"/>
    </row>
    <row r="19" spans="1:7">
      <c r="A19" s="839"/>
      <c r="B19" s="839"/>
      <c r="C19" s="839"/>
      <c r="D19" s="839"/>
      <c r="E19" s="839"/>
      <c r="F19" s="839"/>
      <c r="G19" s="839"/>
    </row>
    <row r="20" spans="1:7">
      <c r="A20" s="2"/>
    </row>
    <row r="21" spans="1:7">
      <c r="A21" s="840" t="str">
        <f>CONCATENATE("Whereas, ",(inputPrYr!D2)," provides essential services to protect the safety and well being of the citizens of the township; and")</f>
        <v>Whereas, Paxton Township provides essential services to protect the safety and well being of the citizens of the township; and</v>
      </c>
      <c r="B21" s="839"/>
      <c r="C21" s="839"/>
      <c r="D21" s="839"/>
      <c r="E21" s="839"/>
      <c r="F21" s="839"/>
      <c r="G21" s="839"/>
    </row>
    <row r="22" spans="1:7">
      <c r="A22" s="839"/>
      <c r="B22" s="839"/>
      <c r="C22" s="839"/>
      <c r="D22" s="839"/>
      <c r="E22" s="839"/>
      <c r="F22" s="839"/>
      <c r="G22" s="839"/>
    </row>
    <row r="23" spans="1:7">
      <c r="A23" s="4"/>
    </row>
    <row r="24" spans="1:7">
      <c r="A24" s="3" t="s">
        <v>127</v>
      </c>
    </row>
    <row r="25" spans="1:7">
      <c r="A25" s="4"/>
    </row>
    <row r="26" spans="1:7">
      <c r="A26" s="840" t="str">
        <f>CONCATENATE("NOW, THEREFORE, BE IT RESOLVED by the Board of ",(inputPrYr!D2)," of ",(inputPrYr!D3),", Kansas that is our desire to notify the public of increased property taxes to finance the ",inputPrYr!D5," ",(inputPrYr!D2),"  budget as defined above.")</f>
        <v>NOW, THEREFORE, BE IT RESOLVED by the Board of Paxton Township of Logan County, Kansas that is our desire to notify the public of increased property taxes to finance the 2013 Paxton Township  budget as defined above.</v>
      </c>
      <c r="B26" s="839"/>
      <c r="C26" s="839"/>
      <c r="D26" s="839"/>
      <c r="E26" s="839"/>
      <c r="F26" s="839"/>
      <c r="G26" s="839"/>
    </row>
    <row r="27" spans="1:7">
      <c r="A27" s="839"/>
      <c r="B27" s="839"/>
      <c r="C27" s="839"/>
      <c r="D27" s="839"/>
      <c r="E27" s="839"/>
      <c r="F27" s="839"/>
      <c r="G27" s="839"/>
    </row>
    <row r="28" spans="1:7">
      <c r="A28" s="839"/>
      <c r="B28" s="839"/>
      <c r="C28" s="839"/>
      <c r="D28" s="839"/>
      <c r="E28" s="839"/>
      <c r="F28" s="839"/>
      <c r="G28" s="839"/>
    </row>
    <row r="29" spans="1:7">
      <c r="A29" s="4"/>
    </row>
    <row r="30" spans="1:7">
      <c r="A30" s="838" t="str">
        <f>CONCATENATE("Adopted this _________ day of ___________, ",inputPrYr!D5-1," by the ",(inputPrYr!D2)," Board, ",(inputPrYr!D3),", Kansas.")</f>
        <v>Adopted this _________ day of ___________, 2012 by the Paxton Township Board, Logan County, Kansas.</v>
      </c>
      <c r="B30" s="839"/>
      <c r="C30" s="839"/>
      <c r="D30" s="839"/>
      <c r="E30" s="839"/>
      <c r="F30" s="839"/>
      <c r="G30" s="839"/>
    </row>
    <row r="31" spans="1:7">
      <c r="A31" s="839"/>
      <c r="B31" s="839"/>
      <c r="C31" s="839"/>
      <c r="D31" s="839"/>
      <c r="E31" s="839"/>
      <c r="F31" s="839"/>
      <c r="G31" s="839"/>
    </row>
    <row r="32" spans="1:7">
      <c r="A32" s="4"/>
    </row>
    <row r="33" spans="1:7">
      <c r="D33" s="841" t="str">
        <f>CONCATENATE((inputPrYr!D2)," Board")</f>
        <v>Paxton Township Board</v>
      </c>
      <c r="E33" s="841"/>
      <c r="F33" s="841"/>
      <c r="G33" s="841"/>
    </row>
    <row r="35" spans="1:7">
      <c r="D35" s="837" t="s">
        <v>128</v>
      </c>
      <c r="E35" s="837"/>
      <c r="F35" s="837"/>
      <c r="G35" s="837"/>
    </row>
    <row r="36" spans="1:7">
      <c r="A36" s="5"/>
      <c r="D36" s="837" t="s">
        <v>132</v>
      </c>
      <c r="E36" s="837"/>
      <c r="F36" s="837"/>
      <c r="G36" s="837"/>
    </row>
    <row r="37" spans="1:7">
      <c r="D37" s="837"/>
      <c r="E37" s="837"/>
      <c r="F37" s="837"/>
      <c r="G37" s="837"/>
    </row>
    <row r="38" spans="1:7">
      <c r="D38" s="837" t="s">
        <v>128</v>
      </c>
      <c r="E38" s="837"/>
      <c r="F38" s="837"/>
      <c r="G38" s="837"/>
    </row>
    <row r="39" spans="1:7">
      <c r="A39" s="4"/>
      <c r="D39" s="837" t="s">
        <v>133</v>
      </c>
      <c r="E39" s="837"/>
      <c r="F39" s="837"/>
      <c r="G39" s="837"/>
    </row>
    <row r="40" spans="1:7">
      <c r="D40" s="837"/>
      <c r="E40" s="837"/>
      <c r="F40" s="837"/>
      <c r="G40" s="837"/>
    </row>
    <row r="41" spans="1:7">
      <c r="D41" s="837" t="s">
        <v>131</v>
      </c>
      <c r="E41" s="837"/>
      <c r="F41" s="837"/>
      <c r="G41" s="837"/>
    </row>
    <row r="42" spans="1:7">
      <c r="A42" s="4"/>
      <c r="D42" s="837" t="s">
        <v>134</v>
      </c>
      <c r="E42" s="837"/>
      <c r="F42" s="837"/>
      <c r="G42" s="837"/>
    </row>
    <row r="43" spans="1:7">
      <c r="A43" s="6"/>
    </row>
    <row r="44" spans="1:7">
      <c r="A44" s="6"/>
    </row>
    <row r="45" spans="1:7">
      <c r="A45" s="6" t="s">
        <v>129</v>
      </c>
    </row>
    <row r="50" spans="3:4">
      <c r="C50" s="10" t="s">
        <v>9</v>
      </c>
      <c r="D50" s="11"/>
    </row>
  </sheetData>
  <mergeCells count="18">
    <mergeCell ref="A12:G13"/>
    <mergeCell ref="A14:G16"/>
    <mergeCell ref="A1:G1"/>
    <mergeCell ref="A3:G3"/>
    <mergeCell ref="A7:G8"/>
    <mergeCell ref="A18:G19"/>
    <mergeCell ref="A21:G22"/>
    <mergeCell ref="A26:G28"/>
    <mergeCell ref="D33:G33"/>
    <mergeCell ref="D36:G36"/>
    <mergeCell ref="D39:G39"/>
    <mergeCell ref="A30:G31"/>
    <mergeCell ref="D42:G42"/>
    <mergeCell ref="D37:G37"/>
    <mergeCell ref="D38:G38"/>
    <mergeCell ref="D40:G40"/>
    <mergeCell ref="D41:G41"/>
    <mergeCell ref="D35:G35"/>
  </mergeCells>
  <phoneticPr fontId="11" type="noConversion"/>
  <pageMargins left="0.75" right="0.75" top="1" bottom="1" header="0.5" footer="0.5"/>
  <pageSetup scale="88" orientation="portrait" blackAndWhite="1" horizontalDpi="300" verticalDpi="300" r:id="rId1"/>
  <headerFooter alignWithMargins="0"/>
</worksheet>
</file>

<file path=xl/worksheets/sheet25.xml><?xml version="1.0" encoding="utf-8"?>
<worksheet xmlns="http://schemas.openxmlformats.org/spreadsheetml/2006/main" xmlns:r="http://schemas.openxmlformats.org/officeDocument/2006/relationships">
  <sheetPr>
    <tabColor rgb="FFFF0000"/>
  </sheetPr>
  <dimension ref="A3:L85"/>
  <sheetViews>
    <sheetView workbookViewId="0">
      <selection activeCell="B3" sqref="B3"/>
    </sheetView>
  </sheetViews>
  <sheetFormatPr defaultRowHeight="15.75"/>
  <cols>
    <col min="1" max="1" width="64.19921875" customWidth="1"/>
  </cols>
  <sheetData>
    <row r="3" spans="1:12">
      <c r="A3" s="350" t="s">
        <v>376</v>
      </c>
      <c r="B3" s="350"/>
      <c r="C3" s="350"/>
      <c r="D3" s="350"/>
      <c r="E3" s="350"/>
      <c r="F3" s="350"/>
      <c r="G3" s="350"/>
      <c r="H3" s="350"/>
      <c r="I3" s="350"/>
      <c r="J3" s="350"/>
      <c r="K3" s="350"/>
      <c r="L3" s="350"/>
    </row>
    <row r="5" spans="1:12">
      <c r="A5" s="349" t="s">
        <v>377</v>
      </c>
    </row>
    <row r="6" spans="1:12">
      <c r="A6" s="349" t="str">
        <f>CONCATENATE(inputPrYr!D5-2," 'total expenditures' exceed your ",inputPrYr!D5-2," 'budget authority.'")</f>
        <v>2011 'total expenditures' exceed your 2011 'budget authority.'</v>
      </c>
    </row>
    <row r="7" spans="1:12">
      <c r="A7" s="349"/>
    </row>
    <row r="8" spans="1:12">
      <c r="A8" s="349" t="s">
        <v>378</v>
      </c>
    </row>
    <row r="9" spans="1:12">
      <c r="A9" s="349" t="s">
        <v>379</v>
      </c>
    </row>
    <row r="10" spans="1:12">
      <c r="A10" s="349" t="s">
        <v>380</v>
      </c>
    </row>
    <row r="11" spans="1:12">
      <c r="A11" s="349"/>
    </row>
    <row r="12" spans="1:12">
      <c r="A12" s="349"/>
    </row>
    <row r="13" spans="1:12">
      <c r="A13" s="348" t="s">
        <v>381</v>
      </c>
    </row>
    <row r="15" spans="1:12">
      <c r="A15" s="349" t="s">
        <v>382</v>
      </c>
    </row>
    <row r="16" spans="1:12">
      <c r="A16" s="349" t="str">
        <f>CONCATENATE("(i.e. an audit has not been completed, or the ",inputPrYr!D5," adopted")</f>
        <v>(i.e. an audit has not been completed, or the 2013 adopted</v>
      </c>
    </row>
    <row r="17" spans="1:1">
      <c r="A17" s="349" t="s">
        <v>383</v>
      </c>
    </row>
    <row r="18" spans="1:1">
      <c r="A18" s="349" t="s">
        <v>384</v>
      </c>
    </row>
    <row r="19" spans="1:1">
      <c r="A19" s="349" t="s">
        <v>385</v>
      </c>
    </row>
    <row r="21" spans="1:1">
      <c r="A21" s="348" t="s">
        <v>386</v>
      </c>
    </row>
    <row r="22" spans="1:1">
      <c r="A22" s="348"/>
    </row>
    <row r="23" spans="1:1">
      <c r="A23" s="349" t="s">
        <v>387</v>
      </c>
    </row>
    <row r="24" spans="1:1">
      <c r="A24" s="349" t="s">
        <v>388</v>
      </c>
    </row>
    <row r="25" spans="1:1">
      <c r="A25" s="349" t="str">
        <f>CONCATENATE("particular fund.  If your ",inputPrYr!D5-2," budget was amended, did you")</f>
        <v>particular fund.  If your 2011 budget was amended, did you</v>
      </c>
    </row>
    <row r="26" spans="1:1">
      <c r="A26" s="349" t="s">
        <v>389</v>
      </c>
    </row>
    <row r="27" spans="1:1">
      <c r="A27" s="349"/>
    </row>
    <row r="28" spans="1:1">
      <c r="A28" s="349" t="str">
        <f>CONCATENATE("Next, look to see if any of your ",inputPrYr!D5-2," expenditures can be")</f>
        <v>Next, look to see if any of your 2011 expenditures can be</v>
      </c>
    </row>
    <row r="29" spans="1:1">
      <c r="A29" s="349" t="s">
        <v>390</v>
      </c>
    </row>
    <row r="30" spans="1:1">
      <c r="A30" s="349" t="s">
        <v>391</v>
      </c>
    </row>
    <row r="31" spans="1:1">
      <c r="A31" s="349" t="s">
        <v>392</v>
      </c>
    </row>
    <row r="32" spans="1:1">
      <c r="A32" s="349"/>
    </row>
    <row r="33" spans="1:1">
      <c r="A33" s="349" t="str">
        <f>CONCATENATE("Additionally, do your ",inputPrYr!D5-2," receipts contain a reimbursement")</f>
        <v>Additionally, do your 2011 receipts contain a reimbursement</v>
      </c>
    </row>
    <row r="34" spans="1:1">
      <c r="A34" s="349" t="s">
        <v>393</v>
      </c>
    </row>
    <row r="35" spans="1:1">
      <c r="A35" s="349" t="s">
        <v>394</v>
      </c>
    </row>
    <row r="36" spans="1:1">
      <c r="A36" s="349"/>
    </row>
    <row r="37" spans="1:1">
      <c r="A37" s="349" t="s">
        <v>395</v>
      </c>
    </row>
    <row r="38" spans="1:1">
      <c r="A38" s="349" t="s">
        <v>581</v>
      </c>
    </row>
    <row r="39" spans="1:1">
      <c r="A39" s="349" t="s">
        <v>582</v>
      </c>
    </row>
    <row r="40" spans="1:1">
      <c r="A40" s="349" t="s">
        <v>396</v>
      </c>
    </row>
    <row r="41" spans="1:1">
      <c r="A41" s="349" t="s">
        <v>397</v>
      </c>
    </row>
    <row r="42" spans="1:1">
      <c r="A42" s="349" t="s">
        <v>398</v>
      </c>
    </row>
    <row r="43" spans="1:1">
      <c r="A43" s="349" t="s">
        <v>399</v>
      </c>
    </row>
    <row r="44" spans="1:1">
      <c r="A44" s="349" t="s">
        <v>400</v>
      </c>
    </row>
    <row r="45" spans="1:1">
      <c r="A45" s="349"/>
    </row>
    <row r="46" spans="1:1">
      <c r="A46" s="349" t="s">
        <v>401</v>
      </c>
    </row>
    <row r="47" spans="1:1">
      <c r="A47" s="349" t="s">
        <v>402</v>
      </c>
    </row>
    <row r="48" spans="1:1">
      <c r="A48" s="349" t="s">
        <v>403</v>
      </c>
    </row>
    <row r="49" spans="1:1">
      <c r="A49" s="349"/>
    </row>
    <row r="50" spans="1:1">
      <c r="A50" s="349" t="s">
        <v>404</v>
      </c>
    </row>
    <row r="51" spans="1:1">
      <c r="A51" s="349" t="s">
        <v>405</v>
      </c>
    </row>
    <row r="52" spans="1:1">
      <c r="A52" s="349" t="s">
        <v>406</v>
      </c>
    </row>
    <row r="53" spans="1:1">
      <c r="A53" s="349"/>
    </row>
    <row r="54" spans="1:1">
      <c r="A54" s="348" t="s">
        <v>407</v>
      </c>
    </row>
    <row r="55" spans="1:1">
      <c r="A55" s="349"/>
    </row>
    <row r="56" spans="1:1">
      <c r="A56" s="349" t="s">
        <v>408</v>
      </c>
    </row>
    <row r="57" spans="1:1">
      <c r="A57" s="349" t="s">
        <v>409</v>
      </c>
    </row>
    <row r="58" spans="1:1">
      <c r="A58" s="349" t="s">
        <v>410</v>
      </c>
    </row>
    <row r="59" spans="1:1">
      <c r="A59" s="349" t="s">
        <v>411</v>
      </c>
    </row>
    <row r="60" spans="1:1">
      <c r="A60" s="349" t="s">
        <v>412</v>
      </c>
    </row>
    <row r="61" spans="1:1">
      <c r="A61" s="349" t="s">
        <v>413</v>
      </c>
    </row>
    <row r="62" spans="1:1">
      <c r="A62" s="349" t="s">
        <v>414</v>
      </c>
    </row>
    <row r="63" spans="1:1">
      <c r="A63" s="349" t="s">
        <v>415</v>
      </c>
    </row>
    <row r="64" spans="1:1">
      <c r="A64" s="349" t="s">
        <v>416</v>
      </c>
    </row>
    <row r="65" spans="1:1">
      <c r="A65" s="349" t="s">
        <v>417</v>
      </c>
    </row>
    <row r="66" spans="1:1">
      <c r="A66" s="349" t="s">
        <v>418</v>
      </c>
    </row>
    <row r="67" spans="1:1">
      <c r="A67" s="349" t="s">
        <v>419</v>
      </c>
    </row>
    <row r="68" spans="1:1">
      <c r="A68" s="349" t="s">
        <v>420</v>
      </c>
    </row>
    <row r="69" spans="1:1">
      <c r="A69" s="349"/>
    </row>
    <row r="70" spans="1:1">
      <c r="A70" s="349" t="s">
        <v>421</v>
      </c>
    </row>
    <row r="71" spans="1:1">
      <c r="A71" s="349" t="s">
        <v>422</v>
      </c>
    </row>
    <row r="72" spans="1:1">
      <c r="A72" s="349" t="s">
        <v>423</v>
      </c>
    </row>
    <row r="73" spans="1:1">
      <c r="A73" s="349"/>
    </row>
    <row r="74" spans="1:1">
      <c r="A74" s="348" t="str">
        <f>CONCATENATE("What if the ",inputPrYr!D5-2," financial records have been closed?")</f>
        <v>What if the 2011 financial records have been closed?</v>
      </c>
    </row>
    <row r="76" spans="1:1">
      <c r="A76" s="349" t="s">
        <v>424</v>
      </c>
    </row>
    <row r="77" spans="1:1">
      <c r="A77" s="349" t="str">
        <f>CONCATENATE("(i.e. an audit for ",inputPrYr!D5-2," has been completed, or the ",inputPrYr!D5)</f>
        <v>(i.e. an audit for 2011 has been completed, or the 2013</v>
      </c>
    </row>
    <row r="78" spans="1:1">
      <c r="A78" s="349" t="s">
        <v>425</v>
      </c>
    </row>
    <row r="79" spans="1:1">
      <c r="A79" s="349" t="s">
        <v>426</v>
      </c>
    </row>
    <row r="80" spans="1:1">
      <c r="A80" s="349"/>
    </row>
    <row r="81" spans="1:1">
      <c r="A81" s="349" t="s">
        <v>427</v>
      </c>
    </row>
    <row r="82" spans="1:1">
      <c r="A82" s="349" t="s">
        <v>428</v>
      </c>
    </row>
    <row r="83" spans="1:1">
      <c r="A83" s="349" t="s">
        <v>429</v>
      </c>
    </row>
    <row r="84" spans="1:1">
      <c r="A84" s="349"/>
    </row>
    <row r="85" spans="1:1">
      <c r="A85" s="349" t="s">
        <v>430</v>
      </c>
    </row>
  </sheetData>
  <sheetProtection sheet="1"/>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sheetPr>
    <tabColor rgb="FFFF0000"/>
  </sheetPr>
  <dimension ref="A3:J109"/>
  <sheetViews>
    <sheetView workbookViewId="0">
      <selection activeCell="C6" sqref="C6"/>
    </sheetView>
  </sheetViews>
  <sheetFormatPr defaultRowHeight="15.75"/>
  <cols>
    <col min="1" max="1" width="64.19921875" customWidth="1"/>
  </cols>
  <sheetData>
    <row r="3" spans="1:10">
      <c r="A3" s="350" t="s">
        <v>431</v>
      </c>
      <c r="B3" s="350"/>
      <c r="C3" s="350"/>
      <c r="D3" s="350"/>
      <c r="E3" s="350"/>
      <c r="F3" s="350"/>
      <c r="G3" s="350"/>
      <c r="H3" s="347"/>
      <c r="I3" s="347"/>
      <c r="J3" s="347"/>
    </row>
    <row r="5" spans="1:10">
      <c r="A5" s="349" t="s">
        <v>432</v>
      </c>
    </row>
    <row r="6" spans="1:10">
      <c r="A6" t="str">
        <f>CONCATENATE(inputPrYr!D5-2," expenditures show that you finished the year with a ")</f>
        <v xml:space="preserve">2011 expenditures show that you finished the year with a </v>
      </c>
    </row>
    <row r="7" spans="1:10">
      <c r="A7" t="s">
        <v>433</v>
      </c>
    </row>
    <row r="9" spans="1:10">
      <c r="A9" t="s">
        <v>434</v>
      </c>
    </row>
    <row r="10" spans="1:10">
      <c r="A10" t="s">
        <v>435</v>
      </c>
    </row>
    <row r="11" spans="1:10">
      <c r="A11" t="s">
        <v>436</v>
      </c>
    </row>
    <row r="13" spans="1:10">
      <c r="A13" s="348" t="s">
        <v>437</v>
      </c>
    </row>
    <row r="14" spans="1:10">
      <c r="A14" s="348"/>
    </row>
    <row r="15" spans="1:10">
      <c r="A15" s="349" t="s">
        <v>438</v>
      </c>
    </row>
    <row r="16" spans="1:10">
      <c r="A16" s="349" t="s">
        <v>439</v>
      </c>
    </row>
    <row r="17" spans="1:1">
      <c r="A17" s="349" t="s">
        <v>440</v>
      </c>
    </row>
    <row r="18" spans="1:1">
      <c r="A18" s="349"/>
    </row>
    <row r="19" spans="1:1">
      <c r="A19" s="348" t="s">
        <v>441</v>
      </c>
    </row>
    <row r="20" spans="1:1">
      <c r="A20" s="348"/>
    </row>
    <row r="21" spans="1:1">
      <c r="A21" s="349" t="s">
        <v>442</v>
      </c>
    </row>
    <row r="22" spans="1:1">
      <c r="A22" s="349" t="s">
        <v>443</v>
      </c>
    </row>
    <row r="23" spans="1:1">
      <c r="A23" s="349" t="s">
        <v>444</v>
      </c>
    </row>
    <row r="24" spans="1:1">
      <c r="A24" s="349"/>
    </row>
    <row r="25" spans="1:1">
      <c r="A25" s="348" t="s">
        <v>445</v>
      </c>
    </row>
    <row r="26" spans="1:1">
      <c r="A26" s="348"/>
    </row>
    <row r="27" spans="1:1">
      <c r="A27" s="349" t="s">
        <v>446</v>
      </c>
    </row>
    <row r="28" spans="1:1">
      <c r="A28" s="349" t="s">
        <v>447</v>
      </c>
    </row>
    <row r="29" spans="1:1">
      <c r="A29" s="349" t="s">
        <v>448</v>
      </c>
    </row>
    <row r="30" spans="1:1">
      <c r="A30" s="349"/>
    </row>
    <row r="31" spans="1:1">
      <c r="A31" s="348" t="s">
        <v>449</v>
      </c>
    </row>
    <row r="32" spans="1:1">
      <c r="A32" s="348"/>
    </row>
    <row r="33" spans="1:8">
      <c r="A33" s="349" t="str">
        <f>CONCATENATE("If your financial records for ",inputPrYr!D5-2," are not closed")</f>
        <v>If your financial records for 2011 are not closed</v>
      </c>
      <c r="B33" s="349"/>
      <c r="C33" s="349"/>
      <c r="D33" s="349"/>
      <c r="E33" s="349"/>
      <c r="F33" s="349"/>
      <c r="G33" s="349"/>
      <c r="H33" s="349"/>
    </row>
    <row r="34" spans="1:8">
      <c r="A34" s="349" t="str">
        <f>CONCATENATE("(i.e. an audit has not been completed, or the ",inputPrYr!D5," adopted ")</f>
        <v xml:space="preserve">(i.e. an audit has not been completed, or the 2013 adopted </v>
      </c>
      <c r="B34" s="349"/>
      <c r="C34" s="349"/>
      <c r="D34" s="349"/>
      <c r="E34" s="349"/>
      <c r="F34" s="349"/>
      <c r="G34" s="349"/>
      <c r="H34" s="349"/>
    </row>
    <row r="35" spans="1:8">
      <c r="A35" s="349" t="s">
        <v>450</v>
      </c>
      <c r="B35" s="349"/>
      <c r="C35" s="349"/>
      <c r="D35" s="349"/>
      <c r="E35" s="349"/>
      <c r="F35" s="349"/>
      <c r="G35" s="349"/>
      <c r="H35" s="349"/>
    </row>
    <row r="36" spans="1:8">
      <c r="A36" s="349" t="s">
        <v>451</v>
      </c>
      <c r="B36" s="349"/>
      <c r="C36" s="349"/>
      <c r="D36" s="349"/>
      <c r="E36" s="349"/>
      <c r="F36" s="349"/>
      <c r="G36" s="349"/>
      <c r="H36" s="349"/>
    </row>
    <row r="37" spans="1:8">
      <c r="A37" s="349" t="s">
        <v>452</v>
      </c>
      <c r="B37" s="349"/>
      <c r="C37" s="349"/>
      <c r="D37" s="349"/>
      <c r="E37" s="349"/>
      <c r="F37" s="349"/>
      <c r="G37" s="349"/>
      <c r="H37" s="349"/>
    </row>
    <row r="38" spans="1:8">
      <c r="A38" s="349" t="s">
        <v>453</v>
      </c>
      <c r="B38" s="349"/>
      <c r="C38" s="349"/>
      <c r="D38" s="349"/>
      <c r="E38" s="349"/>
      <c r="F38" s="349"/>
      <c r="G38" s="349"/>
      <c r="H38" s="349"/>
    </row>
    <row r="39" spans="1:8">
      <c r="A39" s="349" t="s">
        <v>454</v>
      </c>
      <c r="B39" s="349"/>
      <c r="C39" s="349"/>
      <c r="D39" s="349"/>
      <c r="E39" s="349"/>
      <c r="F39" s="349"/>
      <c r="G39" s="349"/>
      <c r="H39" s="349"/>
    </row>
    <row r="40" spans="1:8">
      <c r="A40" s="349"/>
      <c r="B40" s="349"/>
      <c r="C40" s="349"/>
      <c r="D40" s="349"/>
      <c r="E40" s="349"/>
      <c r="F40" s="349"/>
      <c r="G40" s="349"/>
      <c r="H40" s="349"/>
    </row>
    <row r="41" spans="1:8">
      <c r="A41" s="349" t="s">
        <v>455</v>
      </c>
      <c r="B41" s="349"/>
      <c r="C41" s="349"/>
      <c r="D41" s="349"/>
      <c r="E41" s="349"/>
      <c r="F41" s="349"/>
      <c r="G41" s="349"/>
      <c r="H41" s="349"/>
    </row>
    <row r="42" spans="1:8">
      <c r="A42" s="349" t="s">
        <v>456</v>
      </c>
      <c r="B42" s="349"/>
      <c r="C42" s="349"/>
      <c r="D42" s="349"/>
      <c r="E42" s="349"/>
      <c r="F42" s="349"/>
      <c r="G42" s="349"/>
      <c r="H42" s="349"/>
    </row>
    <row r="43" spans="1:8">
      <c r="A43" s="349" t="s">
        <v>457</v>
      </c>
      <c r="B43" s="349"/>
      <c r="C43" s="349"/>
      <c r="D43" s="349"/>
      <c r="E43" s="349"/>
      <c r="F43" s="349"/>
      <c r="G43" s="349"/>
      <c r="H43" s="349"/>
    </row>
    <row r="44" spans="1:8">
      <c r="A44" s="349" t="s">
        <v>458</v>
      </c>
      <c r="B44" s="349"/>
      <c r="C44" s="349"/>
      <c r="D44" s="349"/>
      <c r="E44" s="349"/>
      <c r="F44" s="349"/>
      <c r="G44" s="349"/>
      <c r="H44" s="349"/>
    </row>
    <row r="45" spans="1:8">
      <c r="A45" s="349"/>
      <c r="B45" s="349"/>
      <c r="C45" s="349"/>
      <c r="D45" s="349"/>
      <c r="E45" s="349"/>
      <c r="F45" s="349"/>
      <c r="G45" s="349"/>
      <c r="H45" s="349"/>
    </row>
    <row r="46" spans="1:8">
      <c r="A46" s="349" t="s">
        <v>459</v>
      </c>
      <c r="B46" s="349"/>
      <c r="C46" s="349"/>
      <c r="D46" s="349"/>
      <c r="E46" s="349"/>
      <c r="F46" s="349"/>
      <c r="G46" s="349"/>
      <c r="H46" s="349"/>
    </row>
    <row r="47" spans="1:8">
      <c r="A47" s="349" t="s">
        <v>460</v>
      </c>
      <c r="B47" s="349"/>
      <c r="C47" s="349"/>
      <c r="D47" s="349"/>
      <c r="E47" s="349"/>
      <c r="F47" s="349"/>
      <c r="G47" s="349"/>
      <c r="H47" s="349"/>
    </row>
    <row r="48" spans="1:8">
      <c r="A48" s="349" t="s">
        <v>461</v>
      </c>
      <c r="B48" s="349"/>
      <c r="C48" s="349"/>
      <c r="D48" s="349"/>
      <c r="E48" s="349"/>
      <c r="F48" s="349"/>
      <c r="G48" s="349"/>
      <c r="H48" s="349"/>
    </row>
    <row r="49" spans="1:8">
      <c r="A49" s="349" t="s">
        <v>462</v>
      </c>
      <c r="B49" s="349"/>
      <c r="C49" s="349"/>
      <c r="D49" s="349"/>
      <c r="E49" s="349"/>
      <c r="F49" s="349"/>
      <c r="G49" s="349"/>
      <c r="H49" s="349"/>
    </row>
    <row r="50" spans="1:8">
      <c r="A50" s="349" t="s">
        <v>463</v>
      </c>
      <c r="B50" s="349"/>
      <c r="C50" s="349"/>
      <c r="D50" s="349"/>
      <c r="E50" s="349"/>
      <c r="F50" s="349"/>
      <c r="G50" s="349"/>
      <c r="H50" s="349"/>
    </row>
    <row r="51" spans="1:8">
      <c r="A51" s="349"/>
      <c r="B51" s="349"/>
      <c r="C51" s="349"/>
      <c r="D51" s="349"/>
      <c r="E51" s="349"/>
      <c r="F51" s="349"/>
      <c r="G51" s="349"/>
      <c r="H51" s="349"/>
    </row>
    <row r="52" spans="1:8">
      <c r="A52" s="348" t="s">
        <v>464</v>
      </c>
      <c r="B52" s="348"/>
      <c r="C52" s="348"/>
      <c r="D52" s="348"/>
      <c r="E52" s="348"/>
      <c r="F52" s="348"/>
      <c r="G52" s="348"/>
      <c r="H52" s="349"/>
    </row>
    <row r="53" spans="1:8">
      <c r="A53" s="348" t="s">
        <v>465</v>
      </c>
      <c r="B53" s="348"/>
      <c r="C53" s="348"/>
      <c r="D53" s="348"/>
      <c r="E53" s="348"/>
      <c r="F53" s="348"/>
      <c r="G53" s="348"/>
      <c r="H53" s="349"/>
    </row>
    <row r="54" spans="1:8">
      <c r="A54" s="349"/>
      <c r="B54" s="349"/>
      <c r="C54" s="349"/>
      <c r="D54" s="349"/>
      <c r="E54" s="349"/>
      <c r="F54" s="349"/>
      <c r="G54" s="349"/>
      <c r="H54" s="349"/>
    </row>
    <row r="55" spans="1:8">
      <c r="A55" s="349" t="s">
        <v>466</v>
      </c>
      <c r="B55" s="349"/>
      <c r="C55" s="349"/>
      <c r="D55" s="349"/>
      <c r="E55" s="349"/>
      <c r="F55" s="349"/>
      <c r="G55" s="349"/>
      <c r="H55" s="349"/>
    </row>
    <row r="56" spans="1:8">
      <c r="A56" s="349" t="s">
        <v>467</v>
      </c>
      <c r="B56" s="349"/>
      <c r="C56" s="349"/>
      <c r="D56" s="349"/>
      <c r="E56" s="349"/>
      <c r="F56" s="349"/>
      <c r="G56" s="349"/>
      <c r="H56" s="349"/>
    </row>
    <row r="57" spans="1:8">
      <c r="A57" s="349" t="s">
        <v>468</v>
      </c>
      <c r="B57" s="349"/>
      <c r="C57" s="349"/>
      <c r="D57" s="349"/>
      <c r="E57" s="349"/>
      <c r="F57" s="349"/>
      <c r="G57" s="349"/>
      <c r="H57" s="349"/>
    </row>
    <row r="58" spans="1:8">
      <c r="A58" s="349" t="s">
        <v>469</v>
      </c>
      <c r="B58" s="349"/>
      <c r="C58" s="349"/>
      <c r="D58" s="349"/>
      <c r="E58" s="349"/>
      <c r="F58" s="349"/>
      <c r="G58" s="349"/>
      <c r="H58" s="349"/>
    </row>
    <row r="59" spans="1:8">
      <c r="A59" s="349"/>
      <c r="B59" s="349"/>
      <c r="C59" s="349"/>
      <c r="D59" s="349"/>
      <c r="E59" s="349"/>
      <c r="F59" s="349"/>
      <c r="G59" s="349"/>
      <c r="H59" s="349"/>
    </row>
    <row r="60" spans="1:8">
      <c r="A60" s="349" t="s">
        <v>470</v>
      </c>
      <c r="B60" s="349"/>
      <c r="C60" s="349"/>
      <c r="D60" s="349"/>
      <c r="E60" s="349"/>
      <c r="F60" s="349"/>
      <c r="G60" s="349"/>
      <c r="H60" s="349"/>
    </row>
    <row r="61" spans="1:8">
      <c r="A61" s="349" t="s">
        <v>471</v>
      </c>
      <c r="B61" s="349"/>
      <c r="C61" s="349"/>
      <c r="D61" s="349"/>
      <c r="E61" s="349"/>
      <c r="F61" s="349"/>
      <c r="G61" s="349"/>
      <c r="H61" s="349"/>
    </row>
    <row r="62" spans="1:8">
      <c r="A62" s="349" t="s">
        <v>472</v>
      </c>
      <c r="B62" s="349"/>
      <c r="C62" s="349"/>
      <c r="D62" s="349"/>
      <c r="E62" s="349"/>
      <c r="F62" s="349"/>
      <c r="G62" s="349"/>
      <c r="H62" s="349"/>
    </row>
    <row r="63" spans="1:8">
      <c r="A63" s="349" t="s">
        <v>473</v>
      </c>
      <c r="B63" s="349"/>
      <c r="C63" s="349"/>
      <c r="D63" s="349"/>
      <c r="E63" s="349"/>
      <c r="F63" s="349"/>
      <c r="G63" s="349"/>
      <c r="H63" s="349"/>
    </row>
    <row r="64" spans="1:8">
      <c r="A64" s="349" t="s">
        <v>474</v>
      </c>
      <c r="B64" s="349"/>
      <c r="C64" s="349"/>
      <c r="D64" s="349"/>
      <c r="E64" s="349"/>
      <c r="F64" s="349"/>
      <c r="G64" s="349"/>
      <c r="H64" s="349"/>
    </row>
    <row r="65" spans="1:8">
      <c r="A65" s="349" t="s">
        <v>475</v>
      </c>
      <c r="B65" s="349"/>
      <c r="C65" s="349"/>
      <c r="D65" s="349"/>
      <c r="E65" s="349"/>
      <c r="F65" s="349"/>
      <c r="G65" s="349"/>
      <c r="H65" s="349"/>
    </row>
    <row r="66" spans="1:8">
      <c r="A66" s="349"/>
      <c r="B66" s="349"/>
      <c r="C66" s="349"/>
      <c r="D66" s="349"/>
      <c r="E66" s="349"/>
      <c r="F66" s="349"/>
      <c r="G66" s="349"/>
      <c r="H66" s="349"/>
    </row>
    <row r="67" spans="1:8">
      <c r="A67" s="349" t="s">
        <v>476</v>
      </c>
      <c r="B67" s="349"/>
      <c r="C67" s="349"/>
      <c r="D67" s="349"/>
      <c r="E67" s="349"/>
      <c r="F67" s="349"/>
      <c r="G67" s="349"/>
      <c r="H67" s="349"/>
    </row>
    <row r="68" spans="1:8">
      <c r="A68" s="349" t="s">
        <v>477</v>
      </c>
      <c r="B68" s="349"/>
      <c r="C68" s="349"/>
      <c r="D68" s="349"/>
      <c r="E68" s="349"/>
      <c r="F68" s="349"/>
      <c r="G68" s="349"/>
      <c r="H68" s="349"/>
    </row>
    <row r="69" spans="1:8">
      <c r="A69" s="349" t="s">
        <v>478</v>
      </c>
      <c r="B69" s="349"/>
      <c r="C69" s="349"/>
      <c r="D69" s="349"/>
      <c r="E69" s="349"/>
      <c r="F69" s="349"/>
      <c r="G69" s="349"/>
      <c r="H69" s="349"/>
    </row>
    <row r="70" spans="1:8">
      <c r="A70" s="349" t="s">
        <v>479</v>
      </c>
      <c r="B70" s="349"/>
      <c r="C70" s="349"/>
      <c r="D70" s="349"/>
      <c r="E70" s="349"/>
      <c r="F70" s="349"/>
      <c r="G70" s="349"/>
      <c r="H70" s="349"/>
    </row>
    <row r="71" spans="1:8">
      <c r="A71" s="349" t="s">
        <v>480</v>
      </c>
      <c r="B71" s="349"/>
      <c r="C71" s="349"/>
      <c r="D71" s="349"/>
      <c r="E71" s="349"/>
      <c r="F71" s="349"/>
      <c r="G71" s="349"/>
      <c r="H71" s="349"/>
    </row>
    <row r="72" spans="1:8">
      <c r="A72" s="349" t="s">
        <v>481</v>
      </c>
      <c r="B72" s="349"/>
      <c r="C72" s="349"/>
      <c r="D72" s="349"/>
      <c r="E72" s="349"/>
      <c r="F72" s="349"/>
      <c r="G72" s="349"/>
      <c r="H72" s="349"/>
    </row>
    <row r="73" spans="1:8">
      <c r="A73" s="349" t="s">
        <v>482</v>
      </c>
      <c r="B73" s="349"/>
      <c r="C73" s="349"/>
      <c r="D73" s="349"/>
      <c r="E73" s="349"/>
      <c r="F73" s="349"/>
      <c r="G73" s="349"/>
      <c r="H73" s="349"/>
    </row>
    <row r="74" spans="1:8">
      <c r="A74" s="349"/>
      <c r="B74" s="349"/>
      <c r="C74" s="349"/>
      <c r="D74" s="349"/>
      <c r="E74" s="349"/>
      <c r="F74" s="349"/>
      <c r="G74" s="349"/>
      <c r="H74" s="349"/>
    </row>
    <row r="75" spans="1:8">
      <c r="A75" s="349" t="s">
        <v>483</v>
      </c>
      <c r="B75" s="349"/>
      <c r="C75" s="349"/>
      <c r="D75" s="349"/>
      <c r="E75" s="349"/>
      <c r="F75" s="349"/>
      <c r="G75" s="349"/>
      <c r="H75" s="349"/>
    </row>
    <row r="76" spans="1:8">
      <c r="A76" s="349" t="s">
        <v>484</v>
      </c>
      <c r="B76" s="349"/>
      <c r="C76" s="349"/>
      <c r="D76" s="349"/>
      <c r="E76" s="349"/>
      <c r="F76" s="349"/>
      <c r="G76" s="349"/>
      <c r="H76" s="349"/>
    </row>
    <row r="77" spans="1:8">
      <c r="A77" s="349" t="s">
        <v>485</v>
      </c>
      <c r="B77" s="349"/>
      <c r="C77" s="349"/>
      <c r="D77" s="349"/>
      <c r="E77" s="349"/>
      <c r="F77" s="349"/>
      <c r="G77" s="349"/>
      <c r="H77" s="349"/>
    </row>
    <row r="78" spans="1:8">
      <c r="A78" s="349"/>
      <c r="B78" s="349"/>
      <c r="C78" s="349"/>
      <c r="D78" s="349"/>
      <c r="E78" s="349"/>
      <c r="F78" s="349"/>
      <c r="G78" s="349"/>
      <c r="H78" s="349"/>
    </row>
    <row r="79" spans="1:8">
      <c r="A79" s="349" t="s">
        <v>430</v>
      </c>
    </row>
    <row r="80" spans="1:8">
      <c r="A80" s="348"/>
    </row>
    <row r="81" spans="1:1">
      <c r="A81" s="349"/>
    </row>
    <row r="82" spans="1:1">
      <c r="A82" s="349"/>
    </row>
    <row r="83" spans="1:1">
      <c r="A83" s="349"/>
    </row>
    <row r="84" spans="1:1">
      <c r="A84" s="349"/>
    </row>
    <row r="85" spans="1:1">
      <c r="A85" s="349"/>
    </row>
    <row r="86" spans="1:1">
      <c r="A86" s="349"/>
    </row>
    <row r="87" spans="1:1">
      <c r="A87" s="349"/>
    </row>
    <row r="88" spans="1:1">
      <c r="A88" s="349"/>
    </row>
    <row r="89" spans="1:1">
      <c r="A89" s="349"/>
    </row>
    <row r="90" spans="1:1">
      <c r="A90" s="349"/>
    </row>
    <row r="91" spans="1:1">
      <c r="A91" s="349"/>
    </row>
    <row r="92" spans="1:1">
      <c r="A92" s="349"/>
    </row>
    <row r="93" spans="1:1">
      <c r="A93" s="349"/>
    </row>
    <row r="94" spans="1:1">
      <c r="A94" s="349"/>
    </row>
    <row r="95" spans="1:1">
      <c r="A95" s="349"/>
    </row>
    <row r="96" spans="1:1">
      <c r="A96" s="349"/>
    </row>
    <row r="97" spans="1:1">
      <c r="A97" s="349"/>
    </row>
    <row r="98" spans="1:1">
      <c r="A98" s="349"/>
    </row>
    <row r="99" spans="1:1">
      <c r="A99" s="349"/>
    </row>
    <row r="100" spans="1:1">
      <c r="A100" s="349"/>
    </row>
    <row r="101" spans="1:1">
      <c r="A101" s="349"/>
    </row>
    <row r="103" spans="1:1">
      <c r="A103" s="349"/>
    </row>
    <row r="104" spans="1:1">
      <c r="A104" s="349"/>
    </row>
    <row r="105" spans="1:1">
      <c r="A105" s="349"/>
    </row>
    <row r="107" spans="1:1">
      <c r="A107" s="348"/>
    </row>
    <row r="108" spans="1:1">
      <c r="A108" s="348"/>
    </row>
    <row r="109" spans="1:1">
      <c r="A109" s="348"/>
    </row>
  </sheetData>
  <sheetProtection sheet="1"/>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sheetPr>
    <tabColor rgb="FFFF0000"/>
  </sheetPr>
  <dimension ref="A3:L75"/>
  <sheetViews>
    <sheetView workbookViewId="0">
      <selection activeCell="B2" sqref="B2"/>
    </sheetView>
  </sheetViews>
  <sheetFormatPr defaultRowHeight="15.75"/>
  <cols>
    <col min="1" max="1" width="64.19921875" customWidth="1"/>
  </cols>
  <sheetData>
    <row r="3" spans="1:12">
      <c r="A3" s="350" t="s">
        <v>486</v>
      </c>
      <c r="B3" s="350"/>
      <c r="C3" s="350"/>
      <c r="D3" s="350"/>
      <c r="E3" s="350"/>
      <c r="F3" s="350"/>
      <c r="G3" s="350"/>
      <c r="H3" s="350"/>
      <c r="I3" s="350"/>
      <c r="J3" s="350"/>
      <c r="K3" s="350"/>
      <c r="L3" s="350"/>
    </row>
    <row r="4" spans="1:12">
      <c r="A4" s="350"/>
      <c r="B4" s="350"/>
      <c r="C4" s="350"/>
      <c r="D4" s="350"/>
      <c r="E4" s="350"/>
      <c r="F4" s="350"/>
      <c r="G4" s="350"/>
      <c r="H4" s="350"/>
      <c r="I4" s="350"/>
      <c r="J4" s="350"/>
      <c r="K4" s="350"/>
      <c r="L4" s="350"/>
    </row>
    <row r="5" spans="1:12">
      <c r="A5" s="349" t="s">
        <v>377</v>
      </c>
      <c r="I5" s="350"/>
      <c r="J5" s="350"/>
      <c r="K5" s="350"/>
      <c r="L5" s="350"/>
    </row>
    <row r="6" spans="1:12">
      <c r="A6" s="349" t="str">
        <f>CONCATENATE("estimated ",inputPrYr!D5-1," 'total expenditures' exceed your ",inputPrYr!D5-1,"")</f>
        <v>estimated 2012 'total expenditures' exceed your 2012</v>
      </c>
      <c r="I6" s="350"/>
      <c r="J6" s="350"/>
      <c r="K6" s="350"/>
      <c r="L6" s="350"/>
    </row>
    <row r="7" spans="1:12">
      <c r="A7" s="366" t="s">
        <v>487</v>
      </c>
      <c r="I7" s="350"/>
      <c r="J7" s="350"/>
      <c r="K7" s="350"/>
      <c r="L7" s="350"/>
    </row>
    <row r="8" spans="1:12">
      <c r="A8" s="349"/>
      <c r="I8" s="350"/>
      <c r="J8" s="350"/>
      <c r="K8" s="350"/>
      <c r="L8" s="350"/>
    </row>
    <row r="9" spans="1:12">
      <c r="A9" s="349" t="s">
        <v>488</v>
      </c>
      <c r="I9" s="350"/>
      <c r="J9" s="350"/>
      <c r="K9" s="350"/>
      <c r="L9" s="350"/>
    </row>
    <row r="10" spans="1:12">
      <c r="A10" s="349" t="s">
        <v>489</v>
      </c>
      <c r="I10" s="350"/>
      <c r="J10" s="350"/>
      <c r="K10" s="350"/>
      <c r="L10" s="350"/>
    </row>
    <row r="11" spans="1:12">
      <c r="A11" s="349" t="s">
        <v>490</v>
      </c>
      <c r="I11" s="350"/>
      <c r="J11" s="350"/>
      <c r="K11" s="350"/>
      <c r="L11" s="350"/>
    </row>
    <row r="12" spans="1:12">
      <c r="A12" s="349" t="s">
        <v>491</v>
      </c>
      <c r="I12" s="350"/>
      <c r="J12" s="350"/>
      <c r="K12" s="350"/>
      <c r="L12" s="350"/>
    </row>
    <row r="13" spans="1:12">
      <c r="A13" s="349" t="s">
        <v>492</v>
      </c>
      <c r="I13" s="350"/>
      <c r="J13" s="350"/>
      <c r="K13" s="350"/>
      <c r="L13" s="350"/>
    </row>
    <row r="14" spans="1:12">
      <c r="A14" s="350"/>
      <c r="B14" s="350"/>
      <c r="C14" s="350"/>
      <c r="D14" s="350"/>
      <c r="E14" s="350"/>
      <c r="F14" s="350"/>
      <c r="G14" s="350"/>
      <c r="H14" s="350"/>
      <c r="I14" s="350"/>
      <c r="J14" s="350"/>
      <c r="K14" s="350"/>
      <c r="L14" s="350"/>
    </row>
    <row r="15" spans="1:12">
      <c r="A15" s="348" t="s">
        <v>493</v>
      </c>
    </row>
    <row r="16" spans="1:12">
      <c r="A16" s="348" t="s">
        <v>494</v>
      </c>
    </row>
    <row r="17" spans="1:7">
      <c r="A17" s="348"/>
    </row>
    <row r="18" spans="1:7">
      <c r="A18" s="349" t="s">
        <v>495</v>
      </c>
      <c r="B18" s="349"/>
      <c r="C18" s="349"/>
      <c r="D18" s="349"/>
      <c r="E18" s="349"/>
      <c r="F18" s="349"/>
      <c r="G18" s="349"/>
    </row>
    <row r="19" spans="1:7">
      <c r="A19" s="349" t="str">
        <f>CONCATENATE("your ",inputPrYr!D5-1," numbers to see what steps might be necessary to")</f>
        <v>your 2012 numbers to see what steps might be necessary to</v>
      </c>
      <c r="B19" s="349"/>
      <c r="C19" s="349"/>
      <c r="D19" s="349"/>
      <c r="E19" s="349"/>
      <c r="F19" s="349"/>
      <c r="G19" s="349"/>
    </row>
    <row r="20" spans="1:7">
      <c r="A20" s="349" t="s">
        <v>496</v>
      </c>
      <c r="B20" s="349"/>
      <c r="C20" s="349"/>
      <c r="D20" s="349"/>
      <c r="E20" s="349"/>
      <c r="F20" s="349"/>
      <c r="G20" s="349"/>
    </row>
    <row r="21" spans="1:7">
      <c r="A21" s="349" t="s">
        <v>497</v>
      </c>
      <c r="B21" s="349"/>
      <c r="C21" s="349"/>
      <c r="D21" s="349"/>
      <c r="E21" s="349"/>
      <c r="F21" s="349"/>
      <c r="G21" s="349"/>
    </row>
    <row r="22" spans="1:7">
      <c r="A22" s="349"/>
    </row>
    <row r="23" spans="1:7">
      <c r="A23" s="348" t="s">
        <v>498</v>
      </c>
    </row>
    <row r="24" spans="1:7">
      <c r="A24" s="348"/>
    </row>
    <row r="25" spans="1:7">
      <c r="A25" s="349" t="s">
        <v>499</v>
      </c>
    </row>
    <row r="26" spans="1:7">
      <c r="A26" s="349" t="s">
        <v>500</v>
      </c>
      <c r="B26" s="349"/>
      <c r="C26" s="349"/>
      <c r="D26" s="349"/>
      <c r="E26" s="349"/>
      <c r="F26" s="349"/>
    </row>
    <row r="27" spans="1:7">
      <c r="A27" s="349" t="s">
        <v>501</v>
      </c>
      <c r="B27" s="349"/>
      <c r="C27" s="349"/>
      <c r="D27" s="349"/>
      <c r="E27" s="349"/>
      <c r="F27" s="349"/>
    </row>
    <row r="28" spans="1:7">
      <c r="A28" s="349" t="s">
        <v>502</v>
      </c>
      <c r="B28" s="349"/>
      <c r="C28" s="349"/>
      <c r="D28" s="349"/>
      <c r="E28" s="349"/>
      <c r="F28" s="349"/>
    </row>
    <row r="29" spans="1:7">
      <c r="A29" s="349"/>
      <c r="B29" s="349"/>
      <c r="C29" s="349"/>
      <c r="D29" s="349"/>
      <c r="E29" s="349"/>
      <c r="F29" s="349"/>
    </row>
    <row r="30" spans="1:7">
      <c r="A30" s="348" t="s">
        <v>503</v>
      </c>
      <c r="B30" s="348"/>
      <c r="C30" s="348"/>
      <c r="D30" s="348"/>
      <c r="E30" s="348"/>
      <c r="F30" s="348"/>
      <c r="G30" s="348"/>
    </row>
    <row r="31" spans="1:7">
      <c r="A31" s="348" t="s">
        <v>504</v>
      </c>
      <c r="B31" s="348"/>
      <c r="C31" s="348"/>
      <c r="D31" s="348"/>
      <c r="E31" s="348"/>
      <c r="F31" s="348"/>
      <c r="G31" s="348"/>
    </row>
    <row r="32" spans="1:7">
      <c r="A32" s="349"/>
      <c r="B32" s="349"/>
      <c r="C32" s="349"/>
      <c r="D32" s="349"/>
      <c r="E32" s="349"/>
      <c r="F32" s="349"/>
    </row>
    <row r="33" spans="1:6">
      <c r="A33" s="363" t="str">
        <f>CONCATENATE("Well, let's look to see if any of your ",inputPrYr!D5-1," expenditures can")</f>
        <v>Well, let's look to see if any of your 2012 expenditures can</v>
      </c>
      <c r="B33" s="349"/>
      <c r="C33" s="349"/>
      <c r="D33" s="349"/>
      <c r="E33" s="349"/>
      <c r="F33" s="349"/>
    </row>
    <row r="34" spans="1:6">
      <c r="A34" s="363" t="s">
        <v>505</v>
      </c>
      <c r="B34" s="349"/>
      <c r="C34" s="349"/>
      <c r="D34" s="349"/>
      <c r="E34" s="349"/>
      <c r="F34" s="349"/>
    </row>
    <row r="35" spans="1:6">
      <c r="A35" s="363" t="s">
        <v>391</v>
      </c>
      <c r="B35" s="349"/>
      <c r="C35" s="349"/>
      <c r="D35" s="349"/>
      <c r="E35" s="349"/>
      <c r="F35" s="349"/>
    </row>
    <row r="36" spans="1:6">
      <c r="A36" s="363" t="s">
        <v>392</v>
      </c>
      <c r="B36" s="349"/>
      <c r="C36" s="349"/>
      <c r="D36" s="349"/>
      <c r="E36" s="349"/>
      <c r="F36" s="349"/>
    </row>
    <row r="37" spans="1:6">
      <c r="A37" s="363"/>
      <c r="B37" s="349"/>
      <c r="C37" s="349"/>
      <c r="D37" s="349"/>
      <c r="E37" s="349"/>
      <c r="F37" s="349"/>
    </row>
    <row r="38" spans="1:6">
      <c r="A38" s="363" t="str">
        <f>CONCATENATE("Additionally, do your ",inputPrYr!D5-1," receipts contain a reimbursement")</f>
        <v>Additionally, do your 2012 receipts contain a reimbursement</v>
      </c>
      <c r="B38" s="349"/>
      <c r="C38" s="349"/>
      <c r="D38" s="349"/>
      <c r="E38" s="349"/>
      <c r="F38" s="349"/>
    </row>
    <row r="39" spans="1:6">
      <c r="A39" s="363" t="s">
        <v>393</v>
      </c>
      <c r="B39" s="349"/>
      <c r="C39" s="349"/>
      <c r="D39" s="349"/>
      <c r="E39" s="349"/>
      <c r="F39" s="349"/>
    </row>
    <row r="40" spans="1:6">
      <c r="A40" s="363" t="s">
        <v>394</v>
      </c>
      <c r="B40" s="349"/>
      <c r="C40" s="349"/>
      <c r="D40" s="349"/>
      <c r="E40" s="349"/>
      <c r="F40" s="349"/>
    </row>
    <row r="41" spans="1:6">
      <c r="A41" s="363"/>
      <c r="B41" s="349"/>
      <c r="C41" s="349"/>
      <c r="D41" s="349"/>
      <c r="E41" s="349"/>
      <c r="F41" s="349"/>
    </row>
    <row r="42" spans="1:6">
      <c r="A42" s="363" t="s">
        <v>395</v>
      </c>
      <c r="B42" s="349"/>
      <c r="C42" s="349"/>
      <c r="D42" s="349"/>
      <c r="E42" s="349"/>
      <c r="F42" s="349"/>
    </row>
    <row r="43" spans="1:6">
      <c r="A43" s="363" t="s">
        <v>581</v>
      </c>
      <c r="B43" s="349"/>
      <c r="C43" s="349"/>
      <c r="D43" s="349"/>
      <c r="E43" s="349"/>
      <c r="F43" s="349"/>
    </row>
    <row r="44" spans="1:6">
      <c r="A44" s="363" t="s">
        <v>582</v>
      </c>
      <c r="B44" s="349"/>
      <c r="C44" s="349"/>
      <c r="D44" s="349"/>
      <c r="E44" s="349"/>
      <c r="F44" s="349"/>
    </row>
    <row r="45" spans="1:6">
      <c r="A45" s="363" t="s">
        <v>506</v>
      </c>
      <c r="B45" s="349"/>
      <c r="C45" s="349"/>
      <c r="D45" s="349"/>
      <c r="E45" s="349"/>
      <c r="F45" s="349"/>
    </row>
    <row r="46" spans="1:6">
      <c r="A46" s="363" t="s">
        <v>397</v>
      </c>
      <c r="B46" s="349"/>
      <c r="C46" s="349"/>
      <c r="D46" s="349"/>
      <c r="E46" s="349"/>
      <c r="F46" s="349"/>
    </row>
    <row r="47" spans="1:6">
      <c r="A47" s="363" t="s">
        <v>507</v>
      </c>
      <c r="B47" s="349"/>
      <c r="C47" s="349"/>
      <c r="D47" s="349"/>
      <c r="E47" s="349"/>
      <c r="F47" s="349"/>
    </row>
    <row r="48" spans="1:6">
      <c r="A48" s="363" t="s">
        <v>508</v>
      </c>
      <c r="B48" s="349"/>
      <c r="C48" s="349"/>
      <c r="D48" s="349"/>
      <c r="E48" s="349"/>
      <c r="F48" s="349"/>
    </row>
    <row r="49" spans="1:6">
      <c r="A49" s="363" t="s">
        <v>400</v>
      </c>
      <c r="B49" s="349"/>
      <c r="C49" s="349"/>
      <c r="D49" s="349"/>
      <c r="E49" s="349"/>
      <c r="F49" s="349"/>
    </row>
    <row r="50" spans="1:6">
      <c r="A50" s="363"/>
      <c r="B50" s="349"/>
      <c r="C50" s="349"/>
      <c r="D50" s="349"/>
      <c r="E50" s="349"/>
      <c r="F50" s="349"/>
    </row>
    <row r="51" spans="1:6">
      <c r="A51" s="363" t="s">
        <v>401</v>
      </c>
      <c r="B51" s="349"/>
      <c r="C51" s="349"/>
      <c r="D51" s="349"/>
      <c r="E51" s="349"/>
      <c r="F51" s="349"/>
    </row>
    <row r="52" spans="1:6">
      <c r="A52" s="363" t="s">
        <v>402</v>
      </c>
      <c r="B52" s="349"/>
      <c r="C52" s="349"/>
      <c r="D52" s="349"/>
      <c r="E52" s="349"/>
      <c r="F52" s="349"/>
    </row>
    <row r="53" spans="1:6">
      <c r="A53" s="363" t="s">
        <v>403</v>
      </c>
      <c r="B53" s="349"/>
      <c r="C53" s="349"/>
      <c r="D53" s="349"/>
      <c r="E53" s="349"/>
      <c r="F53" s="349"/>
    </row>
    <row r="54" spans="1:6">
      <c r="A54" s="363"/>
      <c r="B54" s="349"/>
      <c r="C54" s="349"/>
      <c r="D54" s="349"/>
      <c r="E54" s="349"/>
      <c r="F54" s="349"/>
    </row>
    <row r="55" spans="1:6">
      <c r="A55" s="363" t="s">
        <v>509</v>
      </c>
      <c r="B55" s="349"/>
      <c r="C55" s="349"/>
      <c r="D55" s="349"/>
      <c r="E55" s="349"/>
      <c r="F55" s="349"/>
    </row>
    <row r="56" spans="1:6">
      <c r="A56" s="363" t="s">
        <v>510</v>
      </c>
      <c r="B56" s="349"/>
      <c r="C56" s="349"/>
      <c r="D56" s="349"/>
      <c r="E56" s="349"/>
      <c r="F56" s="349"/>
    </row>
    <row r="57" spans="1:6">
      <c r="A57" s="363" t="s">
        <v>511</v>
      </c>
      <c r="B57" s="349"/>
      <c r="C57" s="349"/>
      <c r="D57" s="349"/>
      <c r="E57" s="349"/>
      <c r="F57" s="349"/>
    </row>
    <row r="58" spans="1:6">
      <c r="A58" s="363" t="s">
        <v>512</v>
      </c>
      <c r="B58" s="349"/>
      <c r="C58" s="349"/>
      <c r="D58" s="349"/>
      <c r="E58" s="349"/>
      <c r="F58" s="349"/>
    </row>
    <row r="59" spans="1:6">
      <c r="A59" s="363" t="s">
        <v>513</v>
      </c>
      <c r="B59" s="349"/>
      <c r="C59" s="349"/>
      <c r="D59" s="349"/>
      <c r="E59" s="349"/>
      <c r="F59" s="349"/>
    </row>
    <row r="60" spans="1:6">
      <c r="A60" s="363"/>
      <c r="B60" s="349"/>
      <c r="C60" s="349"/>
      <c r="D60" s="349"/>
      <c r="E60" s="349"/>
      <c r="F60" s="349"/>
    </row>
    <row r="61" spans="1:6">
      <c r="A61" s="364" t="s">
        <v>514</v>
      </c>
      <c r="B61" s="349"/>
      <c r="C61" s="349"/>
      <c r="D61" s="349"/>
      <c r="E61" s="349"/>
      <c r="F61" s="349"/>
    </row>
    <row r="62" spans="1:6">
      <c r="A62" s="364" t="s">
        <v>515</v>
      </c>
      <c r="B62" s="349"/>
      <c r="C62" s="349"/>
      <c r="D62" s="349"/>
      <c r="E62" s="349"/>
      <c r="F62" s="349"/>
    </row>
    <row r="63" spans="1:6">
      <c r="A63" s="364" t="s">
        <v>516</v>
      </c>
      <c r="B63" s="349"/>
      <c r="C63" s="349"/>
      <c r="D63" s="349"/>
      <c r="E63" s="349"/>
      <c r="F63" s="349"/>
    </row>
    <row r="64" spans="1:6">
      <c r="A64" s="364" t="s">
        <v>517</v>
      </c>
    </row>
    <row r="65" spans="1:1">
      <c r="A65" s="364" t="s">
        <v>518</v>
      </c>
    </row>
    <row r="66" spans="1:1">
      <c r="A66" s="364" t="s">
        <v>519</v>
      </c>
    </row>
    <row r="68" spans="1:1">
      <c r="A68" s="349" t="s">
        <v>520</v>
      </c>
    </row>
    <row r="69" spans="1:1">
      <c r="A69" s="349" t="s">
        <v>521</v>
      </c>
    </row>
    <row r="70" spans="1:1">
      <c r="A70" s="349" t="s">
        <v>522</v>
      </c>
    </row>
    <row r="71" spans="1:1">
      <c r="A71" s="349" t="s">
        <v>523</v>
      </c>
    </row>
    <row r="72" spans="1:1">
      <c r="A72" s="349" t="s">
        <v>524</v>
      </c>
    </row>
    <row r="73" spans="1:1">
      <c r="A73" s="349" t="s">
        <v>525</v>
      </c>
    </row>
    <row r="75" spans="1:1">
      <c r="A75" s="349" t="s">
        <v>430</v>
      </c>
    </row>
  </sheetData>
  <sheetProtection sheet="1"/>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sheetPr>
    <tabColor rgb="FFFF0000"/>
  </sheetPr>
  <dimension ref="A3:G106"/>
  <sheetViews>
    <sheetView workbookViewId="0">
      <selection activeCell="C6" sqref="C6"/>
    </sheetView>
  </sheetViews>
  <sheetFormatPr defaultRowHeight="15.75"/>
  <cols>
    <col min="1" max="1" width="64.19921875" customWidth="1"/>
  </cols>
  <sheetData>
    <row r="3" spans="1:7">
      <c r="A3" s="350" t="s">
        <v>526</v>
      </c>
      <c r="B3" s="350"/>
      <c r="C3" s="350"/>
      <c r="D3" s="350"/>
      <c r="E3" s="350"/>
      <c r="F3" s="350"/>
      <c r="G3" s="350"/>
    </row>
    <row r="4" spans="1:7">
      <c r="A4" s="350"/>
      <c r="B4" s="350"/>
      <c r="C4" s="350"/>
      <c r="D4" s="350"/>
      <c r="E4" s="350"/>
      <c r="F4" s="350"/>
      <c r="G4" s="350"/>
    </row>
    <row r="5" spans="1:7">
      <c r="A5" s="349" t="s">
        <v>432</v>
      </c>
    </row>
    <row r="6" spans="1:7">
      <c r="A6" s="349" t="str">
        <f>CONCATENATE(inputPrYr!D5," estimated expenditures show that at the end of this year")</f>
        <v>2013 estimated expenditures show that at the end of this year</v>
      </c>
    </row>
    <row r="7" spans="1:7">
      <c r="A7" s="349" t="s">
        <v>527</v>
      </c>
    </row>
    <row r="8" spans="1:7">
      <c r="A8" s="349" t="s">
        <v>528</v>
      </c>
    </row>
    <row r="10" spans="1:7">
      <c r="A10" t="s">
        <v>434</v>
      </c>
    </row>
    <row r="11" spans="1:7">
      <c r="A11" t="s">
        <v>435</v>
      </c>
    </row>
    <row r="12" spans="1:7">
      <c r="A12" t="s">
        <v>436</v>
      </c>
    </row>
    <row r="13" spans="1:7">
      <c r="A13" s="350"/>
      <c r="B13" s="350"/>
      <c r="C13" s="350"/>
      <c r="D13" s="350"/>
      <c r="E13" s="350"/>
      <c r="F13" s="350"/>
      <c r="G13" s="350"/>
    </row>
    <row r="14" spans="1:7">
      <c r="A14" s="348" t="s">
        <v>529</v>
      </c>
    </row>
    <row r="15" spans="1:7">
      <c r="A15" s="349"/>
    </row>
    <row r="16" spans="1:7">
      <c r="A16" s="349" t="s">
        <v>530</v>
      </c>
    </row>
    <row r="17" spans="1:7">
      <c r="A17" s="349" t="s">
        <v>531</v>
      </c>
    </row>
    <row r="18" spans="1:7">
      <c r="A18" s="349" t="s">
        <v>532</v>
      </c>
    </row>
    <row r="19" spans="1:7">
      <c r="A19" s="349"/>
    </row>
    <row r="20" spans="1:7">
      <c r="A20" s="349" t="s">
        <v>533</v>
      </c>
    </row>
    <row r="21" spans="1:7">
      <c r="A21" s="349" t="s">
        <v>534</v>
      </c>
    </row>
    <row r="22" spans="1:7">
      <c r="A22" s="349" t="s">
        <v>535</v>
      </c>
    </row>
    <row r="23" spans="1:7">
      <c r="A23" s="349" t="s">
        <v>536</v>
      </c>
    </row>
    <row r="24" spans="1:7">
      <c r="A24" s="349"/>
    </row>
    <row r="25" spans="1:7">
      <c r="A25" s="348" t="s">
        <v>498</v>
      </c>
    </row>
    <row r="26" spans="1:7">
      <c r="A26" s="348"/>
    </row>
    <row r="27" spans="1:7">
      <c r="A27" s="349" t="s">
        <v>499</v>
      </c>
    </row>
    <row r="28" spans="1:7">
      <c r="A28" s="349" t="s">
        <v>500</v>
      </c>
      <c r="B28" s="349"/>
      <c r="C28" s="349"/>
      <c r="D28" s="349"/>
      <c r="E28" s="349"/>
      <c r="F28" s="349"/>
    </row>
    <row r="29" spans="1:7">
      <c r="A29" s="349" t="s">
        <v>501</v>
      </c>
      <c r="B29" s="349"/>
      <c r="C29" s="349"/>
      <c r="D29" s="349"/>
      <c r="E29" s="349"/>
      <c r="F29" s="349"/>
    </row>
    <row r="30" spans="1:7">
      <c r="A30" s="349" t="s">
        <v>502</v>
      </c>
      <c r="B30" s="349"/>
      <c r="C30" s="349"/>
      <c r="D30" s="349"/>
      <c r="E30" s="349"/>
      <c r="F30" s="349"/>
    </row>
    <row r="31" spans="1:7">
      <c r="A31" s="349"/>
    </row>
    <row r="32" spans="1:7">
      <c r="A32" s="348" t="s">
        <v>503</v>
      </c>
      <c r="B32" s="348"/>
      <c r="C32" s="348"/>
      <c r="D32" s="348"/>
      <c r="E32" s="348"/>
      <c r="F32" s="348"/>
      <c r="G32" s="348"/>
    </row>
    <row r="33" spans="1:7">
      <c r="A33" s="348" t="s">
        <v>504</v>
      </c>
      <c r="B33" s="348"/>
      <c r="C33" s="348"/>
      <c r="D33" s="348"/>
      <c r="E33" s="348"/>
      <c r="F33" s="348"/>
      <c r="G33" s="348"/>
    </row>
    <row r="34" spans="1:7">
      <c r="A34" s="348"/>
      <c r="B34" s="348"/>
      <c r="C34" s="348"/>
      <c r="D34" s="348"/>
      <c r="E34" s="348"/>
      <c r="F34" s="348"/>
      <c r="G34" s="348"/>
    </row>
    <row r="35" spans="1:7">
      <c r="A35" s="349" t="s">
        <v>537</v>
      </c>
      <c r="B35" s="349"/>
      <c r="C35" s="349"/>
      <c r="D35" s="349"/>
      <c r="E35" s="349"/>
      <c r="F35" s="349"/>
      <c r="G35" s="349"/>
    </row>
    <row r="36" spans="1:7">
      <c r="A36" s="349" t="s">
        <v>538</v>
      </c>
      <c r="B36" s="349"/>
      <c r="C36" s="349"/>
      <c r="D36" s="349"/>
      <c r="E36" s="349"/>
      <c r="F36" s="349"/>
      <c r="G36" s="349"/>
    </row>
    <row r="37" spans="1:7">
      <c r="A37" s="349" t="s">
        <v>539</v>
      </c>
      <c r="B37" s="349"/>
      <c r="C37" s="349"/>
      <c r="D37" s="349"/>
      <c r="E37" s="349"/>
      <c r="F37" s="349"/>
      <c r="G37" s="349"/>
    </row>
    <row r="38" spans="1:7">
      <c r="A38" s="349" t="s">
        <v>540</v>
      </c>
      <c r="B38" s="349"/>
      <c r="C38" s="349"/>
      <c r="D38" s="349"/>
      <c r="E38" s="349"/>
      <c r="F38" s="349"/>
      <c r="G38" s="349"/>
    </row>
    <row r="39" spans="1:7">
      <c r="A39" s="349" t="s">
        <v>541</v>
      </c>
      <c r="B39" s="349"/>
      <c r="C39" s="349"/>
      <c r="D39" s="349"/>
      <c r="E39" s="349"/>
      <c r="F39" s="349"/>
      <c r="G39" s="349"/>
    </row>
    <row r="40" spans="1:7">
      <c r="A40" s="348"/>
      <c r="B40" s="348"/>
      <c r="C40" s="348"/>
      <c r="D40" s="348"/>
      <c r="E40" s="348"/>
      <c r="F40" s="348"/>
      <c r="G40" s="348"/>
    </row>
    <row r="41" spans="1:7">
      <c r="A41" s="363" t="str">
        <f>CONCATENATE("So, let's look to see if any of your ",inputPrYr!D5-1," expenditures can")</f>
        <v>So, let's look to see if any of your 2012 expenditures can</v>
      </c>
      <c r="B41" s="349"/>
      <c r="C41" s="349"/>
      <c r="D41" s="349"/>
      <c r="E41" s="349"/>
      <c r="F41" s="349"/>
    </row>
    <row r="42" spans="1:7">
      <c r="A42" s="363" t="s">
        <v>505</v>
      </c>
      <c r="B42" s="349"/>
      <c r="C42" s="349"/>
      <c r="D42" s="349"/>
      <c r="E42" s="349"/>
      <c r="F42" s="349"/>
    </row>
    <row r="43" spans="1:7">
      <c r="A43" s="363" t="s">
        <v>391</v>
      </c>
      <c r="B43" s="349"/>
      <c r="C43" s="349"/>
      <c r="D43" s="349"/>
      <c r="E43" s="349"/>
      <c r="F43" s="349"/>
    </row>
    <row r="44" spans="1:7">
      <c r="A44" s="363" t="s">
        <v>392</v>
      </c>
      <c r="B44" s="349"/>
      <c r="C44" s="349"/>
      <c r="D44" s="349"/>
      <c r="E44" s="349"/>
      <c r="F44" s="349"/>
    </row>
    <row r="45" spans="1:7">
      <c r="A45" s="349"/>
    </row>
    <row r="46" spans="1:7">
      <c r="A46" s="363" t="str">
        <f>CONCATENATE("Additionally, do your ",inputPrYr!D5-1," receipts contain a reimbursement")</f>
        <v>Additionally, do your 2012 receipts contain a reimbursement</v>
      </c>
      <c r="B46" s="349"/>
      <c r="C46" s="349"/>
      <c r="D46" s="349"/>
      <c r="E46" s="349"/>
      <c r="F46" s="349"/>
    </row>
    <row r="47" spans="1:7">
      <c r="A47" s="363" t="s">
        <v>393</v>
      </c>
      <c r="B47" s="349"/>
      <c r="C47" s="349"/>
      <c r="D47" s="349"/>
      <c r="E47" s="349"/>
      <c r="F47" s="349"/>
    </row>
    <row r="48" spans="1:7">
      <c r="A48" s="363" t="s">
        <v>394</v>
      </c>
      <c r="B48" s="349"/>
      <c r="C48" s="349"/>
      <c r="D48" s="349"/>
      <c r="E48" s="349"/>
      <c r="F48" s="349"/>
    </row>
    <row r="49" spans="1:7">
      <c r="A49" s="349"/>
      <c r="B49" s="349"/>
      <c r="C49" s="349"/>
      <c r="D49" s="349"/>
      <c r="E49" s="349"/>
      <c r="F49" s="349"/>
      <c r="G49" s="349"/>
    </row>
    <row r="50" spans="1:7">
      <c r="A50" s="349" t="s">
        <v>459</v>
      </c>
      <c r="B50" s="349"/>
      <c r="C50" s="349"/>
      <c r="D50" s="349"/>
      <c r="E50" s="349"/>
      <c r="F50" s="349"/>
      <c r="G50" s="349"/>
    </row>
    <row r="51" spans="1:7">
      <c r="A51" s="349" t="s">
        <v>460</v>
      </c>
      <c r="B51" s="349"/>
      <c r="C51" s="349"/>
      <c r="D51" s="349"/>
      <c r="E51" s="349"/>
      <c r="F51" s="349"/>
      <c r="G51" s="349"/>
    </row>
    <row r="52" spans="1:7">
      <c r="A52" s="349" t="s">
        <v>461</v>
      </c>
      <c r="B52" s="349"/>
      <c r="C52" s="349"/>
      <c r="D52" s="349"/>
      <c r="E52" s="349"/>
      <c r="F52" s="349"/>
      <c r="G52" s="349"/>
    </row>
    <row r="53" spans="1:7">
      <c r="A53" s="349" t="s">
        <v>462</v>
      </c>
      <c r="B53" s="349"/>
      <c r="C53" s="349"/>
      <c r="D53" s="349"/>
      <c r="E53" s="349"/>
      <c r="F53" s="349"/>
      <c r="G53" s="349"/>
    </row>
    <row r="54" spans="1:7">
      <c r="A54" s="349" t="s">
        <v>463</v>
      </c>
      <c r="B54" s="349"/>
      <c r="C54" s="349"/>
      <c r="D54" s="349"/>
      <c r="E54" s="349"/>
      <c r="F54" s="349"/>
      <c r="G54" s="349"/>
    </row>
    <row r="55" spans="1:7">
      <c r="A55" s="349"/>
      <c r="B55" s="349"/>
      <c r="C55" s="349"/>
      <c r="D55" s="349"/>
      <c r="E55" s="349"/>
      <c r="F55" s="349"/>
      <c r="G55" s="349"/>
    </row>
    <row r="56" spans="1:7">
      <c r="A56" s="363" t="s">
        <v>401</v>
      </c>
      <c r="B56" s="349"/>
      <c r="C56" s="349"/>
      <c r="D56" s="349"/>
      <c r="E56" s="349"/>
      <c r="F56" s="349"/>
    </row>
    <row r="57" spans="1:7">
      <c r="A57" s="363" t="s">
        <v>402</v>
      </c>
      <c r="B57" s="349"/>
      <c r="C57" s="349"/>
      <c r="D57" s="349"/>
      <c r="E57" s="349"/>
      <c r="F57" s="349"/>
    </row>
    <row r="58" spans="1:7">
      <c r="A58" s="363" t="s">
        <v>403</v>
      </c>
      <c r="B58" s="349"/>
      <c r="C58" s="349"/>
      <c r="D58" s="349"/>
      <c r="E58" s="349"/>
      <c r="F58" s="349"/>
    </row>
    <row r="59" spans="1:7">
      <c r="A59" s="363"/>
      <c r="B59" s="349"/>
      <c r="C59" s="349"/>
      <c r="D59" s="349"/>
      <c r="E59" s="349"/>
      <c r="F59" s="349"/>
    </row>
    <row r="60" spans="1:7">
      <c r="A60" s="349" t="s">
        <v>542</v>
      </c>
      <c r="B60" s="349"/>
      <c r="C60" s="349"/>
      <c r="D60" s="349"/>
      <c r="E60" s="349"/>
      <c r="F60" s="349"/>
      <c r="G60" s="349"/>
    </row>
    <row r="61" spans="1:7">
      <c r="A61" s="349" t="s">
        <v>543</v>
      </c>
      <c r="B61" s="349"/>
      <c r="C61" s="349"/>
      <c r="D61" s="349"/>
      <c r="E61" s="349"/>
      <c r="F61" s="349"/>
      <c r="G61" s="349"/>
    </row>
    <row r="62" spans="1:7">
      <c r="A62" s="349" t="s">
        <v>544</v>
      </c>
      <c r="B62" s="349"/>
      <c r="C62" s="349"/>
      <c r="D62" s="349"/>
      <c r="E62" s="349"/>
      <c r="F62" s="349"/>
      <c r="G62" s="349"/>
    </row>
    <row r="63" spans="1:7">
      <c r="A63" s="349" t="s">
        <v>545</v>
      </c>
      <c r="B63" s="349"/>
      <c r="C63" s="349"/>
      <c r="D63" s="349"/>
      <c r="E63" s="349"/>
      <c r="F63" s="349"/>
      <c r="G63" s="349"/>
    </row>
    <row r="64" spans="1:7">
      <c r="A64" s="349" t="s">
        <v>546</v>
      </c>
      <c r="B64" s="349"/>
      <c r="C64" s="349"/>
      <c r="D64" s="349"/>
      <c r="E64" s="349"/>
      <c r="F64" s="349"/>
      <c r="G64" s="349"/>
    </row>
    <row r="66" spans="1:6">
      <c r="A66" s="363" t="s">
        <v>509</v>
      </c>
      <c r="B66" s="349"/>
      <c r="C66" s="349"/>
      <c r="D66" s="349"/>
      <c r="E66" s="349"/>
      <c r="F66" s="349"/>
    </row>
    <row r="67" spans="1:6">
      <c r="A67" s="363" t="s">
        <v>510</v>
      </c>
      <c r="B67" s="349"/>
      <c r="C67" s="349"/>
      <c r="D67" s="349"/>
      <c r="E67" s="349"/>
      <c r="F67" s="349"/>
    </row>
    <row r="68" spans="1:6">
      <c r="A68" s="363" t="s">
        <v>511</v>
      </c>
      <c r="B68" s="349"/>
      <c r="C68" s="349"/>
      <c r="D68" s="349"/>
      <c r="E68" s="349"/>
      <c r="F68" s="349"/>
    </row>
    <row r="69" spans="1:6">
      <c r="A69" s="363" t="s">
        <v>512</v>
      </c>
      <c r="B69" s="349"/>
      <c r="C69" s="349"/>
      <c r="D69" s="349"/>
      <c r="E69" s="349"/>
      <c r="F69" s="349"/>
    </row>
    <row r="70" spans="1:6">
      <c r="A70" s="363" t="s">
        <v>513</v>
      </c>
      <c r="B70" s="349"/>
      <c r="C70" s="349"/>
      <c r="D70" s="349"/>
      <c r="E70" s="349"/>
      <c r="F70" s="349"/>
    </row>
    <row r="71" spans="1:6">
      <c r="A71" s="349"/>
    </row>
    <row r="72" spans="1:6">
      <c r="A72" s="349" t="s">
        <v>430</v>
      </c>
    </row>
    <row r="73" spans="1:6">
      <c r="A73" s="349"/>
    </row>
    <row r="74" spans="1:6">
      <c r="A74" s="349"/>
    </row>
    <row r="75" spans="1:6">
      <c r="A75" s="349"/>
    </row>
    <row r="78" spans="1:6">
      <c r="A78" s="348"/>
    </row>
    <row r="80" spans="1:6">
      <c r="A80" s="349"/>
    </row>
    <row r="81" spans="1:1">
      <c r="A81" s="349"/>
    </row>
    <row r="82" spans="1:1">
      <c r="A82" s="349"/>
    </row>
    <row r="83" spans="1:1">
      <c r="A83" s="349"/>
    </row>
    <row r="84" spans="1:1">
      <c r="A84" s="349"/>
    </row>
    <row r="85" spans="1:1">
      <c r="A85" s="349"/>
    </row>
    <row r="86" spans="1:1">
      <c r="A86" s="349"/>
    </row>
    <row r="87" spans="1:1">
      <c r="A87" s="349"/>
    </row>
    <row r="88" spans="1:1">
      <c r="A88" s="349"/>
    </row>
    <row r="89" spans="1:1">
      <c r="A89" s="349"/>
    </row>
    <row r="90" spans="1:1">
      <c r="A90" s="349"/>
    </row>
    <row r="92" spans="1:1">
      <c r="A92" s="349"/>
    </row>
    <row r="93" spans="1:1">
      <c r="A93" s="349"/>
    </row>
    <row r="94" spans="1:1">
      <c r="A94" s="349"/>
    </row>
    <row r="95" spans="1:1">
      <c r="A95" s="349"/>
    </row>
    <row r="96" spans="1:1">
      <c r="A96" s="349"/>
    </row>
    <row r="97" spans="1:1">
      <c r="A97" s="349"/>
    </row>
    <row r="98" spans="1:1">
      <c r="A98" s="349"/>
    </row>
    <row r="99" spans="1:1">
      <c r="A99" s="349"/>
    </row>
    <row r="100" spans="1:1">
      <c r="A100" s="349"/>
    </row>
    <row r="101" spans="1:1">
      <c r="A101" s="349"/>
    </row>
    <row r="102" spans="1:1">
      <c r="A102" s="349"/>
    </row>
    <row r="103" spans="1:1">
      <c r="A103" s="349"/>
    </row>
    <row r="104" spans="1:1">
      <c r="A104" s="349"/>
    </row>
    <row r="105" spans="1:1">
      <c r="A105" s="349"/>
    </row>
    <row r="106" spans="1:1">
      <c r="A106" s="349"/>
    </row>
  </sheetData>
  <sheetProtection sheet="1"/>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sheetPr>
    <tabColor rgb="FFFF0000"/>
  </sheetPr>
  <dimension ref="A3:H52"/>
  <sheetViews>
    <sheetView workbookViewId="0">
      <selection activeCell="C11" sqref="C11"/>
    </sheetView>
  </sheetViews>
  <sheetFormatPr defaultRowHeight="15.75"/>
  <cols>
    <col min="1" max="1" width="64.19921875" customWidth="1"/>
  </cols>
  <sheetData>
    <row r="3" spans="1:7">
      <c r="A3" s="350" t="s">
        <v>547</v>
      </c>
      <c r="B3" s="350"/>
      <c r="C3" s="350"/>
      <c r="D3" s="350"/>
      <c r="E3" s="350"/>
      <c r="F3" s="350"/>
      <c r="G3" s="350"/>
    </row>
    <row r="4" spans="1:7">
      <c r="A4" s="350" t="s">
        <v>548</v>
      </c>
      <c r="B4" s="350"/>
      <c r="C4" s="350"/>
      <c r="D4" s="350"/>
      <c r="E4" s="350"/>
      <c r="F4" s="350"/>
      <c r="G4" s="350"/>
    </row>
    <row r="5" spans="1:7">
      <c r="A5" s="350"/>
      <c r="B5" s="350"/>
      <c r="C5" s="350"/>
      <c r="D5" s="350"/>
      <c r="E5" s="350"/>
      <c r="F5" s="350"/>
      <c r="G5" s="350"/>
    </row>
    <row r="6" spans="1:7">
      <c r="A6" s="350"/>
      <c r="B6" s="350"/>
      <c r="C6" s="350"/>
      <c r="D6" s="350"/>
      <c r="E6" s="350"/>
      <c r="F6" s="350"/>
      <c r="G6" s="350"/>
    </row>
    <row r="7" spans="1:7">
      <c r="A7" s="349" t="s">
        <v>377</v>
      </c>
    </row>
    <row r="8" spans="1:7">
      <c r="A8" s="349" t="str">
        <f>CONCATENATE("estimated ",inputPrYr!D5," 'total expenditures' exceed your ",inputPrYr!D5,"")</f>
        <v>estimated 2013 'total expenditures' exceed your 2013</v>
      </c>
    </row>
    <row r="9" spans="1:7">
      <c r="A9" s="366" t="s">
        <v>549</v>
      </c>
    </row>
    <row r="10" spans="1:7">
      <c r="A10" s="349"/>
    </row>
    <row r="11" spans="1:7">
      <c r="A11" s="349" t="s">
        <v>550</v>
      </c>
    </row>
    <row r="12" spans="1:7">
      <c r="A12" s="349" t="s">
        <v>551</v>
      </c>
    </row>
    <row r="13" spans="1:7">
      <c r="A13" s="349" t="s">
        <v>552</v>
      </c>
    </row>
    <row r="14" spans="1:7">
      <c r="A14" s="349"/>
    </row>
    <row r="15" spans="1:7">
      <c r="A15" s="348" t="s">
        <v>553</v>
      </c>
    </row>
    <row r="16" spans="1:7">
      <c r="A16" s="350"/>
      <c r="B16" s="350"/>
      <c r="C16" s="350"/>
      <c r="D16" s="350"/>
      <c r="E16" s="350"/>
      <c r="F16" s="350"/>
      <c r="G16" s="350"/>
    </row>
    <row r="17" spans="1:8">
      <c r="A17" s="367" t="s">
        <v>554</v>
      </c>
      <c r="B17" s="344"/>
      <c r="C17" s="344"/>
      <c r="D17" s="344"/>
      <c r="E17" s="344"/>
      <c r="F17" s="344"/>
      <c r="G17" s="344"/>
      <c r="H17" s="344"/>
    </row>
    <row r="18" spans="1:8">
      <c r="A18" s="349" t="s">
        <v>555</v>
      </c>
      <c r="B18" s="368"/>
      <c r="C18" s="368"/>
      <c r="D18" s="368"/>
      <c r="E18" s="368"/>
      <c r="F18" s="368"/>
      <c r="G18" s="368"/>
    </row>
    <row r="19" spans="1:8">
      <c r="A19" s="349" t="s">
        <v>556</v>
      </c>
    </row>
    <row r="20" spans="1:8">
      <c r="A20" s="349" t="s">
        <v>557</v>
      </c>
    </row>
    <row r="22" spans="1:8">
      <c r="A22" s="348" t="s">
        <v>558</v>
      </c>
    </row>
    <row r="24" spans="1:8">
      <c r="A24" s="349" t="s">
        <v>559</v>
      </c>
    </row>
    <row r="25" spans="1:8">
      <c r="A25" s="349" t="s">
        <v>560</v>
      </c>
    </row>
    <row r="26" spans="1:8">
      <c r="A26" s="349" t="s">
        <v>561</v>
      </c>
    </row>
    <row r="28" spans="1:8">
      <c r="A28" s="348" t="s">
        <v>562</v>
      </c>
    </row>
    <row r="30" spans="1:8">
      <c r="A30" t="s">
        <v>563</v>
      </c>
    </row>
    <row r="31" spans="1:8">
      <c r="A31" t="s">
        <v>564</v>
      </c>
    </row>
    <row r="32" spans="1:8">
      <c r="A32" t="s">
        <v>565</v>
      </c>
    </row>
    <row r="33" spans="1:1">
      <c r="A33" s="349" t="s">
        <v>566</v>
      </c>
    </row>
    <row r="35" spans="1:1">
      <c r="A35" t="s">
        <v>567</v>
      </c>
    </row>
    <row r="36" spans="1:1">
      <c r="A36" t="s">
        <v>568</v>
      </c>
    </row>
    <row r="37" spans="1:1">
      <c r="A37" t="s">
        <v>569</v>
      </c>
    </row>
    <row r="38" spans="1:1">
      <c r="A38" t="s">
        <v>570</v>
      </c>
    </row>
    <row r="40" spans="1:1">
      <c r="A40" t="s">
        <v>571</v>
      </c>
    </row>
    <row r="41" spans="1:1">
      <c r="A41" t="s">
        <v>572</v>
      </c>
    </row>
    <row r="42" spans="1:1">
      <c r="A42" t="s">
        <v>573</v>
      </c>
    </row>
    <row r="43" spans="1:1">
      <c r="A43" t="s">
        <v>574</v>
      </c>
    </row>
    <row r="44" spans="1:1">
      <c r="A44" t="s">
        <v>575</v>
      </c>
    </row>
    <row r="45" spans="1:1">
      <c r="A45" t="s">
        <v>576</v>
      </c>
    </row>
    <row r="47" spans="1:1">
      <c r="A47" t="s">
        <v>577</v>
      </c>
    </row>
    <row r="48" spans="1:1">
      <c r="A48" t="s">
        <v>578</v>
      </c>
    </row>
    <row r="49" spans="1:1">
      <c r="A49" s="349" t="s">
        <v>579</v>
      </c>
    </row>
    <row r="50" spans="1:1">
      <c r="A50" s="349" t="s">
        <v>580</v>
      </c>
    </row>
    <row r="52" spans="1:1">
      <c r="A52" t="s">
        <v>430</v>
      </c>
    </row>
  </sheetData>
  <sheetProtection sheet="1"/>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dimension ref="A1:X354"/>
  <sheetViews>
    <sheetView workbookViewId="0">
      <selection activeCell="L3" sqref="L3"/>
    </sheetView>
  </sheetViews>
  <sheetFormatPr defaultRowHeight="14.25"/>
  <cols>
    <col min="1" max="1" width="6.796875" style="404" customWidth="1"/>
    <col min="2" max="2" width="10.09765625" style="405" customWidth="1"/>
    <col min="3" max="3" width="6.69921875" style="405" customWidth="1"/>
    <col min="4" max="4" width="8.796875" style="405"/>
    <col min="5" max="5" width="1.3984375" style="405" customWidth="1"/>
    <col min="6" max="6" width="12.8984375" style="405" customWidth="1"/>
    <col min="7" max="7" width="2.296875" style="405" customWidth="1"/>
    <col min="8" max="8" width="8.796875" style="405" customWidth="1"/>
    <col min="9" max="9" width="1.796875" style="405" customWidth="1"/>
    <col min="10" max="10" width="7.69921875" style="405" customWidth="1"/>
    <col min="11" max="11" width="10.5" style="405" customWidth="1"/>
    <col min="12" max="12" width="6.796875" style="404" customWidth="1"/>
    <col min="13" max="14" width="8.796875" style="404"/>
    <col min="15" max="15" width="8.8984375" style="404" bestFit="1" customWidth="1"/>
    <col min="16" max="16384" width="8.796875" style="404"/>
  </cols>
  <sheetData>
    <row r="1" spans="1:12">
      <c r="A1" s="403"/>
      <c r="B1" s="403"/>
      <c r="C1" s="403"/>
      <c r="D1" s="403"/>
      <c r="E1" s="403"/>
      <c r="F1" s="403"/>
      <c r="G1" s="403"/>
      <c r="H1" s="403"/>
      <c r="I1" s="403"/>
      <c r="J1" s="403"/>
      <c r="K1" s="403"/>
      <c r="L1" s="403"/>
    </row>
    <row r="2" spans="1:12">
      <c r="A2" s="403"/>
      <c r="B2" s="403"/>
      <c r="C2" s="403"/>
      <c r="D2" s="403"/>
      <c r="E2" s="403"/>
      <c r="F2" s="403"/>
      <c r="G2" s="403"/>
      <c r="H2" s="403"/>
      <c r="I2" s="403"/>
      <c r="J2" s="403"/>
      <c r="K2" s="403"/>
      <c r="L2" s="403"/>
    </row>
    <row r="3" spans="1:12">
      <c r="A3" s="403"/>
      <c r="B3" s="403"/>
      <c r="C3" s="403"/>
      <c r="D3" s="403"/>
      <c r="E3" s="403"/>
      <c r="F3" s="403"/>
      <c r="G3" s="403"/>
      <c r="H3" s="403"/>
      <c r="I3" s="403"/>
      <c r="J3" s="403"/>
      <c r="K3" s="403"/>
      <c r="L3" s="403"/>
    </row>
    <row r="4" spans="1:12">
      <c r="A4" s="403"/>
      <c r="L4" s="403"/>
    </row>
    <row r="5" spans="1:12" ht="15" customHeight="1">
      <c r="A5" s="403"/>
      <c r="L5" s="403"/>
    </row>
    <row r="6" spans="1:12" ht="33" customHeight="1">
      <c r="A6" s="403"/>
      <c r="B6" s="858" t="s">
        <v>621</v>
      </c>
      <c r="C6" s="866"/>
      <c r="D6" s="866"/>
      <c r="E6" s="866"/>
      <c r="F6" s="866"/>
      <c r="G6" s="866"/>
      <c r="H6" s="866"/>
      <c r="I6" s="866"/>
      <c r="J6" s="866"/>
      <c r="K6" s="866"/>
      <c r="L6" s="406"/>
    </row>
    <row r="7" spans="1:12" ht="40.5" customHeight="1">
      <c r="A7" s="403"/>
      <c r="B7" s="876" t="s">
        <v>622</v>
      </c>
      <c r="C7" s="877"/>
      <c r="D7" s="877"/>
      <c r="E7" s="877"/>
      <c r="F7" s="877"/>
      <c r="G7" s="877"/>
      <c r="H7" s="877"/>
      <c r="I7" s="877"/>
      <c r="J7" s="877"/>
      <c r="K7" s="877"/>
      <c r="L7" s="403"/>
    </row>
    <row r="8" spans="1:12">
      <c r="A8" s="403"/>
      <c r="B8" s="868" t="s">
        <v>623</v>
      </c>
      <c r="C8" s="868"/>
      <c r="D8" s="868"/>
      <c r="E8" s="868"/>
      <c r="F8" s="868"/>
      <c r="G8" s="868"/>
      <c r="H8" s="868"/>
      <c r="I8" s="868"/>
      <c r="J8" s="868"/>
      <c r="K8" s="868"/>
      <c r="L8" s="403"/>
    </row>
    <row r="9" spans="1:12">
      <c r="A9" s="403"/>
      <c r="L9" s="403"/>
    </row>
    <row r="10" spans="1:12">
      <c r="A10" s="403"/>
      <c r="B10" s="868" t="s">
        <v>624</v>
      </c>
      <c r="C10" s="868"/>
      <c r="D10" s="868"/>
      <c r="E10" s="868"/>
      <c r="F10" s="868"/>
      <c r="G10" s="868"/>
      <c r="H10" s="868"/>
      <c r="I10" s="868"/>
      <c r="J10" s="868"/>
      <c r="K10" s="868"/>
      <c r="L10" s="403"/>
    </row>
    <row r="11" spans="1:12">
      <c r="A11" s="403"/>
      <c r="B11" s="542"/>
      <c r="C11" s="542"/>
      <c r="D11" s="542"/>
      <c r="E11" s="542"/>
      <c r="F11" s="542"/>
      <c r="G11" s="542"/>
      <c r="H11" s="542"/>
      <c r="I11" s="542"/>
      <c r="J11" s="542"/>
      <c r="K11" s="542"/>
      <c r="L11" s="403"/>
    </row>
    <row r="12" spans="1:12" ht="32.25" customHeight="1">
      <c r="A12" s="403"/>
      <c r="B12" s="859" t="s">
        <v>625</v>
      </c>
      <c r="C12" s="859"/>
      <c r="D12" s="859"/>
      <c r="E12" s="859"/>
      <c r="F12" s="859"/>
      <c r="G12" s="859"/>
      <c r="H12" s="859"/>
      <c r="I12" s="859"/>
      <c r="J12" s="859"/>
      <c r="K12" s="859"/>
      <c r="L12" s="403"/>
    </row>
    <row r="13" spans="1:12">
      <c r="A13" s="403"/>
      <c r="L13" s="403"/>
    </row>
    <row r="14" spans="1:12">
      <c r="A14" s="403"/>
      <c r="B14" s="407" t="s">
        <v>626</v>
      </c>
      <c r="L14" s="403"/>
    </row>
    <row r="15" spans="1:12">
      <c r="A15" s="403"/>
      <c r="L15" s="403"/>
    </row>
    <row r="16" spans="1:12">
      <c r="A16" s="403"/>
      <c r="B16" s="405" t="s">
        <v>627</v>
      </c>
      <c r="L16" s="403"/>
    </row>
    <row r="17" spans="1:12">
      <c r="A17" s="403"/>
      <c r="B17" s="405" t="s">
        <v>628</v>
      </c>
      <c r="L17" s="403"/>
    </row>
    <row r="18" spans="1:12">
      <c r="A18" s="403"/>
      <c r="L18" s="403"/>
    </row>
    <row r="19" spans="1:12">
      <c r="A19" s="403"/>
      <c r="B19" s="407" t="s">
        <v>752</v>
      </c>
      <c r="L19" s="403"/>
    </row>
    <row r="20" spans="1:12">
      <c r="A20" s="403"/>
      <c r="B20" s="407"/>
      <c r="L20" s="403"/>
    </row>
    <row r="21" spans="1:12">
      <c r="A21" s="403"/>
      <c r="B21" s="405" t="s">
        <v>753</v>
      </c>
      <c r="L21" s="403"/>
    </row>
    <row r="22" spans="1:12">
      <c r="A22" s="403"/>
      <c r="L22" s="403"/>
    </row>
    <row r="23" spans="1:12">
      <c r="A23" s="403"/>
      <c r="B23" s="405" t="s">
        <v>629</v>
      </c>
      <c r="E23" s="405" t="s">
        <v>630</v>
      </c>
      <c r="F23" s="852">
        <v>312000000</v>
      </c>
      <c r="G23" s="852"/>
      <c r="L23" s="403"/>
    </row>
    <row r="24" spans="1:12">
      <c r="A24" s="403"/>
      <c r="L24" s="403"/>
    </row>
    <row r="25" spans="1:12">
      <c r="A25" s="403"/>
      <c r="C25" s="875">
        <f>F23</f>
        <v>312000000</v>
      </c>
      <c r="D25" s="875"/>
      <c r="E25" s="405" t="s">
        <v>631</v>
      </c>
      <c r="F25" s="408">
        <v>1000</v>
      </c>
      <c r="G25" s="408" t="s">
        <v>630</v>
      </c>
      <c r="H25" s="544">
        <f>F23/F25</f>
        <v>312000</v>
      </c>
      <c r="L25" s="403"/>
    </row>
    <row r="26" spans="1:12" ht="15" thickBot="1">
      <c r="A26" s="403"/>
      <c r="L26" s="403"/>
    </row>
    <row r="27" spans="1:12">
      <c r="A27" s="403"/>
      <c r="B27" s="409" t="s">
        <v>626</v>
      </c>
      <c r="C27" s="410"/>
      <c r="D27" s="410"/>
      <c r="E27" s="410"/>
      <c r="F27" s="410"/>
      <c r="G27" s="410"/>
      <c r="H27" s="410"/>
      <c r="I27" s="410"/>
      <c r="J27" s="410"/>
      <c r="K27" s="411"/>
      <c r="L27" s="403"/>
    </row>
    <row r="28" spans="1:12">
      <c r="A28" s="403"/>
      <c r="B28" s="412">
        <f>F23</f>
        <v>312000000</v>
      </c>
      <c r="C28" s="413" t="s">
        <v>632</v>
      </c>
      <c r="D28" s="413"/>
      <c r="E28" s="413" t="s">
        <v>631</v>
      </c>
      <c r="F28" s="547">
        <v>1000</v>
      </c>
      <c r="G28" s="547" t="s">
        <v>630</v>
      </c>
      <c r="H28" s="414">
        <f>B28/F28</f>
        <v>312000</v>
      </c>
      <c r="I28" s="413" t="s">
        <v>633</v>
      </c>
      <c r="J28" s="413"/>
      <c r="K28" s="415"/>
      <c r="L28" s="403"/>
    </row>
    <row r="29" spans="1:12" ht="15" thickBot="1">
      <c r="A29" s="403"/>
      <c r="B29" s="416"/>
      <c r="C29" s="417"/>
      <c r="D29" s="417"/>
      <c r="E29" s="417"/>
      <c r="F29" s="417"/>
      <c r="G29" s="417"/>
      <c r="H29" s="417"/>
      <c r="I29" s="417"/>
      <c r="J29" s="417"/>
      <c r="K29" s="418"/>
      <c r="L29" s="403"/>
    </row>
    <row r="30" spans="1:12" ht="40.5" customHeight="1">
      <c r="A30" s="403"/>
      <c r="B30" s="857" t="s">
        <v>622</v>
      </c>
      <c r="C30" s="857"/>
      <c r="D30" s="857"/>
      <c r="E30" s="857"/>
      <c r="F30" s="857"/>
      <c r="G30" s="857"/>
      <c r="H30" s="857"/>
      <c r="I30" s="857"/>
      <c r="J30" s="857"/>
      <c r="K30" s="857"/>
      <c r="L30" s="403"/>
    </row>
    <row r="31" spans="1:12">
      <c r="A31" s="403"/>
      <c r="B31" s="868" t="s">
        <v>634</v>
      </c>
      <c r="C31" s="868"/>
      <c r="D31" s="868"/>
      <c r="E31" s="868"/>
      <c r="F31" s="868"/>
      <c r="G31" s="868"/>
      <c r="H31" s="868"/>
      <c r="I31" s="868"/>
      <c r="J31" s="868"/>
      <c r="K31" s="868"/>
      <c r="L31" s="403"/>
    </row>
    <row r="32" spans="1:12">
      <c r="A32" s="403"/>
      <c r="L32" s="403"/>
    </row>
    <row r="33" spans="1:12">
      <c r="A33" s="403"/>
      <c r="B33" s="868" t="s">
        <v>635</v>
      </c>
      <c r="C33" s="868"/>
      <c r="D33" s="868"/>
      <c r="E33" s="868"/>
      <c r="F33" s="868"/>
      <c r="G33" s="868"/>
      <c r="H33" s="868"/>
      <c r="I33" s="868"/>
      <c r="J33" s="868"/>
      <c r="K33" s="868"/>
      <c r="L33" s="403"/>
    </row>
    <row r="34" spans="1:12">
      <c r="A34" s="403"/>
      <c r="L34" s="403"/>
    </row>
    <row r="35" spans="1:12" ht="89.25" customHeight="1">
      <c r="A35" s="403"/>
      <c r="B35" s="859" t="s">
        <v>636</v>
      </c>
      <c r="C35" s="862"/>
      <c r="D35" s="862"/>
      <c r="E35" s="862"/>
      <c r="F35" s="862"/>
      <c r="G35" s="862"/>
      <c r="H35" s="862"/>
      <c r="I35" s="862"/>
      <c r="J35" s="862"/>
      <c r="K35" s="862"/>
      <c r="L35" s="403"/>
    </row>
    <row r="36" spans="1:12">
      <c r="A36" s="403"/>
      <c r="L36" s="403"/>
    </row>
    <row r="37" spans="1:12">
      <c r="A37" s="403"/>
      <c r="B37" s="407" t="s">
        <v>637</v>
      </c>
      <c r="L37" s="403"/>
    </row>
    <row r="38" spans="1:12">
      <c r="A38" s="403"/>
      <c r="L38" s="403"/>
    </row>
    <row r="39" spans="1:12">
      <c r="A39" s="403"/>
      <c r="B39" s="405" t="s">
        <v>638</v>
      </c>
      <c r="L39" s="403"/>
    </row>
    <row r="40" spans="1:12">
      <c r="A40" s="403"/>
      <c r="L40" s="403"/>
    </row>
    <row r="41" spans="1:12">
      <c r="A41" s="403"/>
      <c r="C41" s="869">
        <v>312000000</v>
      </c>
      <c r="D41" s="869"/>
      <c r="E41" s="405" t="s">
        <v>631</v>
      </c>
      <c r="F41" s="408">
        <v>1000</v>
      </c>
      <c r="G41" s="408" t="s">
        <v>630</v>
      </c>
      <c r="H41" s="419">
        <f>C41/F41</f>
        <v>312000</v>
      </c>
      <c r="L41" s="403"/>
    </row>
    <row r="42" spans="1:12">
      <c r="A42" s="403"/>
      <c r="L42" s="403"/>
    </row>
    <row r="43" spans="1:12">
      <c r="A43" s="403"/>
      <c r="B43" s="405" t="s">
        <v>639</v>
      </c>
      <c r="L43" s="403"/>
    </row>
    <row r="44" spans="1:12">
      <c r="A44" s="403"/>
      <c r="L44" s="403"/>
    </row>
    <row r="45" spans="1:12">
      <c r="A45" s="403"/>
      <c r="B45" s="405" t="s">
        <v>640</v>
      </c>
      <c r="L45" s="403"/>
    </row>
    <row r="46" spans="1:12" ht="15" thickBot="1">
      <c r="A46" s="403"/>
      <c r="L46" s="403"/>
    </row>
    <row r="47" spans="1:12">
      <c r="A47" s="403"/>
      <c r="B47" s="420" t="s">
        <v>626</v>
      </c>
      <c r="C47" s="410"/>
      <c r="D47" s="410"/>
      <c r="E47" s="410"/>
      <c r="F47" s="410"/>
      <c r="G47" s="410"/>
      <c r="H47" s="410"/>
      <c r="I47" s="410"/>
      <c r="J47" s="410"/>
      <c r="K47" s="411"/>
      <c r="L47" s="403"/>
    </row>
    <row r="48" spans="1:12">
      <c r="A48" s="403"/>
      <c r="B48" s="870">
        <v>312000000</v>
      </c>
      <c r="C48" s="852"/>
      <c r="D48" s="413" t="s">
        <v>641</v>
      </c>
      <c r="E48" s="413" t="s">
        <v>631</v>
      </c>
      <c r="F48" s="547">
        <v>1000</v>
      </c>
      <c r="G48" s="547" t="s">
        <v>630</v>
      </c>
      <c r="H48" s="414">
        <f>B48/F48</f>
        <v>312000</v>
      </c>
      <c r="I48" s="413" t="s">
        <v>642</v>
      </c>
      <c r="J48" s="413"/>
      <c r="K48" s="415"/>
      <c r="L48" s="403"/>
    </row>
    <row r="49" spans="1:24">
      <c r="A49" s="403"/>
      <c r="B49" s="421"/>
      <c r="C49" s="413"/>
      <c r="D49" s="413"/>
      <c r="E49" s="413"/>
      <c r="F49" s="413"/>
      <c r="G49" s="413"/>
      <c r="H49" s="413"/>
      <c r="I49" s="413"/>
      <c r="J49" s="413"/>
      <c r="K49" s="415"/>
      <c r="L49" s="403"/>
    </row>
    <row r="50" spans="1:24">
      <c r="A50" s="403"/>
      <c r="B50" s="422">
        <v>50000</v>
      </c>
      <c r="C50" s="413" t="s">
        <v>643</v>
      </c>
      <c r="D50" s="413"/>
      <c r="E50" s="413" t="s">
        <v>631</v>
      </c>
      <c r="F50" s="414">
        <f>H48</f>
        <v>312000</v>
      </c>
      <c r="G50" s="871" t="s">
        <v>644</v>
      </c>
      <c r="H50" s="872"/>
      <c r="I50" s="547" t="s">
        <v>630</v>
      </c>
      <c r="J50" s="423">
        <f>B50/F50</f>
        <v>0.16025641025641027</v>
      </c>
      <c r="K50" s="415"/>
      <c r="L50" s="403"/>
    </row>
    <row r="51" spans="1:24" ht="15" thickBot="1">
      <c r="A51" s="403"/>
      <c r="B51" s="416"/>
      <c r="C51" s="417"/>
      <c r="D51" s="417"/>
      <c r="E51" s="417"/>
      <c r="F51" s="417"/>
      <c r="G51" s="417"/>
      <c r="H51" s="417"/>
      <c r="I51" s="873" t="s">
        <v>645</v>
      </c>
      <c r="J51" s="873"/>
      <c r="K51" s="874"/>
      <c r="L51" s="403"/>
      <c r="O51" s="424"/>
    </row>
    <row r="52" spans="1:24" ht="40.5" customHeight="1">
      <c r="A52" s="403"/>
      <c r="B52" s="857" t="s">
        <v>622</v>
      </c>
      <c r="C52" s="857"/>
      <c r="D52" s="857"/>
      <c r="E52" s="857"/>
      <c r="F52" s="857"/>
      <c r="G52" s="857"/>
      <c r="H52" s="857"/>
      <c r="I52" s="857"/>
      <c r="J52" s="857"/>
      <c r="K52" s="857"/>
      <c r="L52" s="403"/>
    </row>
    <row r="53" spans="1:24">
      <c r="A53" s="403"/>
      <c r="B53" s="868" t="s">
        <v>646</v>
      </c>
      <c r="C53" s="868"/>
      <c r="D53" s="868"/>
      <c r="E53" s="868"/>
      <c r="F53" s="868"/>
      <c r="G53" s="868"/>
      <c r="H53" s="868"/>
      <c r="I53" s="868"/>
      <c r="J53" s="868"/>
      <c r="K53" s="868"/>
      <c r="L53" s="403"/>
    </row>
    <row r="54" spans="1:24">
      <c r="A54" s="403"/>
      <c r="B54" s="542"/>
      <c r="C54" s="542"/>
      <c r="D54" s="542"/>
      <c r="E54" s="542"/>
      <c r="F54" s="542"/>
      <c r="G54" s="542"/>
      <c r="H54" s="542"/>
      <c r="I54" s="542"/>
      <c r="J54" s="542"/>
      <c r="K54" s="542"/>
      <c r="L54" s="403"/>
    </row>
    <row r="55" spans="1:24">
      <c r="A55" s="403"/>
      <c r="B55" s="858" t="s">
        <v>647</v>
      </c>
      <c r="C55" s="858"/>
      <c r="D55" s="858"/>
      <c r="E55" s="858"/>
      <c r="F55" s="858"/>
      <c r="G55" s="858"/>
      <c r="H55" s="858"/>
      <c r="I55" s="858"/>
      <c r="J55" s="858"/>
      <c r="K55" s="858"/>
      <c r="L55" s="403"/>
    </row>
    <row r="56" spans="1:24" ht="15" customHeight="1">
      <c r="A56" s="403"/>
      <c r="L56" s="403"/>
    </row>
    <row r="57" spans="1:24" ht="74.25" customHeight="1">
      <c r="A57" s="403"/>
      <c r="B57" s="859" t="s">
        <v>648</v>
      </c>
      <c r="C57" s="862"/>
      <c r="D57" s="862"/>
      <c r="E57" s="862"/>
      <c r="F57" s="862"/>
      <c r="G57" s="862"/>
      <c r="H57" s="862"/>
      <c r="I57" s="862"/>
      <c r="J57" s="862"/>
      <c r="K57" s="862"/>
      <c r="L57" s="403"/>
      <c r="M57" s="425"/>
      <c r="N57" s="426"/>
      <c r="O57" s="426"/>
      <c r="P57" s="426"/>
      <c r="Q57" s="426"/>
      <c r="R57" s="426"/>
      <c r="S57" s="426"/>
      <c r="T57" s="426"/>
      <c r="U57" s="426"/>
      <c r="V57" s="426"/>
      <c r="W57" s="426"/>
      <c r="X57" s="426"/>
    </row>
    <row r="58" spans="1:24" ht="15" customHeight="1">
      <c r="A58" s="403"/>
      <c r="B58" s="859"/>
      <c r="C58" s="862"/>
      <c r="D58" s="862"/>
      <c r="E58" s="862"/>
      <c r="F58" s="862"/>
      <c r="G58" s="862"/>
      <c r="H58" s="862"/>
      <c r="I58" s="862"/>
      <c r="J58" s="862"/>
      <c r="K58" s="862"/>
      <c r="L58" s="403"/>
      <c r="M58" s="425"/>
      <c r="N58" s="426"/>
      <c r="O58" s="426"/>
      <c r="P58" s="426"/>
      <c r="Q58" s="426"/>
      <c r="R58" s="426"/>
      <c r="S58" s="426"/>
      <c r="T58" s="426"/>
      <c r="U58" s="426"/>
      <c r="V58" s="426"/>
      <c r="W58" s="426"/>
      <c r="X58" s="426"/>
    </row>
    <row r="59" spans="1:24">
      <c r="A59" s="403"/>
      <c r="B59" s="407" t="s">
        <v>637</v>
      </c>
      <c r="L59" s="403"/>
      <c r="M59" s="426"/>
      <c r="N59" s="426"/>
      <c r="O59" s="426"/>
      <c r="P59" s="426"/>
      <c r="Q59" s="426"/>
      <c r="R59" s="426"/>
      <c r="S59" s="426"/>
      <c r="T59" s="426"/>
      <c r="U59" s="426"/>
      <c r="V59" s="426"/>
      <c r="W59" s="426"/>
      <c r="X59" s="426"/>
    </row>
    <row r="60" spans="1:24">
      <c r="A60" s="403"/>
      <c r="L60" s="403"/>
      <c r="M60" s="426"/>
      <c r="N60" s="426"/>
      <c r="O60" s="426"/>
      <c r="P60" s="426"/>
      <c r="Q60" s="426"/>
      <c r="R60" s="426"/>
      <c r="S60" s="426"/>
      <c r="T60" s="426"/>
      <c r="U60" s="426"/>
      <c r="V60" s="426"/>
      <c r="W60" s="426"/>
      <c r="X60" s="426"/>
    </row>
    <row r="61" spans="1:24">
      <c r="A61" s="403"/>
      <c r="B61" s="405" t="s">
        <v>649</v>
      </c>
      <c r="L61" s="403"/>
      <c r="M61" s="426"/>
      <c r="N61" s="426"/>
      <c r="O61" s="426"/>
      <c r="P61" s="426"/>
      <c r="Q61" s="426"/>
      <c r="R61" s="426"/>
      <c r="S61" s="426"/>
      <c r="T61" s="426"/>
      <c r="U61" s="426"/>
      <c r="V61" s="426"/>
      <c r="W61" s="426"/>
      <c r="X61" s="426"/>
    </row>
    <row r="62" spans="1:24">
      <c r="A62" s="403"/>
      <c r="B62" s="405" t="s">
        <v>754</v>
      </c>
      <c r="L62" s="403"/>
      <c r="M62" s="426"/>
      <c r="N62" s="426"/>
      <c r="O62" s="426"/>
      <c r="P62" s="426"/>
      <c r="Q62" s="426"/>
      <c r="R62" s="426"/>
      <c r="S62" s="426"/>
      <c r="T62" s="426"/>
      <c r="U62" s="426"/>
      <c r="V62" s="426"/>
      <c r="W62" s="426"/>
      <c r="X62" s="426"/>
    </row>
    <row r="63" spans="1:24">
      <c r="A63" s="403"/>
      <c r="B63" s="405" t="s">
        <v>755</v>
      </c>
      <c r="L63" s="403"/>
      <c r="M63" s="426"/>
      <c r="N63" s="426"/>
      <c r="O63" s="426"/>
      <c r="P63" s="426"/>
      <c r="Q63" s="426"/>
      <c r="R63" s="426"/>
      <c r="S63" s="426"/>
      <c r="T63" s="426"/>
      <c r="U63" s="426"/>
      <c r="V63" s="426"/>
      <c r="W63" s="426"/>
      <c r="X63" s="426"/>
    </row>
    <row r="64" spans="1:24">
      <c r="A64" s="403"/>
      <c r="L64" s="403"/>
      <c r="M64" s="426"/>
      <c r="N64" s="426"/>
      <c r="O64" s="426"/>
      <c r="P64" s="426"/>
      <c r="Q64" s="426"/>
      <c r="R64" s="426"/>
      <c r="S64" s="426"/>
      <c r="T64" s="426"/>
      <c r="U64" s="426"/>
      <c r="V64" s="426"/>
      <c r="W64" s="426"/>
      <c r="X64" s="426"/>
    </row>
    <row r="65" spans="1:24">
      <c r="A65" s="403"/>
      <c r="B65" s="405" t="s">
        <v>650</v>
      </c>
      <c r="L65" s="403"/>
      <c r="M65" s="426"/>
      <c r="N65" s="426"/>
      <c r="O65" s="426"/>
      <c r="P65" s="426"/>
      <c r="Q65" s="426"/>
      <c r="R65" s="426"/>
      <c r="S65" s="426"/>
      <c r="T65" s="426"/>
      <c r="U65" s="426"/>
      <c r="V65" s="426"/>
      <c r="W65" s="426"/>
      <c r="X65" s="426"/>
    </row>
    <row r="66" spans="1:24">
      <c r="A66" s="403"/>
      <c r="B66" s="405" t="s">
        <v>651</v>
      </c>
      <c r="L66" s="403"/>
      <c r="M66" s="426"/>
      <c r="N66" s="426"/>
      <c r="O66" s="426"/>
      <c r="P66" s="426"/>
      <c r="Q66" s="426"/>
      <c r="R66" s="426"/>
      <c r="S66" s="426"/>
      <c r="T66" s="426"/>
      <c r="U66" s="426"/>
      <c r="V66" s="426"/>
      <c r="W66" s="426"/>
      <c r="X66" s="426"/>
    </row>
    <row r="67" spans="1:24">
      <c r="A67" s="403"/>
      <c r="L67" s="403"/>
      <c r="M67" s="426"/>
      <c r="N67" s="426"/>
      <c r="O67" s="426"/>
      <c r="P67" s="426"/>
      <c r="Q67" s="426"/>
      <c r="R67" s="426"/>
      <c r="S67" s="426"/>
      <c r="T67" s="426"/>
      <c r="U67" s="426"/>
      <c r="V67" s="426"/>
      <c r="W67" s="426"/>
      <c r="X67" s="426"/>
    </row>
    <row r="68" spans="1:24">
      <c r="A68" s="403"/>
      <c r="B68" s="405" t="s">
        <v>652</v>
      </c>
      <c r="L68" s="403"/>
      <c r="M68" s="427"/>
      <c r="N68" s="428"/>
      <c r="O68" s="428"/>
      <c r="P68" s="428"/>
      <c r="Q68" s="428"/>
      <c r="R68" s="428"/>
      <c r="S68" s="428"/>
      <c r="T68" s="428"/>
      <c r="U68" s="428"/>
      <c r="V68" s="428"/>
      <c r="W68" s="428"/>
      <c r="X68" s="426"/>
    </row>
    <row r="69" spans="1:24">
      <c r="A69" s="403"/>
      <c r="B69" s="405" t="s">
        <v>756</v>
      </c>
      <c r="L69" s="403"/>
      <c r="M69" s="426"/>
      <c r="N69" s="426"/>
      <c r="O69" s="426"/>
      <c r="P69" s="426"/>
      <c r="Q69" s="426"/>
      <c r="R69" s="426"/>
      <c r="S69" s="426"/>
      <c r="T69" s="426"/>
      <c r="U69" s="426"/>
      <c r="V69" s="426"/>
      <c r="W69" s="426"/>
      <c r="X69" s="426"/>
    </row>
    <row r="70" spans="1:24">
      <c r="A70" s="403"/>
      <c r="B70" s="405" t="s">
        <v>757</v>
      </c>
      <c r="L70" s="403"/>
      <c r="M70" s="426"/>
      <c r="N70" s="426"/>
      <c r="O70" s="426"/>
      <c r="P70" s="426"/>
      <c r="Q70" s="426"/>
      <c r="R70" s="426"/>
      <c r="S70" s="426"/>
      <c r="T70" s="426"/>
      <c r="U70" s="426"/>
      <c r="V70" s="426"/>
      <c r="W70" s="426"/>
      <c r="X70" s="426"/>
    </row>
    <row r="71" spans="1:24" ht="15" thickBot="1">
      <c r="A71" s="403"/>
      <c r="B71" s="413"/>
      <c r="C71" s="413"/>
      <c r="D71" s="413"/>
      <c r="E71" s="413"/>
      <c r="F71" s="413"/>
      <c r="G71" s="413"/>
      <c r="H71" s="413"/>
      <c r="I71" s="413"/>
      <c r="J71" s="413"/>
      <c r="K71" s="413"/>
      <c r="L71" s="403"/>
    </row>
    <row r="72" spans="1:24">
      <c r="A72" s="403"/>
      <c r="B72" s="409" t="s">
        <v>626</v>
      </c>
      <c r="C72" s="410"/>
      <c r="D72" s="410"/>
      <c r="E72" s="410"/>
      <c r="F72" s="410"/>
      <c r="G72" s="410"/>
      <c r="H72" s="410"/>
      <c r="I72" s="410"/>
      <c r="J72" s="410"/>
      <c r="K72" s="411"/>
      <c r="L72" s="429"/>
    </row>
    <row r="73" spans="1:24">
      <c r="A73" s="403"/>
      <c r="B73" s="421"/>
      <c r="C73" s="413" t="s">
        <v>632</v>
      </c>
      <c r="D73" s="413"/>
      <c r="E73" s="413"/>
      <c r="F73" s="413"/>
      <c r="G73" s="413"/>
      <c r="H73" s="413"/>
      <c r="I73" s="413"/>
      <c r="J73" s="413"/>
      <c r="K73" s="415"/>
      <c r="L73" s="429"/>
    </row>
    <row r="74" spans="1:24">
      <c r="A74" s="403"/>
      <c r="B74" s="421" t="s">
        <v>653</v>
      </c>
      <c r="C74" s="852">
        <v>312000000</v>
      </c>
      <c r="D74" s="852"/>
      <c r="E74" s="547" t="s">
        <v>631</v>
      </c>
      <c r="F74" s="547">
        <v>1000</v>
      </c>
      <c r="G74" s="547" t="s">
        <v>630</v>
      </c>
      <c r="H74" s="548">
        <f>C74/F74</f>
        <v>312000</v>
      </c>
      <c r="I74" s="413" t="s">
        <v>654</v>
      </c>
      <c r="J74" s="413"/>
      <c r="K74" s="415"/>
      <c r="L74" s="429"/>
    </row>
    <row r="75" spans="1:24">
      <c r="A75" s="403"/>
      <c r="B75" s="421"/>
      <c r="C75" s="413"/>
      <c r="D75" s="413"/>
      <c r="E75" s="547"/>
      <c r="F75" s="413"/>
      <c r="G75" s="413"/>
      <c r="H75" s="413"/>
      <c r="I75" s="413"/>
      <c r="J75" s="413"/>
      <c r="K75" s="415"/>
      <c r="L75" s="429"/>
    </row>
    <row r="76" spans="1:24">
      <c r="A76" s="403"/>
      <c r="B76" s="421"/>
      <c r="C76" s="413" t="s">
        <v>655</v>
      </c>
      <c r="D76" s="413"/>
      <c r="E76" s="547"/>
      <c r="F76" s="413" t="s">
        <v>654</v>
      </c>
      <c r="G76" s="413"/>
      <c r="H76" s="413"/>
      <c r="I76" s="413"/>
      <c r="J76" s="413"/>
      <c r="K76" s="415"/>
      <c r="L76" s="429"/>
    </row>
    <row r="77" spans="1:24">
      <c r="A77" s="403"/>
      <c r="B77" s="421" t="s">
        <v>656</v>
      </c>
      <c r="C77" s="852">
        <v>50000</v>
      </c>
      <c r="D77" s="852"/>
      <c r="E77" s="547" t="s">
        <v>631</v>
      </c>
      <c r="F77" s="548">
        <f>H74</f>
        <v>312000</v>
      </c>
      <c r="G77" s="547" t="s">
        <v>630</v>
      </c>
      <c r="H77" s="423">
        <f>C77/F77</f>
        <v>0.16025641025641027</v>
      </c>
      <c r="I77" s="413" t="s">
        <v>657</v>
      </c>
      <c r="J77" s="413"/>
      <c r="K77" s="415"/>
      <c r="L77" s="429"/>
    </row>
    <row r="78" spans="1:24">
      <c r="A78" s="403"/>
      <c r="B78" s="421"/>
      <c r="C78" s="413"/>
      <c r="D78" s="413"/>
      <c r="E78" s="547"/>
      <c r="F78" s="413"/>
      <c r="G78" s="413"/>
      <c r="H78" s="413"/>
      <c r="I78" s="413"/>
      <c r="J78" s="413"/>
      <c r="K78" s="415"/>
      <c r="L78" s="429"/>
    </row>
    <row r="79" spans="1:24">
      <c r="A79" s="403"/>
      <c r="B79" s="430"/>
      <c r="C79" s="431" t="s">
        <v>658</v>
      </c>
      <c r="D79" s="431"/>
      <c r="E79" s="549"/>
      <c r="F79" s="431"/>
      <c r="G79" s="431"/>
      <c r="H79" s="431"/>
      <c r="I79" s="431"/>
      <c r="J79" s="431"/>
      <c r="K79" s="432"/>
      <c r="L79" s="429"/>
    </row>
    <row r="80" spans="1:24">
      <c r="A80" s="403"/>
      <c r="B80" s="421" t="s">
        <v>659</v>
      </c>
      <c r="C80" s="852">
        <v>100000</v>
      </c>
      <c r="D80" s="852"/>
      <c r="E80" s="547" t="s">
        <v>284</v>
      </c>
      <c r="F80" s="547">
        <v>0.115</v>
      </c>
      <c r="G80" s="547" t="s">
        <v>630</v>
      </c>
      <c r="H80" s="548">
        <f>C80*F80</f>
        <v>11500</v>
      </c>
      <c r="I80" s="413" t="s">
        <v>660</v>
      </c>
      <c r="J80" s="413"/>
      <c r="K80" s="415"/>
      <c r="L80" s="429"/>
    </row>
    <row r="81" spans="1:12">
      <c r="A81" s="403"/>
      <c r="B81" s="421"/>
      <c r="C81" s="413"/>
      <c r="D81" s="413"/>
      <c r="E81" s="547"/>
      <c r="F81" s="413"/>
      <c r="G81" s="413"/>
      <c r="H81" s="413"/>
      <c r="I81" s="413"/>
      <c r="J81" s="413"/>
      <c r="K81" s="415"/>
      <c r="L81" s="429"/>
    </row>
    <row r="82" spans="1:12">
      <c r="A82" s="403"/>
      <c r="B82" s="430"/>
      <c r="C82" s="431" t="s">
        <v>661</v>
      </c>
      <c r="D82" s="431"/>
      <c r="E82" s="549"/>
      <c r="F82" s="431" t="s">
        <v>657</v>
      </c>
      <c r="G82" s="431"/>
      <c r="H82" s="431"/>
      <c r="I82" s="431"/>
      <c r="J82" s="431" t="s">
        <v>662</v>
      </c>
      <c r="K82" s="432"/>
      <c r="L82" s="429"/>
    </row>
    <row r="83" spans="1:12">
      <c r="A83" s="403"/>
      <c r="B83" s="421" t="s">
        <v>663</v>
      </c>
      <c r="C83" s="863">
        <f>H80</f>
        <v>11500</v>
      </c>
      <c r="D83" s="863"/>
      <c r="E83" s="547" t="s">
        <v>284</v>
      </c>
      <c r="F83" s="423">
        <f>H77</f>
        <v>0.16025641025641027</v>
      </c>
      <c r="G83" s="547" t="s">
        <v>631</v>
      </c>
      <c r="H83" s="547">
        <v>1000</v>
      </c>
      <c r="I83" s="547" t="s">
        <v>630</v>
      </c>
      <c r="J83" s="550">
        <f>C83*F83/H83</f>
        <v>1.8429487179487181</v>
      </c>
      <c r="K83" s="415"/>
      <c r="L83" s="429"/>
    </row>
    <row r="84" spans="1:12" ht="15" thickBot="1">
      <c r="A84" s="403"/>
      <c r="B84" s="416"/>
      <c r="C84" s="433"/>
      <c r="D84" s="433"/>
      <c r="E84" s="434"/>
      <c r="F84" s="435"/>
      <c r="G84" s="434"/>
      <c r="H84" s="434"/>
      <c r="I84" s="434"/>
      <c r="J84" s="436"/>
      <c r="K84" s="418"/>
      <c r="L84" s="429"/>
    </row>
    <row r="85" spans="1:12" ht="40.5" customHeight="1">
      <c r="A85" s="403"/>
      <c r="B85" s="857" t="s">
        <v>622</v>
      </c>
      <c r="C85" s="857"/>
      <c r="D85" s="857"/>
      <c r="E85" s="857"/>
      <c r="F85" s="857"/>
      <c r="G85" s="857"/>
      <c r="H85" s="857"/>
      <c r="I85" s="857"/>
      <c r="J85" s="857"/>
      <c r="K85" s="857"/>
      <c r="L85" s="403"/>
    </row>
    <row r="86" spans="1:12">
      <c r="A86" s="403"/>
      <c r="B86" s="858" t="s">
        <v>664</v>
      </c>
      <c r="C86" s="858"/>
      <c r="D86" s="858"/>
      <c r="E86" s="858"/>
      <c r="F86" s="858"/>
      <c r="G86" s="858"/>
      <c r="H86" s="858"/>
      <c r="I86" s="858"/>
      <c r="J86" s="858"/>
      <c r="K86" s="858"/>
      <c r="L86" s="403"/>
    </row>
    <row r="87" spans="1:12">
      <c r="A87" s="403"/>
      <c r="B87" s="437"/>
      <c r="C87" s="437"/>
      <c r="D87" s="437"/>
      <c r="E87" s="437"/>
      <c r="F87" s="437"/>
      <c r="G87" s="437"/>
      <c r="H87" s="437"/>
      <c r="I87" s="437"/>
      <c r="J87" s="437"/>
      <c r="K87" s="437"/>
      <c r="L87" s="403"/>
    </row>
    <row r="88" spans="1:12">
      <c r="A88" s="403"/>
      <c r="B88" s="858" t="s">
        <v>665</v>
      </c>
      <c r="C88" s="858"/>
      <c r="D88" s="858"/>
      <c r="E88" s="858"/>
      <c r="F88" s="858"/>
      <c r="G88" s="858"/>
      <c r="H88" s="858"/>
      <c r="I88" s="858"/>
      <c r="J88" s="858"/>
      <c r="K88" s="858"/>
      <c r="L88" s="403"/>
    </row>
    <row r="89" spans="1:12">
      <c r="A89" s="403"/>
      <c r="B89" s="541"/>
      <c r="C89" s="541"/>
      <c r="D89" s="541"/>
      <c r="E89" s="541"/>
      <c r="F89" s="541"/>
      <c r="G89" s="541"/>
      <c r="H89" s="541"/>
      <c r="I89" s="541"/>
      <c r="J89" s="541"/>
      <c r="K89" s="541"/>
      <c r="L89" s="403"/>
    </row>
    <row r="90" spans="1:12" ht="45" customHeight="1">
      <c r="A90" s="403"/>
      <c r="B90" s="859" t="s">
        <v>666</v>
      </c>
      <c r="C90" s="859"/>
      <c r="D90" s="859"/>
      <c r="E90" s="859"/>
      <c r="F90" s="859"/>
      <c r="G90" s="859"/>
      <c r="H90" s="859"/>
      <c r="I90" s="859"/>
      <c r="J90" s="859"/>
      <c r="K90" s="859"/>
      <c r="L90" s="403"/>
    </row>
    <row r="91" spans="1:12" ht="15" customHeight="1" thickBot="1">
      <c r="A91" s="403"/>
      <c r="L91" s="403"/>
    </row>
    <row r="92" spans="1:12" ht="15" customHeight="1">
      <c r="A92" s="403"/>
      <c r="B92" s="438" t="s">
        <v>626</v>
      </c>
      <c r="C92" s="439"/>
      <c r="D92" s="439"/>
      <c r="E92" s="439"/>
      <c r="F92" s="439"/>
      <c r="G92" s="439"/>
      <c r="H92" s="439"/>
      <c r="I92" s="439"/>
      <c r="J92" s="439"/>
      <c r="K92" s="440"/>
      <c r="L92" s="403"/>
    </row>
    <row r="93" spans="1:12" ht="15" customHeight="1">
      <c r="A93" s="403"/>
      <c r="B93" s="441"/>
      <c r="C93" s="545" t="s">
        <v>632</v>
      </c>
      <c r="D93" s="545"/>
      <c r="E93" s="545"/>
      <c r="F93" s="545"/>
      <c r="G93" s="545"/>
      <c r="H93" s="545"/>
      <c r="I93" s="545"/>
      <c r="J93" s="545"/>
      <c r="K93" s="442"/>
      <c r="L93" s="403"/>
    </row>
    <row r="94" spans="1:12" ht="15" customHeight="1">
      <c r="A94" s="403"/>
      <c r="B94" s="441" t="s">
        <v>653</v>
      </c>
      <c r="C94" s="852">
        <v>312000000</v>
      </c>
      <c r="D94" s="852"/>
      <c r="E94" s="547" t="s">
        <v>631</v>
      </c>
      <c r="F94" s="547">
        <v>1000</v>
      </c>
      <c r="G94" s="547" t="s">
        <v>630</v>
      </c>
      <c r="H94" s="548">
        <f>C94/F94</f>
        <v>312000</v>
      </c>
      <c r="I94" s="545" t="s">
        <v>654</v>
      </c>
      <c r="J94" s="545"/>
      <c r="K94" s="442"/>
      <c r="L94" s="403"/>
    </row>
    <row r="95" spans="1:12" ht="15" customHeight="1">
      <c r="A95" s="403"/>
      <c r="B95" s="441"/>
      <c r="C95" s="545"/>
      <c r="D95" s="545"/>
      <c r="E95" s="547"/>
      <c r="F95" s="545"/>
      <c r="G95" s="545"/>
      <c r="H95" s="545"/>
      <c r="I95" s="545"/>
      <c r="J95" s="545"/>
      <c r="K95" s="442"/>
      <c r="L95" s="403"/>
    </row>
    <row r="96" spans="1:12" ht="15" customHeight="1">
      <c r="A96" s="403"/>
      <c r="B96" s="441"/>
      <c r="C96" s="545" t="s">
        <v>655</v>
      </c>
      <c r="D96" s="545"/>
      <c r="E96" s="547"/>
      <c r="F96" s="545" t="s">
        <v>654</v>
      </c>
      <c r="G96" s="545"/>
      <c r="H96" s="545"/>
      <c r="I96" s="545"/>
      <c r="J96" s="545"/>
      <c r="K96" s="442"/>
      <c r="L96" s="403"/>
    </row>
    <row r="97" spans="1:12" ht="15" customHeight="1">
      <c r="A97" s="403"/>
      <c r="B97" s="441" t="s">
        <v>656</v>
      </c>
      <c r="C97" s="852">
        <v>50000</v>
      </c>
      <c r="D97" s="852"/>
      <c r="E97" s="547" t="s">
        <v>631</v>
      </c>
      <c r="F97" s="548">
        <f>H94</f>
        <v>312000</v>
      </c>
      <c r="G97" s="547" t="s">
        <v>630</v>
      </c>
      <c r="H97" s="423">
        <f>C97/F97</f>
        <v>0.16025641025641027</v>
      </c>
      <c r="I97" s="545" t="s">
        <v>657</v>
      </c>
      <c r="J97" s="545"/>
      <c r="K97" s="442"/>
      <c r="L97" s="403"/>
    </row>
    <row r="98" spans="1:12" ht="15" customHeight="1">
      <c r="A98" s="403"/>
      <c r="B98" s="441"/>
      <c r="C98" s="545"/>
      <c r="D98" s="545"/>
      <c r="E98" s="547"/>
      <c r="F98" s="545"/>
      <c r="G98" s="545"/>
      <c r="H98" s="545"/>
      <c r="I98" s="545"/>
      <c r="J98" s="545"/>
      <c r="K98" s="442"/>
      <c r="L98" s="403"/>
    </row>
    <row r="99" spans="1:12" ht="15" customHeight="1">
      <c r="A99" s="403"/>
      <c r="B99" s="443"/>
      <c r="C99" s="444" t="s">
        <v>667</v>
      </c>
      <c r="D99" s="444"/>
      <c r="E99" s="549"/>
      <c r="F99" s="444"/>
      <c r="G99" s="444"/>
      <c r="H99" s="444"/>
      <c r="I99" s="444"/>
      <c r="J99" s="444"/>
      <c r="K99" s="445"/>
      <c r="L99" s="403"/>
    </row>
    <row r="100" spans="1:12" ht="15" customHeight="1">
      <c r="A100" s="403"/>
      <c r="B100" s="441" t="s">
        <v>659</v>
      </c>
      <c r="C100" s="852">
        <v>2500000</v>
      </c>
      <c r="D100" s="852"/>
      <c r="E100" s="547" t="s">
        <v>284</v>
      </c>
      <c r="F100" s="446">
        <v>0.3</v>
      </c>
      <c r="G100" s="547" t="s">
        <v>630</v>
      </c>
      <c r="H100" s="548">
        <f>C100*F100</f>
        <v>750000</v>
      </c>
      <c r="I100" s="545" t="s">
        <v>660</v>
      </c>
      <c r="J100" s="545"/>
      <c r="K100" s="442"/>
      <c r="L100" s="403"/>
    </row>
    <row r="101" spans="1:12" ht="15" customHeight="1">
      <c r="A101" s="403"/>
      <c r="B101" s="441"/>
      <c r="C101" s="545"/>
      <c r="D101" s="545"/>
      <c r="E101" s="547"/>
      <c r="F101" s="545"/>
      <c r="G101" s="545"/>
      <c r="H101" s="545"/>
      <c r="I101" s="545"/>
      <c r="J101" s="545"/>
      <c r="K101" s="442"/>
      <c r="L101" s="403"/>
    </row>
    <row r="102" spans="1:12" ht="15" customHeight="1">
      <c r="A102" s="403"/>
      <c r="B102" s="443"/>
      <c r="C102" s="444" t="s">
        <v>661</v>
      </c>
      <c r="D102" s="444"/>
      <c r="E102" s="549"/>
      <c r="F102" s="444" t="s">
        <v>657</v>
      </c>
      <c r="G102" s="444"/>
      <c r="H102" s="444"/>
      <c r="I102" s="444"/>
      <c r="J102" s="444" t="s">
        <v>662</v>
      </c>
      <c r="K102" s="445"/>
      <c r="L102" s="403"/>
    </row>
    <row r="103" spans="1:12" ht="15" customHeight="1">
      <c r="A103" s="403"/>
      <c r="B103" s="441" t="s">
        <v>663</v>
      </c>
      <c r="C103" s="863">
        <f>H100</f>
        <v>750000</v>
      </c>
      <c r="D103" s="863"/>
      <c r="E103" s="547" t="s">
        <v>284</v>
      </c>
      <c r="F103" s="423">
        <f>H97</f>
        <v>0.16025641025641027</v>
      </c>
      <c r="G103" s="547" t="s">
        <v>631</v>
      </c>
      <c r="H103" s="547">
        <v>1000</v>
      </c>
      <c r="I103" s="547" t="s">
        <v>630</v>
      </c>
      <c r="J103" s="550">
        <f>C103*F103/H103</f>
        <v>120.19230769230771</v>
      </c>
      <c r="K103" s="442"/>
      <c r="L103" s="403"/>
    </row>
    <row r="104" spans="1:12" ht="15" customHeight="1" thickBot="1">
      <c r="A104" s="403"/>
      <c r="B104" s="447"/>
      <c r="C104" s="433"/>
      <c r="D104" s="433"/>
      <c r="E104" s="434"/>
      <c r="F104" s="435"/>
      <c r="G104" s="434"/>
      <c r="H104" s="434"/>
      <c r="I104" s="434"/>
      <c r="J104" s="436"/>
      <c r="K104" s="546"/>
      <c r="L104" s="403"/>
    </row>
    <row r="105" spans="1:12" ht="40.5" customHeight="1">
      <c r="A105" s="403"/>
      <c r="B105" s="857" t="s">
        <v>622</v>
      </c>
      <c r="C105" s="864"/>
      <c r="D105" s="864"/>
      <c r="E105" s="864"/>
      <c r="F105" s="864"/>
      <c r="G105" s="864"/>
      <c r="H105" s="864"/>
      <c r="I105" s="864"/>
      <c r="J105" s="864"/>
      <c r="K105" s="864"/>
      <c r="L105" s="403"/>
    </row>
    <row r="106" spans="1:12" ht="15" customHeight="1">
      <c r="A106" s="403"/>
      <c r="B106" s="865" t="s">
        <v>668</v>
      </c>
      <c r="C106" s="866"/>
      <c r="D106" s="866"/>
      <c r="E106" s="866"/>
      <c r="F106" s="866"/>
      <c r="G106" s="866"/>
      <c r="H106" s="866"/>
      <c r="I106" s="866"/>
      <c r="J106" s="866"/>
      <c r="K106" s="866"/>
      <c r="L106" s="403"/>
    </row>
    <row r="107" spans="1:12" ht="15" customHeight="1">
      <c r="A107" s="403"/>
      <c r="B107" s="545"/>
      <c r="C107" s="448"/>
      <c r="D107" s="448"/>
      <c r="E107" s="547"/>
      <c r="F107" s="423"/>
      <c r="G107" s="547"/>
      <c r="H107" s="547"/>
      <c r="I107" s="547"/>
      <c r="J107" s="550"/>
      <c r="K107" s="545"/>
      <c r="L107" s="403"/>
    </row>
    <row r="108" spans="1:12" ht="15" customHeight="1">
      <c r="A108" s="403"/>
      <c r="B108" s="865" t="s">
        <v>669</v>
      </c>
      <c r="C108" s="867"/>
      <c r="D108" s="867"/>
      <c r="E108" s="867"/>
      <c r="F108" s="867"/>
      <c r="G108" s="867"/>
      <c r="H108" s="867"/>
      <c r="I108" s="867"/>
      <c r="J108" s="867"/>
      <c r="K108" s="867"/>
      <c r="L108" s="403"/>
    </row>
    <row r="109" spans="1:12" ht="15" customHeight="1">
      <c r="A109" s="403"/>
      <c r="B109" s="545"/>
      <c r="C109" s="448"/>
      <c r="D109" s="448"/>
      <c r="E109" s="547"/>
      <c r="F109" s="423"/>
      <c r="G109" s="547"/>
      <c r="H109" s="547"/>
      <c r="I109" s="547"/>
      <c r="J109" s="550"/>
      <c r="K109" s="545"/>
      <c r="L109" s="403"/>
    </row>
    <row r="110" spans="1:12" ht="59.25" customHeight="1">
      <c r="A110" s="403"/>
      <c r="B110" s="861" t="s">
        <v>670</v>
      </c>
      <c r="C110" s="862"/>
      <c r="D110" s="862"/>
      <c r="E110" s="862"/>
      <c r="F110" s="862"/>
      <c r="G110" s="862"/>
      <c r="H110" s="862"/>
      <c r="I110" s="862"/>
      <c r="J110" s="862"/>
      <c r="K110" s="862"/>
      <c r="L110" s="403"/>
    </row>
    <row r="111" spans="1:12" ht="15" thickBot="1">
      <c r="A111" s="403"/>
      <c r="B111" s="542"/>
      <c r="C111" s="542"/>
      <c r="D111" s="542"/>
      <c r="E111" s="542"/>
      <c r="F111" s="542"/>
      <c r="G111" s="542"/>
      <c r="H111" s="542"/>
      <c r="I111" s="542"/>
      <c r="J111" s="542"/>
      <c r="K111" s="542"/>
      <c r="L111" s="449"/>
    </row>
    <row r="112" spans="1:12">
      <c r="A112" s="403"/>
      <c r="B112" s="409" t="s">
        <v>626</v>
      </c>
      <c r="C112" s="410"/>
      <c r="D112" s="410"/>
      <c r="E112" s="410"/>
      <c r="F112" s="410"/>
      <c r="G112" s="410"/>
      <c r="H112" s="410"/>
      <c r="I112" s="410"/>
      <c r="J112" s="410"/>
      <c r="K112" s="411"/>
      <c r="L112" s="403"/>
    </row>
    <row r="113" spans="1:12">
      <c r="A113" s="403"/>
      <c r="B113" s="421"/>
      <c r="C113" s="413" t="s">
        <v>632</v>
      </c>
      <c r="D113" s="413"/>
      <c r="E113" s="413"/>
      <c r="F113" s="413"/>
      <c r="G113" s="413"/>
      <c r="H113" s="413"/>
      <c r="I113" s="413"/>
      <c r="J113" s="413"/>
      <c r="K113" s="415"/>
      <c r="L113" s="403"/>
    </row>
    <row r="114" spans="1:12">
      <c r="A114" s="403"/>
      <c r="B114" s="421" t="s">
        <v>653</v>
      </c>
      <c r="C114" s="852">
        <v>312000000</v>
      </c>
      <c r="D114" s="852"/>
      <c r="E114" s="547" t="s">
        <v>631</v>
      </c>
      <c r="F114" s="547">
        <v>1000</v>
      </c>
      <c r="G114" s="547" t="s">
        <v>630</v>
      </c>
      <c r="H114" s="548">
        <f>C114/F114</f>
        <v>312000</v>
      </c>
      <c r="I114" s="413" t="s">
        <v>654</v>
      </c>
      <c r="J114" s="413"/>
      <c r="K114" s="415"/>
      <c r="L114" s="403"/>
    </row>
    <row r="115" spans="1:12">
      <c r="A115" s="403"/>
      <c r="B115" s="421"/>
      <c r="C115" s="413"/>
      <c r="D115" s="413"/>
      <c r="E115" s="547"/>
      <c r="F115" s="413"/>
      <c r="G115" s="413"/>
      <c r="H115" s="413"/>
      <c r="I115" s="413"/>
      <c r="J115" s="413"/>
      <c r="K115" s="415"/>
      <c r="L115" s="403"/>
    </row>
    <row r="116" spans="1:12">
      <c r="A116" s="403"/>
      <c r="B116" s="421"/>
      <c r="C116" s="413" t="s">
        <v>655</v>
      </c>
      <c r="D116" s="413"/>
      <c r="E116" s="547"/>
      <c r="F116" s="413" t="s">
        <v>654</v>
      </c>
      <c r="G116" s="413"/>
      <c r="H116" s="413"/>
      <c r="I116" s="413"/>
      <c r="J116" s="413"/>
      <c r="K116" s="415"/>
      <c r="L116" s="403"/>
    </row>
    <row r="117" spans="1:12">
      <c r="A117" s="403"/>
      <c r="B117" s="421" t="s">
        <v>656</v>
      </c>
      <c r="C117" s="852">
        <v>50000</v>
      </c>
      <c r="D117" s="852"/>
      <c r="E117" s="547" t="s">
        <v>631</v>
      </c>
      <c r="F117" s="548">
        <f>H114</f>
        <v>312000</v>
      </c>
      <c r="G117" s="547" t="s">
        <v>630</v>
      </c>
      <c r="H117" s="423">
        <f>C117/F117</f>
        <v>0.16025641025641027</v>
      </c>
      <c r="I117" s="413" t="s">
        <v>657</v>
      </c>
      <c r="J117" s="413"/>
      <c r="K117" s="415"/>
      <c r="L117" s="403"/>
    </row>
    <row r="118" spans="1:12">
      <c r="A118" s="403"/>
      <c r="B118" s="421"/>
      <c r="C118" s="413"/>
      <c r="D118" s="413"/>
      <c r="E118" s="547"/>
      <c r="F118" s="413"/>
      <c r="G118" s="413"/>
      <c r="H118" s="413"/>
      <c r="I118" s="413"/>
      <c r="J118" s="413"/>
      <c r="K118" s="415"/>
      <c r="L118" s="403"/>
    </row>
    <row r="119" spans="1:12">
      <c r="A119" s="403"/>
      <c r="B119" s="430"/>
      <c r="C119" s="431" t="s">
        <v>667</v>
      </c>
      <c r="D119" s="431"/>
      <c r="E119" s="549"/>
      <c r="F119" s="431"/>
      <c r="G119" s="431"/>
      <c r="H119" s="431"/>
      <c r="I119" s="431"/>
      <c r="J119" s="431"/>
      <c r="K119" s="432"/>
      <c r="L119" s="403"/>
    </row>
    <row r="120" spans="1:12">
      <c r="A120" s="403"/>
      <c r="B120" s="421" t="s">
        <v>659</v>
      </c>
      <c r="C120" s="852">
        <v>2500000</v>
      </c>
      <c r="D120" s="852"/>
      <c r="E120" s="547" t="s">
        <v>284</v>
      </c>
      <c r="F120" s="446">
        <v>0.25</v>
      </c>
      <c r="G120" s="547" t="s">
        <v>630</v>
      </c>
      <c r="H120" s="548">
        <f>C120*F120</f>
        <v>625000</v>
      </c>
      <c r="I120" s="413" t="s">
        <v>660</v>
      </c>
      <c r="J120" s="413"/>
      <c r="K120" s="415"/>
      <c r="L120" s="403"/>
    </row>
    <row r="121" spans="1:12">
      <c r="A121" s="403"/>
      <c r="B121" s="421"/>
      <c r="C121" s="413"/>
      <c r="D121" s="413"/>
      <c r="E121" s="547"/>
      <c r="F121" s="413"/>
      <c r="G121" s="413"/>
      <c r="H121" s="413"/>
      <c r="I121" s="413"/>
      <c r="J121" s="413"/>
      <c r="K121" s="415"/>
      <c r="L121" s="403"/>
    </row>
    <row r="122" spans="1:12">
      <c r="A122" s="403"/>
      <c r="B122" s="430"/>
      <c r="C122" s="431" t="s">
        <v>661</v>
      </c>
      <c r="D122" s="431"/>
      <c r="E122" s="549"/>
      <c r="F122" s="431" t="s">
        <v>657</v>
      </c>
      <c r="G122" s="431"/>
      <c r="H122" s="431"/>
      <c r="I122" s="431"/>
      <c r="J122" s="431" t="s">
        <v>662</v>
      </c>
      <c r="K122" s="432"/>
      <c r="L122" s="403"/>
    </row>
    <row r="123" spans="1:12">
      <c r="A123" s="403"/>
      <c r="B123" s="421" t="s">
        <v>663</v>
      </c>
      <c r="C123" s="863">
        <f>H120</f>
        <v>625000</v>
      </c>
      <c r="D123" s="863"/>
      <c r="E123" s="547" t="s">
        <v>284</v>
      </c>
      <c r="F123" s="423">
        <f>H117</f>
        <v>0.16025641025641027</v>
      </c>
      <c r="G123" s="547" t="s">
        <v>631</v>
      </c>
      <c r="H123" s="547">
        <v>1000</v>
      </c>
      <c r="I123" s="547" t="s">
        <v>630</v>
      </c>
      <c r="J123" s="550">
        <f>C123*F123/H123</f>
        <v>100.16025641025642</v>
      </c>
      <c r="K123" s="415"/>
      <c r="L123" s="403"/>
    </row>
    <row r="124" spans="1:12" ht="15" thickBot="1">
      <c r="A124" s="403"/>
      <c r="B124" s="416"/>
      <c r="C124" s="433"/>
      <c r="D124" s="433"/>
      <c r="E124" s="434"/>
      <c r="F124" s="435"/>
      <c r="G124" s="434"/>
      <c r="H124" s="434"/>
      <c r="I124" s="434"/>
      <c r="J124" s="436"/>
      <c r="K124" s="418"/>
      <c r="L124" s="403"/>
    </row>
    <row r="125" spans="1:12" ht="40.5" customHeight="1">
      <c r="A125" s="403"/>
      <c r="B125" s="857" t="s">
        <v>622</v>
      </c>
      <c r="C125" s="857"/>
      <c r="D125" s="857"/>
      <c r="E125" s="857"/>
      <c r="F125" s="857"/>
      <c r="G125" s="857"/>
      <c r="H125" s="857"/>
      <c r="I125" s="857"/>
      <c r="J125" s="857"/>
      <c r="K125" s="857"/>
      <c r="L125" s="449"/>
    </row>
    <row r="126" spans="1:12">
      <c r="A126" s="403"/>
      <c r="B126" s="858" t="s">
        <v>671</v>
      </c>
      <c r="C126" s="858"/>
      <c r="D126" s="858"/>
      <c r="E126" s="858"/>
      <c r="F126" s="858"/>
      <c r="G126" s="858"/>
      <c r="H126" s="858"/>
      <c r="I126" s="858"/>
      <c r="J126" s="858"/>
      <c r="K126" s="858"/>
      <c r="L126" s="449"/>
    </row>
    <row r="127" spans="1:12">
      <c r="A127" s="403"/>
      <c r="B127" s="542"/>
      <c r="C127" s="542"/>
      <c r="D127" s="542"/>
      <c r="E127" s="542"/>
      <c r="F127" s="542"/>
      <c r="G127" s="542"/>
      <c r="H127" s="542"/>
      <c r="I127" s="542"/>
      <c r="J127" s="542"/>
      <c r="K127" s="542"/>
      <c r="L127" s="449"/>
    </row>
    <row r="128" spans="1:12">
      <c r="A128" s="403"/>
      <c r="B128" s="858" t="s">
        <v>672</v>
      </c>
      <c r="C128" s="858"/>
      <c r="D128" s="858"/>
      <c r="E128" s="858"/>
      <c r="F128" s="858"/>
      <c r="G128" s="858"/>
      <c r="H128" s="858"/>
      <c r="I128" s="858"/>
      <c r="J128" s="858"/>
      <c r="K128" s="858"/>
      <c r="L128" s="449"/>
    </row>
    <row r="129" spans="1:12">
      <c r="A129" s="403"/>
      <c r="B129" s="541"/>
      <c r="C129" s="541"/>
      <c r="D129" s="541"/>
      <c r="E129" s="541"/>
      <c r="F129" s="541"/>
      <c r="G129" s="541"/>
      <c r="H129" s="541"/>
      <c r="I129" s="541"/>
      <c r="J129" s="541"/>
      <c r="K129" s="541"/>
      <c r="L129" s="449"/>
    </row>
    <row r="130" spans="1:12" ht="74.25" customHeight="1">
      <c r="A130" s="403"/>
      <c r="B130" s="859" t="s">
        <v>673</v>
      </c>
      <c r="C130" s="859"/>
      <c r="D130" s="859"/>
      <c r="E130" s="859"/>
      <c r="F130" s="859"/>
      <c r="G130" s="859"/>
      <c r="H130" s="859"/>
      <c r="I130" s="859"/>
      <c r="J130" s="859"/>
      <c r="K130" s="859"/>
      <c r="L130" s="449"/>
    </row>
    <row r="131" spans="1:12" ht="15" thickBot="1">
      <c r="A131" s="403"/>
      <c r="L131" s="403"/>
    </row>
    <row r="132" spans="1:12">
      <c r="A132" s="403"/>
      <c r="B132" s="409" t="s">
        <v>626</v>
      </c>
      <c r="C132" s="410"/>
      <c r="D132" s="410"/>
      <c r="E132" s="410"/>
      <c r="F132" s="410"/>
      <c r="G132" s="410"/>
      <c r="H132" s="410"/>
      <c r="I132" s="410"/>
      <c r="J132" s="410"/>
      <c r="K132" s="411"/>
      <c r="L132" s="403"/>
    </row>
    <row r="133" spans="1:12">
      <c r="A133" s="403"/>
      <c r="B133" s="421"/>
      <c r="C133" s="860" t="s">
        <v>674</v>
      </c>
      <c r="D133" s="860"/>
      <c r="E133" s="413"/>
      <c r="F133" s="547" t="s">
        <v>675</v>
      </c>
      <c r="G133" s="413"/>
      <c r="H133" s="860" t="s">
        <v>660</v>
      </c>
      <c r="I133" s="860"/>
      <c r="J133" s="413"/>
      <c r="K133" s="415"/>
      <c r="L133" s="403"/>
    </row>
    <row r="134" spans="1:12">
      <c r="A134" s="403"/>
      <c r="B134" s="421" t="s">
        <v>653</v>
      </c>
      <c r="C134" s="852">
        <v>100000</v>
      </c>
      <c r="D134" s="852"/>
      <c r="E134" s="547" t="s">
        <v>284</v>
      </c>
      <c r="F134" s="547">
        <v>0.115</v>
      </c>
      <c r="G134" s="547" t="s">
        <v>630</v>
      </c>
      <c r="H134" s="847">
        <f>C134*F134</f>
        <v>11500</v>
      </c>
      <c r="I134" s="847"/>
      <c r="J134" s="413"/>
      <c r="K134" s="415"/>
      <c r="L134" s="403"/>
    </row>
    <row r="135" spans="1:12">
      <c r="A135" s="403"/>
      <c r="B135" s="421"/>
      <c r="C135" s="413"/>
      <c r="D135" s="413"/>
      <c r="E135" s="413"/>
      <c r="F135" s="413"/>
      <c r="G135" s="413"/>
      <c r="H135" s="413"/>
      <c r="I135" s="413"/>
      <c r="J135" s="413"/>
      <c r="K135" s="415"/>
      <c r="L135" s="403"/>
    </row>
    <row r="136" spans="1:12">
      <c r="A136" s="403"/>
      <c r="B136" s="430"/>
      <c r="C136" s="853" t="s">
        <v>660</v>
      </c>
      <c r="D136" s="853"/>
      <c r="E136" s="431"/>
      <c r="F136" s="549" t="s">
        <v>676</v>
      </c>
      <c r="G136" s="549"/>
      <c r="H136" s="431"/>
      <c r="I136" s="431"/>
      <c r="J136" s="431" t="s">
        <v>677</v>
      </c>
      <c r="K136" s="432"/>
      <c r="L136" s="403"/>
    </row>
    <row r="137" spans="1:12">
      <c r="A137" s="403"/>
      <c r="B137" s="421" t="s">
        <v>656</v>
      </c>
      <c r="C137" s="847">
        <f>H134</f>
        <v>11500</v>
      </c>
      <c r="D137" s="847"/>
      <c r="E137" s="547" t="s">
        <v>284</v>
      </c>
      <c r="F137" s="450">
        <v>52.869</v>
      </c>
      <c r="G137" s="547" t="s">
        <v>631</v>
      </c>
      <c r="H137" s="547">
        <v>1000</v>
      </c>
      <c r="I137" s="547" t="s">
        <v>630</v>
      </c>
      <c r="J137" s="451">
        <f>C137*F137/H137</f>
        <v>607.99350000000004</v>
      </c>
      <c r="K137" s="415"/>
      <c r="L137" s="403"/>
    </row>
    <row r="138" spans="1:12" ht="15" thickBot="1">
      <c r="A138" s="403"/>
      <c r="B138" s="416"/>
      <c r="C138" s="452"/>
      <c r="D138" s="452"/>
      <c r="E138" s="434"/>
      <c r="F138" s="453"/>
      <c r="G138" s="434"/>
      <c r="H138" s="434"/>
      <c r="I138" s="434"/>
      <c r="J138" s="454"/>
      <c r="K138" s="418"/>
      <c r="L138" s="403"/>
    </row>
    <row r="139" spans="1:12" ht="40.5" customHeight="1">
      <c r="A139" s="403"/>
      <c r="B139" s="455" t="s">
        <v>622</v>
      </c>
      <c r="C139" s="456"/>
      <c r="D139" s="456"/>
      <c r="E139" s="457"/>
      <c r="F139" s="458"/>
      <c r="G139" s="457"/>
      <c r="H139" s="457"/>
      <c r="I139" s="457"/>
      <c r="J139" s="459"/>
      <c r="K139" s="460"/>
      <c r="L139" s="403"/>
    </row>
    <row r="140" spans="1:12">
      <c r="A140" s="403"/>
      <c r="B140" s="461" t="s">
        <v>678</v>
      </c>
      <c r="C140" s="462"/>
      <c r="D140" s="462"/>
      <c r="E140" s="463"/>
      <c r="F140" s="464"/>
      <c r="G140" s="463"/>
      <c r="H140" s="463"/>
      <c r="I140" s="463"/>
      <c r="J140" s="465"/>
      <c r="K140" s="466"/>
      <c r="L140" s="403"/>
    </row>
    <row r="141" spans="1:12">
      <c r="A141" s="403"/>
      <c r="B141" s="421"/>
      <c r="C141" s="548"/>
      <c r="D141" s="548"/>
      <c r="E141" s="547"/>
      <c r="F141" s="467"/>
      <c r="G141" s="547"/>
      <c r="H141" s="547"/>
      <c r="I141" s="547"/>
      <c r="J141" s="451"/>
      <c r="K141" s="415"/>
      <c r="L141" s="403"/>
    </row>
    <row r="142" spans="1:12">
      <c r="A142" s="403"/>
      <c r="B142" s="461" t="s">
        <v>679</v>
      </c>
      <c r="C142" s="462"/>
      <c r="D142" s="462"/>
      <c r="E142" s="463"/>
      <c r="F142" s="464"/>
      <c r="G142" s="463"/>
      <c r="H142" s="463"/>
      <c r="I142" s="463"/>
      <c r="J142" s="465"/>
      <c r="K142" s="466"/>
      <c r="L142" s="403"/>
    </row>
    <row r="143" spans="1:12">
      <c r="A143" s="403"/>
      <c r="B143" s="421"/>
      <c r="C143" s="548"/>
      <c r="D143" s="548"/>
      <c r="E143" s="547"/>
      <c r="F143" s="467"/>
      <c r="G143" s="547"/>
      <c r="H143" s="547"/>
      <c r="I143" s="547"/>
      <c r="J143" s="451"/>
      <c r="K143" s="415"/>
      <c r="L143" s="403"/>
    </row>
    <row r="144" spans="1:12" ht="76.5" customHeight="1">
      <c r="A144" s="403"/>
      <c r="B144" s="854" t="s">
        <v>680</v>
      </c>
      <c r="C144" s="855"/>
      <c r="D144" s="855"/>
      <c r="E144" s="855"/>
      <c r="F144" s="855"/>
      <c r="G144" s="855"/>
      <c r="H144" s="855"/>
      <c r="I144" s="855"/>
      <c r="J144" s="855"/>
      <c r="K144" s="856"/>
      <c r="L144" s="403"/>
    </row>
    <row r="145" spans="1:12" ht="15" thickBot="1">
      <c r="A145" s="403"/>
      <c r="B145" s="421"/>
      <c r="C145" s="548"/>
      <c r="D145" s="548"/>
      <c r="E145" s="547"/>
      <c r="F145" s="467"/>
      <c r="G145" s="547"/>
      <c r="H145" s="547"/>
      <c r="I145" s="547"/>
      <c r="J145" s="451"/>
      <c r="K145" s="415"/>
      <c r="L145" s="403"/>
    </row>
    <row r="146" spans="1:12">
      <c r="A146" s="403"/>
      <c r="B146" s="409" t="s">
        <v>626</v>
      </c>
      <c r="C146" s="468"/>
      <c r="D146" s="468"/>
      <c r="E146" s="469"/>
      <c r="F146" s="470"/>
      <c r="G146" s="469"/>
      <c r="H146" s="469"/>
      <c r="I146" s="469"/>
      <c r="J146" s="471"/>
      <c r="K146" s="411"/>
      <c r="L146" s="403"/>
    </row>
    <row r="147" spans="1:12">
      <c r="A147" s="403"/>
      <c r="B147" s="421"/>
      <c r="C147" s="847" t="s">
        <v>681</v>
      </c>
      <c r="D147" s="847"/>
      <c r="E147" s="547"/>
      <c r="F147" s="467" t="s">
        <v>682</v>
      </c>
      <c r="G147" s="547"/>
      <c r="H147" s="547"/>
      <c r="I147" s="547"/>
      <c r="J147" s="848" t="s">
        <v>683</v>
      </c>
      <c r="K147" s="849"/>
      <c r="L147" s="403"/>
    </row>
    <row r="148" spans="1:12">
      <c r="A148" s="403"/>
      <c r="B148" s="421"/>
      <c r="C148" s="850">
        <v>52.869</v>
      </c>
      <c r="D148" s="850"/>
      <c r="E148" s="547" t="s">
        <v>284</v>
      </c>
      <c r="F148" s="543">
        <v>312000000</v>
      </c>
      <c r="G148" s="472" t="s">
        <v>631</v>
      </c>
      <c r="H148" s="547">
        <v>1000</v>
      </c>
      <c r="I148" s="547" t="s">
        <v>630</v>
      </c>
      <c r="J148" s="848">
        <f>C148*(F148/1000)</f>
        <v>16495128</v>
      </c>
      <c r="K148" s="851"/>
      <c r="L148" s="403"/>
    </row>
    <row r="149" spans="1:12" ht="15" thickBot="1">
      <c r="A149" s="403"/>
      <c r="B149" s="416"/>
      <c r="C149" s="452"/>
      <c r="D149" s="452"/>
      <c r="E149" s="434"/>
      <c r="F149" s="453"/>
      <c r="G149" s="434"/>
      <c r="H149" s="434"/>
      <c r="I149" s="434"/>
      <c r="J149" s="454"/>
      <c r="K149" s="418"/>
      <c r="L149" s="403"/>
    </row>
    <row r="150" spans="1:12" ht="15" thickBot="1">
      <c r="A150" s="403"/>
      <c r="B150" s="416"/>
      <c r="C150" s="417"/>
      <c r="D150" s="417"/>
      <c r="E150" s="417"/>
      <c r="F150" s="417"/>
      <c r="G150" s="417"/>
      <c r="H150" s="417"/>
      <c r="I150" s="417"/>
      <c r="J150" s="417"/>
      <c r="K150" s="418"/>
      <c r="L150" s="403"/>
    </row>
    <row r="151" spans="1:12">
      <c r="A151" s="403"/>
      <c r="B151" s="403"/>
      <c r="C151" s="403"/>
      <c r="D151" s="403"/>
      <c r="E151" s="403"/>
      <c r="F151" s="403"/>
      <c r="G151" s="403"/>
      <c r="H151" s="403"/>
      <c r="I151" s="403"/>
      <c r="J151" s="403"/>
      <c r="K151" s="403"/>
      <c r="L151" s="403"/>
    </row>
    <row r="152" spans="1:12">
      <c r="A152" s="403"/>
      <c r="B152" s="403"/>
      <c r="C152" s="403"/>
      <c r="D152" s="403"/>
      <c r="E152" s="403"/>
      <c r="F152" s="403"/>
      <c r="G152" s="403"/>
      <c r="H152" s="403"/>
      <c r="I152" s="403"/>
      <c r="J152" s="403"/>
      <c r="K152" s="403"/>
      <c r="L152" s="403"/>
    </row>
    <row r="153" spans="1:12">
      <c r="A153" s="403"/>
      <c r="B153" s="403"/>
      <c r="C153" s="403"/>
      <c r="D153" s="403"/>
      <c r="E153" s="403"/>
      <c r="F153" s="403"/>
      <c r="G153" s="403"/>
      <c r="H153" s="403"/>
      <c r="I153" s="403"/>
      <c r="J153" s="403"/>
      <c r="K153" s="403"/>
      <c r="L153" s="403"/>
    </row>
    <row r="154" spans="1:12">
      <c r="A154" s="473"/>
      <c r="B154" s="473"/>
      <c r="C154" s="473"/>
      <c r="D154" s="473"/>
      <c r="E154" s="473"/>
      <c r="F154" s="473"/>
      <c r="G154" s="473"/>
      <c r="H154" s="473"/>
      <c r="I154" s="473"/>
      <c r="J154" s="473"/>
      <c r="K154" s="473"/>
      <c r="L154" s="473"/>
    </row>
    <row r="155" spans="1:12">
      <c r="A155" s="473"/>
      <c r="B155" s="473"/>
      <c r="C155" s="473"/>
      <c r="D155" s="473"/>
      <c r="E155" s="473"/>
      <c r="F155" s="473"/>
      <c r="G155" s="473"/>
      <c r="H155" s="473"/>
      <c r="I155" s="473"/>
      <c r="J155" s="473"/>
      <c r="K155" s="473"/>
      <c r="L155" s="473"/>
    </row>
    <row r="156" spans="1:12">
      <c r="A156" s="473"/>
      <c r="B156" s="473"/>
      <c r="C156" s="473"/>
      <c r="D156" s="473"/>
      <c r="E156" s="473"/>
      <c r="F156" s="473"/>
      <c r="G156" s="473"/>
      <c r="H156" s="473"/>
      <c r="I156" s="473"/>
      <c r="J156" s="473"/>
      <c r="K156" s="473"/>
      <c r="L156" s="473"/>
    </row>
    <row r="157" spans="1:12">
      <c r="A157" s="473"/>
      <c r="B157" s="473"/>
      <c r="C157" s="473"/>
      <c r="D157" s="473"/>
      <c r="E157" s="473"/>
      <c r="F157" s="473"/>
      <c r="G157" s="473"/>
      <c r="H157" s="473"/>
      <c r="I157" s="473"/>
      <c r="J157" s="473"/>
      <c r="K157" s="473"/>
      <c r="L157" s="473"/>
    </row>
    <row r="158" spans="1:12">
      <c r="A158" s="473"/>
      <c r="B158" s="473"/>
      <c r="C158" s="473"/>
      <c r="D158" s="473"/>
      <c r="E158" s="473"/>
      <c r="F158" s="473"/>
      <c r="G158" s="473"/>
      <c r="H158" s="473"/>
      <c r="I158" s="473"/>
      <c r="J158" s="473"/>
      <c r="K158" s="473"/>
      <c r="L158" s="473"/>
    </row>
    <row r="159" spans="1:12">
      <c r="A159" s="473"/>
      <c r="B159" s="473"/>
      <c r="C159" s="473"/>
      <c r="D159" s="473"/>
      <c r="E159" s="473"/>
      <c r="F159" s="473"/>
      <c r="G159" s="473"/>
      <c r="H159" s="473"/>
      <c r="I159" s="473"/>
      <c r="J159" s="473"/>
      <c r="K159" s="473"/>
      <c r="L159" s="473"/>
    </row>
    <row r="160" spans="1:12">
      <c r="A160" s="473"/>
      <c r="B160" s="473"/>
      <c r="C160" s="473"/>
      <c r="D160" s="473"/>
      <c r="E160" s="473"/>
      <c r="F160" s="473"/>
      <c r="G160" s="473"/>
      <c r="H160" s="473"/>
      <c r="I160" s="473"/>
      <c r="J160" s="473"/>
      <c r="K160" s="473"/>
      <c r="L160" s="473"/>
    </row>
    <row r="161" spans="1:12">
      <c r="A161" s="473"/>
      <c r="B161" s="473"/>
      <c r="C161" s="473"/>
      <c r="D161" s="473"/>
      <c r="E161" s="473"/>
      <c r="F161" s="473"/>
      <c r="G161" s="473"/>
      <c r="H161" s="473"/>
      <c r="I161" s="473"/>
      <c r="J161" s="473"/>
      <c r="K161" s="473"/>
      <c r="L161" s="473"/>
    </row>
    <row r="162" spans="1:12">
      <c r="A162" s="473"/>
      <c r="B162" s="473"/>
      <c r="C162" s="473"/>
      <c r="D162" s="473"/>
      <c r="E162" s="473"/>
      <c r="F162" s="473"/>
      <c r="G162" s="473"/>
      <c r="H162" s="473"/>
      <c r="I162" s="473"/>
      <c r="J162" s="473"/>
      <c r="K162" s="473"/>
      <c r="L162" s="473"/>
    </row>
    <row r="163" spans="1:12">
      <c r="A163" s="473"/>
      <c r="B163" s="473"/>
      <c r="C163" s="473"/>
      <c r="D163" s="473"/>
      <c r="E163" s="473"/>
      <c r="F163" s="473"/>
      <c r="G163" s="473"/>
      <c r="H163" s="473"/>
      <c r="I163" s="473"/>
      <c r="J163" s="473"/>
      <c r="K163" s="473"/>
      <c r="L163" s="473"/>
    </row>
    <row r="164" spans="1:12">
      <c r="A164" s="473"/>
      <c r="B164" s="473"/>
      <c r="C164" s="473"/>
      <c r="D164" s="473"/>
      <c r="E164" s="473"/>
      <c r="F164" s="473"/>
      <c r="G164" s="473"/>
      <c r="H164" s="473"/>
      <c r="I164" s="473"/>
      <c r="J164" s="473"/>
      <c r="K164" s="473"/>
      <c r="L164" s="473"/>
    </row>
    <row r="165" spans="1:12">
      <c r="A165" s="473"/>
      <c r="B165" s="473"/>
      <c r="C165" s="473"/>
      <c r="D165" s="473"/>
      <c r="E165" s="473"/>
      <c r="F165" s="473"/>
      <c r="G165" s="473"/>
      <c r="H165" s="473"/>
      <c r="I165" s="473"/>
      <c r="J165" s="473"/>
      <c r="K165" s="473"/>
      <c r="L165" s="473"/>
    </row>
    <row r="166" spans="1:12">
      <c r="A166" s="473"/>
      <c r="B166" s="473"/>
      <c r="C166" s="473"/>
      <c r="D166" s="473"/>
      <c r="E166" s="473"/>
      <c r="F166" s="473"/>
      <c r="G166" s="473"/>
      <c r="H166" s="473"/>
      <c r="I166" s="473"/>
      <c r="J166" s="473"/>
      <c r="K166" s="473"/>
      <c r="L166" s="473"/>
    </row>
    <row r="167" spans="1:12">
      <c r="A167" s="473"/>
      <c r="B167" s="473"/>
      <c r="C167" s="473"/>
      <c r="D167" s="473"/>
      <c r="E167" s="473"/>
      <c r="F167" s="473"/>
      <c r="G167" s="473"/>
      <c r="H167" s="473"/>
      <c r="I167" s="473"/>
      <c r="J167" s="473"/>
      <c r="K167" s="473"/>
      <c r="L167" s="473"/>
    </row>
    <row r="168" spans="1:12">
      <c r="A168" s="473"/>
      <c r="B168" s="473"/>
      <c r="C168" s="473"/>
      <c r="D168" s="473"/>
      <c r="E168" s="473"/>
      <c r="F168" s="473"/>
      <c r="G168" s="473"/>
      <c r="H168" s="473"/>
      <c r="I168" s="473"/>
      <c r="J168" s="473"/>
      <c r="K168" s="473"/>
      <c r="L168" s="473"/>
    </row>
    <row r="169" spans="1:12">
      <c r="A169" s="473"/>
      <c r="B169" s="473"/>
      <c r="C169" s="473"/>
      <c r="D169" s="473"/>
      <c r="E169" s="473"/>
      <c r="F169" s="473"/>
      <c r="G169" s="473"/>
      <c r="H169" s="473"/>
      <c r="I169" s="473"/>
      <c r="J169" s="473"/>
      <c r="K169" s="473"/>
      <c r="L169" s="473"/>
    </row>
    <row r="170" spans="1:12">
      <c r="A170" s="473"/>
      <c r="B170" s="473"/>
      <c r="C170" s="473"/>
      <c r="D170" s="473"/>
      <c r="E170" s="473"/>
      <c r="F170" s="473"/>
      <c r="G170" s="473"/>
      <c r="H170" s="473"/>
      <c r="I170" s="473"/>
      <c r="J170" s="473"/>
      <c r="K170" s="473"/>
      <c r="L170" s="473"/>
    </row>
    <row r="171" spans="1:12">
      <c r="A171" s="473"/>
      <c r="B171" s="473"/>
      <c r="C171" s="473"/>
      <c r="D171" s="473"/>
      <c r="E171" s="473"/>
      <c r="F171" s="473"/>
      <c r="G171" s="473"/>
      <c r="H171" s="473"/>
      <c r="I171" s="473"/>
      <c r="J171" s="473"/>
      <c r="K171" s="473"/>
      <c r="L171" s="473"/>
    </row>
    <row r="172" spans="1:12">
      <c r="A172" s="473"/>
      <c r="B172" s="473"/>
      <c r="C172" s="473"/>
      <c r="D172" s="473"/>
      <c r="E172" s="473"/>
      <c r="F172" s="473"/>
      <c r="G172" s="473"/>
      <c r="H172" s="473"/>
      <c r="I172" s="473"/>
      <c r="J172" s="473"/>
      <c r="K172" s="473"/>
      <c r="L172" s="473"/>
    </row>
    <row r="173" spans="1:12">
      <c r="A173" s="473"/>
      <c r="B173" s="473"/>
      <c r="C173" s="473"/>
      <c r="D173" s="473"/>
      <c r="E173" s="473"/>
      <c r="F173" s="473"/>
      <c r="G173" s="473"/>
      <c r="H173" s="473"/>
      <c r="I173" s="473"/>
      <c r="J173" s="473"/>
      <c r="K173" s="473"/>
      <c r="L173" s="473"/>
    </row>
    <row r="174" spans="1:12">
      <c r="A174" s="473"/>
      <c r="B174" s="473"/>
      <c r="C174" s="473"/>
      <c r="D174" s="473"/>
      <c r="E174" s="473"/>
      <c r="F174" s="473"/>
      <c r="G174" s="473"/>
      <c r="H174" s="473"/>
      <c r="I174" s="473"/>
      <c r="J174" s="473"/>
      <c r="K174" s="473"/>
      <c r="L174" s="473"/>
    </row>
    <row r="175" spans="1:12">
      <c r="A175" s="473"/>
      <c r="B175" s="473"/>
      <c r="C175" s="473"/>
      <c r="D175" s="473"/>
      <c r="E175" s="473"/>
      <c r="F175" s="473"/>
      <c r="G175" s="473"/>
      <c r="H175" s="473"/>
      <c r="I175" s="473"/>
      <c r="J175" s="473"/>
      <c r="K175" s="473"/>
      <c r="L175" s="473"/>
    </row>
    <row r="176" spans="1:12">
      <c r="A176" s="473"/>
      <c r="B176" s="473"/>
      <c r="C176" s="473"/>
      <c r="D176" s="473"/>
      <c r="E176" s="473"/>
      <c r="F176" s="473"/>
      <c r="G176" s="473"/>
      <c r="H176" s="473"/>
      <c r="I176" s="473"/>
      <c r="J176" s="473"/>
      <c r="K176" s="473"/>
      <c r="L176" s="473"/>
    </row>
    <row r="177" spans="1:12">
      <c r="A177" s="473"/>
      <c r="B177" s="473"/>
      <c r="C177" s="473"/>
      <c r="D177" s="473"/>
      <c r="E177" s="473"/>
      <c r="F177" s="473"/>
      <c r="G177" s="473"/>
      <c r="H177" s="473"/>
      <c r="I177" s="473"/>
      <c r="J177" s="473"/>
      <c r="K177" s="473"/>
      <c r="L177" s="473"/>
    </row>
    <row r="178" spans="1:12">
      <c r="A178" s="473"/>
      <c r="B178" s="473"/>
      <c r="C178" s="473"/>
      <c r="D178" s="473"/>
      <c r="E178" s="473"/>
      <c r="F178" s="473"/>
      <c r="G178" s="473"/>
      <c r="H178" s="473"/>
      <c r="I178" s="473"/>
      <c r="J178" s="473"/>
      <c r="K178" s="473"/>
      <c r="L178" s="473"/>
    </row>
    <row r="179" spans="1:12">
      <c r="A179" s="473"/>
      <c r="B179" s="473"/>
      <c r="C179" s="473"/>
      <c r="D179" s="473"/>
      <c r="E179" s="473"/>
      <c r="F179" s="473"/>
      <c r="G179" s="473"/>
      <c r="H179" s="473"/>
      <c r="I179" s="473"/>
      <c r="J179" s="473"/>
      <c r="K179" s="473"/>
      <c r="L179" s="473"/>
    </row>
    <row r="180" spans="1:12">
      <c r="A180" s="473"/>
      <c r="B180" s="473"/>
      <c r="C180" s="473"/>
      <c r="D180" s="473"/>
      <c r="E180" s="473"/>
      <c r="F180" s="473"/>
      <c r="G180" s="473"/>
      <c r="H180" s="473"/>
      <c r="I180" s="473"/>
      <c r="J180" s="473"/>
      <c r="K180" s="473"/>
      <c r="L180" s="473"/>
    </row>
    <row r="181" spans="1:12">
      <c r="A181" s="473"/>
      <c r="B181" s="473"/>
      <c r="C181" s="473"/>
      <c r="D181" s="473"/>
      <c r="E181" s="473"/>
      <c r="F181" s="473"/>
      <c r="G181" s="473"/>
      <c r="H181" s="473"/>
      <c r="I181" s="473"/>
      <c r="J181" s="473"/>
      <c r="K181" s="473"/>
      <c r="L181" s="473"/>
    </row>
    <row r="182" spans="1:12">
      <c r="A182" s="473"/>
      <c r="B182" s="473"/>
      <c r="C182" s="473"/>
      <c r="D182" s="473"/>
      <c r="E182" s="473"/>
      <c r="F182" s="473"/>
      <c r="G182" s="473"/>
      <c r="H182" s="473"/>
      <c r="I182" s="473"/>
      <c r="J182" s="473"/>
      <c r="K182" s="473"/>
      <c r="L182" s="473"/>
    </row>
    <row r="183" spans="1:12">
      <c r="A183" s="473"/>
      <c r="B183" s="473"/>
      <c r="C183" s="473"/>
      <c r="D183" s="473"/>
      <c r="E183" s="473"/>
      <c r="F183" s="473"/>
      <c r="G183" s="473"/>
      <c r="H183" s="473"/>
      <c r="I183" s="473"/>
      <c r="J183" s="473"/>
      <c r="K183" s="473"/>
      <c r="L183" s="473"/>
    </row>
    <row r="184" spans="1:12">
      <c r="A184" s="473"/>
      <c r="B184" s="473"/>
      <c r="C184" s="473"/>
      <c r="D184" s="473"/>
      <c r="E184" s="473"/>
      <c r="F184" s="473"/>
      <c r="G184" s="473"/>
      <c r="H184" s="473"/>
      <c r="I184" s="473"/>
      <c r="J184" s="473"/>
      <c r="K184" s="473"/>
      <c r="L184" s="473"/>
    </row>
    <row r="185" spans="1:12">
      <c r="A185" s="473"/>
      <c r="B185" s="473"/>
      <c r="C185" s="473"/>
      <c r="D185" s="473"/>
      <c r="E185" s="473"/>
      <c r="F185" s="473"/>
      <c r="G185" s="473"/>
      <c r="H185" s="473"/>
      <c r="I185" s="473"/>
      <c r="J185" s="473"/>
      <c r="K185" s="473"/>
      <c r="L185" s="473"/>
    </row>
    <row r="186" spans="1:12">
      <c r="A186" s="473"/>
      <c r="B186" s="473"/>
      <c r="C186" s="473"/>
      <c r="D186" s="473"/>
      <c r="E186" s="473"/>
      <c r="F186" s="473"/>
      <c r="G186" s="473"/>
      <c r="H186" s="473"/>
      <c r="I186" s="473"/>
      <c r="J186" s="473"/>
      <c r="K186" s="473"/>
      <c r="L186" s="473"/>
    </row>
    <row r="187" spans="1:12">
      <c r="A187" s="473"/>
      <c r="B187" s="473"/>
      <c r="C187" s="473"/>
      <c r="D187" s="473"/>
      <c r="E187" s="473"/>
      <c r="F187" s="473"/>
      <c r="G187" s="473"/>
      <c r="H187" s="473"/>
      <c r="I187" s="473"/>
      <c r="J187" s="473"/>
      <c r="K187" s="473"/>
      <c r="L187" s="473"/>
    </row>
    <row r="188" spans="1:12">
      <c r="A188" s="473"/>
      <c r="B188" s="473"/>
      <c r="C188" s="473"/>
      <c r="D188" s="473"/>
      <c r="E188" s="473"/>
      <c r="F188" s="473"/>
      <c r="G188" s="473"/>
      <c r="H188" s="473"/>
      <c r="I188" s="473"/>
      <c r="J188" s="473"/>
      <c r="K188" s="473"/>
      <c r="L188" s="473"/>
    </row>
    <row r="189" spans="1:12">
      <c r="A189" s="473"/>
      <c r="B189" s="473"/>
      <c r="C189" s="473"/>
      <c r="D189" s="473"/>
      <c r="E189" s="473"/>
      <c r="F189" s="473"/>
      <c r="G189" s="473"/>
      <c r="H189" s="473"/>
      <c r="I189" s="473"/>
      <c r="J189" s="473"/>
      <c r="K189" s="473"/>
      <c r="L189" s="473"/>
    </row>
    <row r="190" spans="1:12">
      <c r="A190" s="473"/>
      <c r="B190" s="473"/>
      <c r="C190" s="473"/>
      <c r="D190" s="473"/>
      <c r="E190" s="473"/>
      <c r="F190" s="473"/>
      <c r="G190" s="473"/>
      <c r="H190" s="473"/>
      <c r="I190" s="473"/>
      <c r="J190" s="473"/>
      <c r="K190" s="473"/>
      <c r="L190" s="473"/>
    </row>
    <row r="191" spans="1:12">
      <c r="A191" s="473"/>
      <c r="B191" s="473"/>
      <c r="C191" s="473"/>
      <c r="D191" s="473"/>
      <c r="E191" s="473"/>
      <c r="F191" s="473"/>
      <c r="G191" s="473"/>
      <c r="H191" s="473"/>
      <c r="I191" s="473"/>
      <c r="J191" s="473"/>
      <c r="K191" s="473"/>
      <c r="L191" s="473"/>
    </row>
    <row r="192" spans="1:12">
      <c r="A192" s="473"/>
      <c r="B192" s="473"/>
      <c r="C192" s="473"/>
      <c r="D192" s="473"/>
      <c r="E192" s="473"/>
      <c r="F192" s="473"/>
      <c r="G192" s="473"/>
      <c r="H192" s="473"/>
      <c r="I192" s="473"/>
      <c r="J192" s="473"/>
      <c r="K192" s="473"/>
      <c r="L192" s="473"/>
    </row>
    <row r="193" spans="1:12">
      <c r="A193" s="473"/>
      <c r="B193" s="473"/>
      <c r="C193" s="473"/>
      <c r="D193" s="473"/>
      <c r="E193" s="473"/>
      <c r="F193" s="473"/>
      <c r="G193" s="473"/>
      <c r="H193" s="473"/>
      <c r="I193" s="473"/>
      <c r="J193" s="473"/>
      <c r="K193" s="473"/>
      <c r="L193" s="473"/>
    </row>
    <row r="194" spans="1:12">
      <c r="A194" s="473"/>
      <c r="B194" s="473"/>
      <c r="C194" s="473"/>
      <c r="D194" s="473"/>
      <c r="E194" s="473"/>
      <c r="F194" s="473"/>
      <c r="G194" s="473"/>
      <c r="H194" s="473"/>
      <c r="I194" s="473"/>
      <c r="J194" s="473"/>
      <c r="K194" s="473"/>
      <c r="L194" s="473"/>
    </row>
    <row r="195" spans="1:12">
      <c r="A195" s="473"/>
      <c r="B195" s="473"/>
      <c r="C195" s="473"/>
      <c r="D195" s="473"/>
      <c r="E195" s="473"/>
      <c r="F195" s="473"/>
      <c r="G195" s="473"/>
      <c r="H195" s="473"/>
      <c r="I195" s="473"/>
      <c r="J195" s="473"/>
      <c r="K195" s="473"/>
      <c r="L195" s="473"/>
    </row>
    <row r="196" spans="1:12">
      <c r="A196" s="473"/>
      <c r="B196" s="473"/>
      <c r="C196" s="473"/>
      <c r="D196" s="473"/>
      <c r="E196" s="473"/>
      <c r="F196" s="473"/>
      <c r="G196" s="473"/>
      <c r="H196" s="473"/>
      <c r="I196" s="473"/>
      <c r="J196" s="473"/>
      <c r="K196" s="473"/>
      <c r="L196" s="473"/>
    </row>
    <row r="197" spans="1:12">
      <c r="A197" s="473"/>
      <c r="B197" s="473"/>
      <c r="C197" s="473"/>
      <c r="D197" s="473"/>
      <c r="E197" s="473"/>
      <c r="F197" s="473"/>
      <c r="G197" s="473"/>
      <c r="H197" s="473"/>
      <c r="I197" s="473"/>
      <c r="J197" s="473"/>
      <c r="K197" s="473"/>
      <c r="L197" s="473"/>
    </row>
    <row r="198" spans="1:12">
      <c r="A198" s="473"/>
      <c r="B198" s="473"/>
      <c r="C198" s="473"/>
      <c r="D198" s="473"/>
      <c r="E198" s="473"/>
      <c r="F198" s="473"/>
      <c r="G198" s="473"/>
      <c r="H198" s="473"/>
      <c r="I198" s="473"/>
      <c r="J198" s="473"/>
      <c r="K198" s="473"/>
      <c r="L198" s="473"/>
    </row>
    <row r="199" spans="1:12">
      <c r="A199" s="473"/>
      <c r="B199" s="473"/>
      <c r="C199" s="473"/>
      <c r="D199" s="473"/>
      <c r="E199" s="473"/>
      <c r="F199" s="473"/>
      <c r="G199" s="473"/>
      <c r="H199" s="473"/>
      <c r="I199" s="473"/>
      <c r="J199" s="473"/>
      <c r="K199" s="473"/>
      <c r="L199" s="473"/>
    </row>
    <row r="200" spans="1:12">
      <c r="A200" s="473"/>
      <c r="B200" s="473"/>
      <c r="C200" s="473"/>
      <c r="D200" s="473"/>
      <c r="E200" s="473"/>
      <c r="F200" s="473"/>
      <c r="G200" s="473"/>
      <c r="H200" s="473"/>
      <c r="I200" s="473"/>
      <c r="J200" s="473"/>
      <c r="K200" s="473"/>
      <c r="L200" s="473"/>
    </row>
    <row r="201" spans="1:12">
      <c r="A201" s="473"/>
      <c r="B201" s="473"/>
      <c r="C201" s="473"/>
      <c r="D201" s="473"/>
      <c r="E201" s="473"/>
      <c r="F201" s="473"/>
      <c r="G201" s="473"/>
      <c r="H201" s="473"/>
      <c r="I201" s="473"/>
      <c r="J201" s="473"/>
      <c r="K201" s="473"/>
      <c r="L201" s="473"/>
    </row>
    <row r="202" spans="1:12">
      <c r="A202" s="473"/>
      <c r="B202" s="473"/>
      <c r="C202" s="473"/>
      <c r="D202" s="473"/>
      <c r="E202" s="473"/>
      <c r="F202" s="473"/>
      <c r="G202" s="473"/>
      <c r="H202" s="473"/>
      <c r="I202" s="473"/>
      <c r="J202" s="473"/>
      <c r="K202" s="473"/>
      <c r="L202" s="473"/>
    </row>
    <row r="203" spans="1:12">
      <c r="A203" s="473"/>
      <c r="B203" s="473"/>
      <c r="C203" s="473"/>
      <c r="D203" s="473"/>
      <c r="E203" s="473"/>
      <c r="F203" s="473"/>
      <c r="G203" s="473"/>
      <c r="H203" s="473"/>
      <c r="I203" s="473"/>
      <c r="J203" s="473"/>
      <c r="K203" s="473"/>
      <c r="L203" s="473"/>
    </row>
    <row r="204" spans="1:12">
      <c r="A204" s="473"/>
      <c r="B204" s="473"/>
      <c r="C204" s="473"/>
      <c r="D204" s="473"/>
      <c r="E204" s="473"/>
      <c r="F204" s="473"/>
      <c r="G204" s="473"/>
      <c r="H204" s="473"/>
      <c r="I204" s="473"/>
      <c r="J204" s="473"/>
      <c r="K204" s="473"/>
      <c r="L204" s="473"/>
    </row>
    <row r="205" spans="1:12">
      <c r="A205" s="473"/>
      <c r="B205" s="473"/>
      <c r="C205" s="473"/>
      <c r="D205" s="473"/>
      <c r="E205" s="473"/>
      <c r="F205" s="473"/>
      <c r="G205" s="473"/>
      <c r="H205" s="473"/>
      <c r="I205" s="473"/>
      <c r="J205" s="473"/>
      <c r="K205" s="473"/>
      <c r="L205" s="473"/>
    </row>
    <row r="206" spans="1:12">
      <c r="A206" s="473"/>
      <c r="B206" s="473"/>
      <c r="C206" s="473"/>
      <c r="D206" s="473"/>
      <c r="E206" s="473"/>
      <c r="F206" s="473"/>
      <c r="G206" s="473"/>
      <c r="H206" s="473"/>
      <c r="I206" s="473"/>
      <c r="J206" s="473"/>
      <c r="K206" s="473"/>
      <c r="L206" s="473"/>
    </row>
    <row r="207" spans="1:12">
      <c r="A207" s="473"/>
      <c r="B207" s="473"/>
      <c r="C207" s="473"/>
      <c r="D207" s="473"/>
      <c r="E207" s="473"/>
      <c r="F207" s="473"/>
      <c r="G207" s="473"/>
      <c r="H207" s="473"/>
      <c r="I207" s="473"/>
      <c r="J207" s="473"/>
      <c r="K207" s="473"/>
      <c r="L207" s="473"/>
    </row>
    <row r="208" spans="1:12">
      <c r="A208" s="473"/>
      <c r="B208" s="473"/>
      <c r="C208" s="473"/>
      <c r="D208" s="473"/>
      <c r="E208" s="473"/>
      <c r="F208" s="473"/>
      <c r="G208" s="473"/>
      <c r="H208" s="473"/>
      <c r="I208" s="473"/>
      <c r="J208" s="473"/>
      <c r="K208" s="473"/>
      <c r="L208" s="473"/>
    </row>
    <row r="209" spans="1:12">
      <c r="A209" s="473"/>
      <c r="B209" s="473"/>
      <c r="C209" s="473"/>
      <c r="D209" s="473"/>
      <c r="E209" s="473"/>
      <c r="F209" s="473"/>
      <c r="G209" s="473"/>
      <c r="H209" s="473"/>
      <c r="I209" s="473"/>
      <c r="J209" s="473"/>
      <c r="K209" s="473"/>
      <c r="L209" s="473"/>
    </row>
    <row r="210" spans="1:12">
      <c r="A210" s="473"/>
      <c r="B210" s="473"/>
      <c r="C210" s="473"/>
      <c r="D210" s="473"/>
      <c r="E210" s="473"/>
      <c r="F210" s="473"/>
      <c r="G210" s="473"/>
      <c r="H210" s="473"/>
      <c r="I210" s="473"/>
      <c r="J210" s="473"/>
      <c r="K210" s="473"/>
      <c r="L210" s="473"/>
    </row>
    <row r="211" spans="1:12">
      <c r="A211" s="473"/>
      <c r="B211" s="473"/>
      <c r="C211" s="473"/>
      <c r="D211" s="473"/>
      <c r="E211" s="473"/>
      <c r="F211" s="473"/>
      <c r="G211" s="473"/>
      <c r="H211" s="473"/>
      <c r="I211" s="473"/>
      <c r="J211" s="473"/>
      <c r="K211" s="473"/>
      <c r="L211" s="473"/>
    </row>
    <row r="212" spans="1:12">
      <c r="A212" s="473"/>
      <c r="B212" s="473"/>
      <c r="C212" s="473"/>
      <c r="D212" s="473"/>
      <c r="E212" s="473"/>
      <c r="F212" s="473"/>
      <c r="G212" s="473"/>
      <c r="H212" s="473"/>
      <c r="I212" s="473"/>
      <c r="J212" s="473"/>
      <c r="K212" s="473"/>
      <c r="L212" s="473"/>
    </row>
    <row r="213" spans="1:12">
      <c r="A213" s="473"/>
      <c r="B213" s="473"/>
      <c r="C213" s="473"/>
      <c r="D213" s="473"/>
      <c r="E213" s="473"/>
      <c r="F213" s="473"/>
      <c r="G213" s="473"/>
      <c r="H213" s="473"/>
      <c r="I213" s="473"/>
      <c r="J213" s="473"/>
      <c r="K213" s="473"/>
      <c r="L213" s="473"/>
    </row>
    <row r="214" spans="1:12">
      <c r="A214" s="473"/>
      <c r="B214" s="473"/>
      <c r="C214" s="473"/>
      <c r="D214" s="473"/>
      <c r="E214" s="473"/>
      <c r="F214" s="473"/>
      <c r="G214" s="473"/>
      <c r="H214" s="473"/>
      <c r="I214" s="473"/>
      <c r="J214" s="473"/>
      <c r="K214" s="473"/>
      <c r="L214" s="473"/>
    </row>
    <row r="215" spans="1:12">
      <c r="A215" s="473"/>
      <c r="B215" s="473"/>
      <c r="C215" s="473"/>
      <c r="D215" s="473"/>
      <c r="E215" s="473"/>
      <c r="F215" s="473"/>
      <c r="G215" s="473"/>
      <c r="H215" s="473"/>
      <c r="I215" s="473"/>
      <c r="J215" s="473"/>
      <c r="K215" s="473"/>
      <c r="L215" s="473"/>
    </row>
    <row r="216" spans="1:12">
      <c r="A216" s="473"/>
      <c r="B216" s="473"/>
      <c r="C216" s="473"/>
      <c r="D216" s="473"/>
      <c r="E216" s="473"/>
      <c r="F216" s="473"/>
      <c r="G216" s="473"/>
      <c r="H216" s="473"/>
      <c r="I216" s="473"/>
      <c r="J216" s="473"/>
      <c r="K216" s="473"/>
      <c r="L216" s="473"/>
    </row>
    <row r="217" spans="1:12">
      <c r="A217" s="473"/>
      <c r="B217" s="473"/>
      <c r="C217" s="473"/>
      <c r="D217" s="473"/>
      <c r="E217" s="473"/>
      <c r="F217" s="473"/>
      <c r="G217" s="473"/>
      <c r="H217" s="473"/>
      <c r="I217" s="473"/>
      <c r="J217" s="473"/>
      <c r="K217" s="473"/>
      <c r="L217" s="473"/>
    </row>
    <row r="218" spans="1:12">
      <c r="A218" s="473"/>
      <c r="B218" s="473"/>
      <c r="C218" s="473"/>
      <c r="D218" s="473"/>
      <c r="E218" s="473"/>
      <c r="F218" s="473"/>
      <c r="G218" s="473"/>
      <c r="H218" s="473"/>
      <c r="I218" s="473"/>
      <c r="J218" s="473"/>
      <c r="K218" s="473"/>
      <c r="L218" s="473"/>
    </row>
    <row r="219" spans="1:12">
      <c r="A219" s="473"/>
      <c r="B219" s="473"/>
      <c r="C219" s="473"/>
      <c r="D219" s="473"/>
      <c r="E219" s="473"/>
      <c r="F219" s="473"/>
      <c r="G219" s="473"/>
      <c r="H219" s="473"/>
      <c r="I219" s="473"/>
      <c r="J219" s="473"/>
      <c r="K219" s="473"/>
      <c r="L219" s="473"/>
    </row>
    <row r="220" spans="1:12">
      <c r="A220" s="473"/>
      <c r="B220" s="473"/>
      <c r="C220" s="473"/>
      <c r="D220" s="473"/>
      <c r="E220" s="473"/>
      <c r="F220" s="473"/>
      <c r="G220" s="473"/>
      <c r="H220" s="473"/>
      <c r="I220" s="473"/>
      <c r="J220" s="473"/>
      <c r="K220" s="473"/>
      <c r="L220" s="473"/>
    </row>
    <row r="221" spans="1:12">
      <c r="A221" s="473"/>
      <c r="B221" s="473"/>
      <c r="C221" s="473"/>
      <c r="D221" s="473"/>
      <c r="E221" s="473"/>
      <c r="F221" s="473"/>
      <c r="G221" s="473"/>
      <c r="H221" s="473"/>
      <c r="I221" s="473"/>
      <c r="J221" s="473"/>
      <c r="K221" s="473"/>
      <c r="L221" s="473"/>
    </row>
    <row r="222" spans="1:12">
      <c r="A222" s="473"/>
      <c r="B222" s="473"/>
      <c r="C222" s="473"/>
      <c r="D222" s="473"/>
      <c r="E222" s="473"/>
      <c r="F222" s="473"/>
      <c r="G222" s="473"/>
      <c r="H222" s="473"/>
      <c r="I222" s="473"/>
      <c r="J222" s="473"/>
      <c r="K222" s="473"/>
      <c r="L222" s="473"/>
    </row>
    <row r="223" spans="1:12">
      <c r="A223" s="473"/>
      <c r="B223" s="473"/>
      <c r="C223" s="473"/>
      <c r="D223" s="473"/>
      <c r="E223" s="473"/>
      <c r="F223" s="473"/>
      <c r="G223" s="473"/>
      <c r="H223" s="473"/>
      <c r="I223" s="473"/>
      <c r="J223" s="473"/>
      <c r="K223" s="473"/>
      <c r="L223" s="473"/>
    </row>
    <row r="224" spans="1:12">
      <c r="A224" s="473"/>
      <c r="B224" s="473"/>
      <c r="C224" s="473"/>
      <c r="D224" s="473"/>
      <c r="E224" s="473"/>
      <c r="F224" s="473"/>
      <c r="G224" s="473"/>
      <c r="H224" s="473"/>
      <c r="I224" s="473"/>
      <c r="J224" s="473"/>
      <c r="K224" s="473"/>
      <c r="L224" s="473"/>
    </row>
    <row r="225" spans="1:12">
      <c r="A225" s="473"/>
      <c r="B225" s="473"/>
      <c r="C225" s="473"/>
      <c r="D225" s="473"/>
      <c r="E225" s="473"/>
      <c r="F225" s="473"/>
      <c r="G225" s="473"/>
      <c r="H225" s="473"/>
      <c r="I225" s="473"/>
      <c r="J225" s="473"/>
      <c r="K225" s="473"/>
      <c r="L225" s="473"/>
    </row>
    <row r="226" spans="1:12">
      <c r="A226" s="473"/>
      <c r="B226" s="473"/>
      <c r="C226" s="473"/>
      <c r="D226" s="473"/>
      <c r="E226" s="473"/>
      <c r="F226" s="473"/>
      <c r="G226" s="473"/>
      <c r="H226" s="473"/>
      <c r="I226" s="473"/>
      <c r="J226" s="473"/>
      <c r="K226" s="473"/>
      <c r="L226" s="473"/>
    </row>
    <row r="227" spans="1:12">
      <c r="A227" s="473"/>
      <c r="B227" s="473"/>
      <c r="C227" s="473"/>
      <c r="D227" s="473"/>
      <c r="E227" s="473"/>
      <c r="F227" s="473"/>
      <c r="G227" s="473"/>
      <c r="H227" s="473"/>
      <c r="I227" s="473"/>
      <c r="J227" s="473"/>
      <c r="K227" s="473"/>
      <c r="L227" s="473"/>
    </row>
    <row r="228" spans="1:12">
      <c r="A228" s="473"/>
      <c r="B228" s="473"/>
      <c r="C228" s="473"/>
      <c r="D228" s="473"/>
      <c r="E228" s="473"/>
      <c r="F228" s="473"/>
      <c r="G228" s="473"/>
      <c r="H228" s="473"/>
      <c r="I228" s="473"/>
      <c r="J228" s="473"/>
      <c r="K228" s="473"/>
      <c r="L228" s="473"/>
    </row>
    <row r="229" spans="1:12">
      <c r="A229" s="473"/>
      <c r="B229" s="473"/>
      <c r="C229" s="473"/>
      <c r="D229" s="473"/>
      <c r="E229" s="473"/>
      <c r="F229" s="473"/>
      <c r="G229" s="473"/>
      <c r="H229" s="473"/>
      <c r="I229" s="473"/>
      <c r="J229" s="473"/>
      <c r="K229" s="473"/>
      <c r="L229" s="473"/>
    </row>
    <row r="230" spans="1:12">
      <c r="A230" s="473"/>
      <c r="B230" s="473"/>
      <c r="C230" s="473"/>
      <c r="D230" s="473"/>
      <c r="E230" s="473"/>
      <c r="F230" s="473"/>
      <c r="G230" s="473"/>
      <c r="H230" s="473"/>
      <c r="I230" s="473"/>
      <c r="J230" s="473"/>
      <c r="K230" s="473"/>
      <c r="L230" s="473"/>
    </row>
    <row r="231" spans="1:12">
      <c r="A231" s="473"/>
      <c r="B231" s="473"/>
      <c r="C231" s="473"/>
      <c r="D231" s="473"/>
      <c r="E231" s="473"/>
      <c r="F231" s="473"/>
      <c r="G231" s="473"/>
      <c r="H231" s="473"/>
      <c r="I231" s="473"/>
      <c r="J231" s="473"/>
      <c r="K231" s="473"/>
      <c r="L231" s="473"/>
    </row>
    <row r="232" spans="1:12">
      <c r="A232" s="473"/>
      <c r="B232" s="473"/>
      <c r="C232" s="473"/>
      <c r="D232" s="473"/>
      <c r="E232" s="473"/>
      <c r="F232" s="473"/>
      <c r="G232" s="473"/>
      <c r="H232" s="473"/>
      <c r="I232" s="473"/>
      <c r="J232" s="473"/>
      <c r="K232" s="473"/>
      <c r="L232" s="473"/>
    </row>
    <row r="233" spans="1:12">
      <c r="A233" s="473"/>
      <c r="B233" s="473"/>
      <c r="C233" s="473"/>
      <c r="D233" s="473"/>
      <c r="E233" s="473"/>
      <c r="F233" s="473"/>
      <c r="G233" s="473"/>
      <c r="H233" s="473"/>
      <c r="I233" s="473"/>
      <c r="J233" s="473"/>
      <c r="K233" s="473"/>
      <c r="L233" s="473"/>
    </row>
    <row r="234" spans="1:12">
      <c r="A234" s="473"/>
      <c r="B234" s="473"/>
      <c r="C234" s="473"/>
      <c r="D234" s="473"/>
      <c r="E234" s="473"/>
      <c r="F234" s="473"/>
      <c r="G234" s="473"/>
      <c r="H234" s="473"/>
      <c r="I234" s="473"/>
      <c r="J234" s="473"/>
      <c r="K234" s="473"/>
      <c r="L234" s="473"/>
    </row>
    <row r="235" spans="1:12">
      <c r="A235" s="473"/>
      <c r="B235" s="473"/>
      <c r="C235" s="473"/>
      <c r="D235" s="473"/>
      <c r="E235" s="473"/>
      <c r="F235" s="473"/>
      <c r="G235" s="473"/>
      <c r="H235" s="473"/>
      <c r="I235" s="473"/>
      <c r="J235" s="473"/>
      <c r="K235" s="473"/>
      <c r="L235" s="473"/>
    </row>
    <row r="236" spans="1:12">
      <c r="A236" s="473"/>
      <c r="B236" s="473"/>
      <c r="C236" s="473"/>
      <c r="D236" s="473"/>
      <c r="E236" s="473"/>
      <c r="F236" s="473"/>
      <c r="G236" s="473"/>
      <c r="H236" s="473"/>
      <c r="I236" s="473"/>
      <c r="J236" s="473"/>
      <c r="K236" s="473"/>
      <c r="L236" s="473"/>
    </row>
    <row r="237" spans="1:12">
      <c r="A237" s="473"/>
      <c r="B237" s="473"/>
      <c r="C237" s="473"/>
      <c r="D237" s="473"/>
      <c r="E237" s="473"/>
      <c r="F237" s="473"/>
      <c r="G237" s="473"/>
      <c r="H237" s="473"/>
      <c r="I237" s="473"/>
      <c r="J237" s="473"/>
      <c r="K237" s="473"/>
      <c r="L237" s="473"/>
    </row>
    <row r="238" spans="1:12">
      <c r="A238" s="473"/>
      <c r="B238" s="473"/>
      <c r="C238" s="473"/>
      <c r="D238" s="473"/>
      <c r="E238" s="473"/>
      <c r="F238" s="473"/>
      <c r="G238" s="473"/>
      <c r="H238" s="473"/>
      <c r="I238" s="473"/>
      <c r="J238" s="473"/>
      <c r="K238" s="473"/>
      <c r="L238" s="473"/>
    </row>
    <row r="239" spans="1:12">
      <c r="A239" s="473"/>
      <c r="B239" s="473"/>
      <c r="C239" s="473"/>
      <c r="D239" s="473"/>
      <c r="E239" s="473"/>
      <c r="F239" s="473"/>
      <c r="G239" s="473"/>
      <c r="H239" s="473"/>
      <c r="I239" s="473"/>
      <c r="J239" s="473"/>
      <c r="K239" s="473"/>
      <c r="L239" s="473"/>
    </row>
    <row r="240" spans="1:12">
      <c r="A240" s="473"/>
      <c r="B240" s="473"/>
      <c r="C240" s="473"/>
      <c r="D240" s="473"/>
      <c r="E240" s="473"/>
      <c r="F240" s="473"/>
      <c r="G240" s="473"/>
      <c r="H240" s="473"/>
      <c r="I240" s="473"/>
      <c r="J240" s="473"/>
      <c r="K240" s="473"/>
      <c r="L240" s="473"/>
    </row>
    <row r="241" spans="1:12">
      <c r="A241" s="473"/>
      <c r="B241" s="473"/>
      <c r="C241" s="473"/>
      <c r="D241" s="473"/>
      <c r="E241" s="473"/>
      <c r="F241" s="473"/>
      <c r="G241" s="473"/>
      <c r="H241" s="473"/>
      <c r="I241" s="473"/>
      <c r="J241" s="473"/>
      <c r="K241" s="473"/>
      <c r="L241" s="473"/>
    </row>
    <row r="242" spans="1:12">
      <c r="A242" s="473"/>
      <c r="B242" s="473"/>
      <c r="C242" s="473"/>
      <c r="D242" s="473"/>
      <c r="E242" s="473"/>
      <c r="F242" s="473"/>
      <c r="G242" s="473"/>
      <c r="H242" s="473"/>
      <c r="I242" s="473"/>
      <c r="J242" s="473"/>
      <c r="K242" s="473"/>
      <c r="L242" s="473"/>
    </row>
    <row r="243" spans="1:12">
      <c r="A243" s="473"/>
      <c r="B243" s="473"/>
      <c r="C243" s="473"/>
      <c r="D243" s="473"/>
      <c r="E243" s="473"/>
      <c r="F243" s="473"/>
      <c r="G243" s="473"/>
      <c r="H243" s="473"/>
      <c r="I243" s="473"/>
      <c r="J243" s="473"/>
      <c r="K243" s="473"/>
      <c r="L243" s="473"/>
    </row>
    <row r="244" spans="1:12">
      <c r="A244" s="473"/>
      <c r="B244" s="473"/>
      <c r="C244" s="473"/>
      <c r="D244" s="473"/>
      <c r="E244" s="473"/>
      <c r="F244" s="473"/>
      <c r="G244" s="473"/>
      <c r="H244" s="473"/>
      <c r="I244" s="473"/>
      <c r="J244" s="473"/>
      <c r="K244" s="473"/>
      <c r="L244" s="473"/>
    </row>
    <row r="245" spans="1:12">
      <c r="A245" s="473"/>
      <c r="B245" s="473"/>
      <c r="C245" s="473"/>
      <c r="D245" s="473"/>
      <c r="E245" s="473"/>
      <c r="F245" s="473"/>
      <c r="G245" s="473"/>
      <c r="H245" s="473"/>
      <c r="I245" s="473"/>
      <c r="J245" s="473"/>
      <c r="K245" s="473"/>
      <c r="L245" s="473"/>
    </row>
    <row r="246" spans="1:12">
      <c r="A246" s="473"/>
      <c r="B246" s="473"/>
      <c r="C246" s="473"/>
      <c r="D246" s="473"/>
      <c r="E246" s="473"/>
      <c r="F246" s="473"/>
      <c r="G246" s="473"/>
      <c r="H246" s="473"/>
      <c r="I246" s="473"/>
      <c r="J246" s="473"/>
      <c r="K246" s="473"/>
      <c r="L246" s="473"/>
    </row>
    <row r="247" spans="1:12">
      <c r="A247" s="473"/>
      <c r="B247" s="473"/>
      <c r="C247" s="473"/>
      <c r="D247" s="473"/>
      <c r="E247" s="473"/>
      <c r="F247" s="473"/>
      <c r="G247" s="473"/>
      <c r="H247" s="473"/>
      <c r="I247" s="473"/>
      <c r="J247" s="473"/>
      <c r="K247" s="473"/>
      <c r="L247" s="473"/>
    </row>
    <row r="248" spans="1:12">
      <c r="A248" s="473"/>
      <c r="B248" s="473"/>
      <c r="C248" s="473"/>
      <c r="D248" s="473"/>
      <c r="E248" s="473"/>
      <c r="F248" s="473"/>
      <c r="G248" s="473"/>
      <c r="H248" s="473"/>
      <c r="I248" s="473"/>
      <c r="J248" s="473"/>
      <c r="K248" s="473"/>
      <c r="L248" s="473"/>
    </row>
    <row r="249" spans="1:12">
      <c r="A249" s="473"/>
      <c r="B249" s="473"/>
      <c r="C249" s="473"/>
      <c r="D249" s="473"/>
      <c r="E249" s="473"/>
      <c r="F249" s="473"/>
      <c r="G249" s="473"/>
      <c r="H249" s="473"/>
      <c r="I249" s="473"/>
      <c r="J249" s="473"/>
      <c r="K249" s="473"/>
      <c r="L249" s="473"/>
    </row>
    <row r="250" spans="1:12">
      <c r="A250" s="473"/>
      <c r="B250" s="473"/>
      <c r="C250" s="473"/>
      <c r="D250" s="473"/>
      <c r="E250" s="473"/>
      <c r="F250" s="473"/>
      <c r="G250" s="473"/>
      <c r="H250" s="473"/>
      <c r="I250" s="473"/>
      <c r="J250" s="473"/>
      <c r="K250" s="473"/>
      <c r="L250" s="473"/>
    </row>
    <row r="251" spans="1:12">
      <c r="A251" s="473"/>
      <c r="B251" s="473"/>
      <c r="C251" s="473"/>
      <c r="D251" s="473"/>
      <c r="E251" s="473"/>
      <c r="F251" s="473"/>
      <c r="G251" s="473"/>
      <c r="H251" s="473"/>
      <c r="I251" s="473"/>
      <c r="J251" s="473"/>
      <c r="K251" s="473"/>
      <c r="L251" s="473"/>
    </row>
    <row r="252" spans="1:12">
      <c r="A252" s="473"/>
      <c r="B252" s="473"/>
      <c r="C252" s="473"/>
      <c r="D252" s="473"/>
      <c r="E252" s="473"/>
      <c r="F252" s="473"/>
      <c r="G252" s="473"/>
      <c r="H252" s="473"/>
      <c r="I252" s="473"/>
      <c r="J252" s="473"/>
      <c r="K252" s="473"/>
      <c r="L252" s="473"/>
    </row>
    <row r="253" spans="1:12">
      <c r="A253" s="473"/>
      <c r="B253" s="473"/>
      <c r="C253" s="473"/>
      <c r="D253" s="473"/>
      <c r="E253" s="473"/>
      <c r="F253" s="473"/>
      <c r="G253" s="473"/>
      <c r="H253" s="473"/>
      <c r="I253" s="473"/>
      <c r="J253" s="473"/>
      <c r="K253" s="473"/>
      <c r="L253" s="473"/>
    </row>
    <row r="254" spans="1:12">
      <c r="A254" s="473"/>
      <c r="B254" s="473"/>
      <c r="C254" s="473"/>
      <c r="D254" s="473"/>
      <c r="E254" s="473"/>
      <c r="F254" s="473"/>
      <c r="G254" s="473"/>
      <c r="H254" s="473"/>
      <c r="I254" s="473"/>
      <c r="J254" s="473"/>
      <c r="K254" s="473"/>
      <c r="L254" s="473"/>
    </row>
    <row r="255" spans="1:12">
      <c r="A255" s="473"/>
      <c r="B255" s="473"/>
      <c r="C255" s="473"/>
      <c r="D255" s="473"/>
      <c r="E255" s="473"/>
      <c r="F255" s="473"/>
      <c r="G255" s="473"/>
      <c r="H255" s="473"/>
      <c r="I255" s="473"/>
      <c r="J255" s="473"/>
      <c r="K255" s="473"/>
      <c r="L255" s="473"/>
    </row>
    <row r="256" spans="1:12">
      <c r="A256" s="473"/>
      <c r="B256" s="473"/>
      <c r="C256" s="473"/>
      <c r="D256" s="473"/>
      <c r="E256" s="473"/>
      <c r="F256" s="473"/>
      <c r="G256" s="473"/>
      <c r="H256" s="473"/>
      <c r="I256" s="473"/>
      <c r="J256" s="473"/>
      <c r="K256" s="473"/>
      <c r="L256" s="473"/>
    </row>
    <row r="257" spans="1:12">
      <c r="A257" s="473"/>
      <c r="B257" s="473"/>
      <c r="C257" s="473"/>
      <c r="D257" s="473"/>
      <c r="E257" s="473"/>
      <c r="F257" s="473"/>
      <c r="G257" s="473"/>
      <c r="H257" s="473"/>
      <c r="I257" s="473"/>
      <c r="J257" s="473"/>
      <c r="K257" s="473"/>
      <c r="L257" s="473"/>
    </row>
    <row r="258" spans="1:12">
      <c r="A258" s="473"/>
      <c r="B258" s="473"/>
      <c r="C258" s="473"/>
      <c r="D258" s="473"/>
      <c r="E258" s="473"/>
      <c r="F258" s="473"/>
      <c r="G258" s="473"/>
      <c r="H258" s="473"/>
      <c r="I258" s="473"/>
      <c r="J258" s="473"/>
      <c r="K258" s="473"/>
      <c r="L258" s="473"/>
    </row>
    <row r="259" spans="1:12">
      <c r="A259" s="473"/>
      <c r="B259" s="473"/>
      <c r="C259" s="473"/>
      <c r="D259" s="473"/>
      <c r="E259" s="473"/>
      <c r="F259" s="473"/>
      <c r="G259" s="473"/>
      <c r="H259" s="473"/>
      <c r="I259" s="473"/>
      <c r="J259" s="473"/>
      <c r="K259" s="473"/>
      <c r="L259" s="473"/>
    </row>
    <row r="260" spans="1:12">
      <c r="A260" s="473"/>
      <c r="B260" s="473"/>
      <c r="C260" s="473"/>
      <c r="D260" s="473"/>
      <c r="E260" s="473"/>
      <c r="F260" s="473"/>
      <c r="G260" s="473"/>
      <c r="H260" s="473"/>
      <c r="I260" s="473"/>
      <c r="J260" s="473"/>
      <c r="K260" s="473"/>
      <c r="L260" s="473"/>
    </row>
    <row r="261" spans="1:12">
      <c r="A261" s="473"/>
      <c r="B261" s="473"/>
      <c r="C261" s="473"/>
      <c r="D261" s="473"/>
      <c r="E261" s="473"/>
      <c r="F261" s="473"/>
      <c r="G261" s="473"/>
      <c r="H261" s="473"/>
      <c r="I261" s="473"/>
      <c r="J261" s="473"/>
      <c r="K261" s="473"/>
      <c r="L261" s="473"/>
    </row>
    <row r="262" spans="1:12">
      <c r="A262" s="473"/>
      <c r="B262" s="473"/>
      <c r="C262" s="473"/>
      <c r="D262" s="473"/>
      <c r="E262" s="473"/>
      <c r="F262" s="473"/>
      <c r="G262" s="473"/>
      <c r="H262" s="473"/>
      <c r="I262" s="473"/>
      <c r="J262" s="473"/>
      <c r="K262" s="473"/>
      <c r="L262" s="473"/>
    </row>
    <row r="263" spans="1:12">
      <c r="A263" s="473"/>
      <c r="B263" s="473"/>
      <c r="C263" s="473"/>
      <c r="D263" s="473"/>
      <c r="E263" s="473"/>
      <c r="F263" s="473"/>
      <c r="G263" s="473"/>
      <c r="H263" s="473"/>
      <c r="I263" s="473"/>
      <c r="J263" s="473"/>
      <c r="K263" s="473"/>
      <c r="L263" s="473"/>
    </row>
    <row r="264" spans="1:12">
      <c r="A264" s="473"/>
      <c r="B264" s="473"/>
      <c r="C264" s="473"/>
      <c r="D264" s="473"/>
      <c r="E264" s="473"/>
      <c r="F264" s="473"/>
      <c r="G264" s="473"/>
      <c r="H264" s="473"/>
      <c r="I264" s="473"/>
      <c r="J264" s="473"/>
      <c r="K264" s="473"/>
      <c r="L264" s="473"/>
    </row>
    <row r="265" spans="1:12">
      <c r="A265" s="473"/>
      <c r="B265" s="473"/>
      <c r="C265" s="473"/>
      <c r="D265" s="473"/>
      <c r="E265" s="473"/>
      <c r="F265" s="473"/>
      <c r="G265" s="473"/>
      <c r="H265" s="473"/>
      <c r="I265" s="473"/>
      <c r="J265" s="473"/>
      <c r="K265" s="473"/>
      <c r="L265" s="473"/>
    </row>
    <row r="266" spans="1:12">
      <c r="A266" s="473"/>
      <c r="B266" s="473"/>
      <c r="C266" s="473"/>
      <c r="D266" s="473"/>
      <c r="E266" s="473"/>
      <c r="F266" s="473"/>
      <c r="G266" s="473"/>
      <c r="H266" s="473"/>
      <c r="I266" s="473"/>
      <c r="J266" s="473"/>
      <c r="K266" s="473"/>
      <c r="L266" s="473"/>
    </row>
    <row r="267" spans="1:12">
      <c r="A267" s="473"/>
      <c r="B267" s="473"/>
      <c r="C267" s="473"/>
      <c r="D267" s="473"/>
      <c r="E267" s="473"/>
      <c r="F267" s="473"/>
      <c r="G267" s="473"/>
      <c r="H267" s="473"/>
      <c r="I267" s="473"/>
      <c r="J267" s="473"/>
      <c r="K267" s="473"/>
      <c r="L267" s="473"/>
    </row>
    <row r="268" spans="1:12">
      <c r="A268" s="473"/>
      <c r="B268" s="473"/>
      <c r="C268" s="473"/>
      <c r="D268" s="473"/>
      <c r="E268" s="473"/>
      <c r="F268" s="473"/>
      <c r="G268" s="473"/>
      <c r="H268" s="473"/>
      <c r="I268" s="473"/>
      <c r="J268" s="473"/>
      <c r="K268" s="473"/>
      <c r="L268" s="473"/>
    </row>
    <row r="269" spans="1:12">
      <c r="A269" s="473"/>
      <c r="B269" s="473"/>
      <c r="C269" s="473"/>
      <c r="D269" s="473"/>
      <c r="E269" s="473"/>
      <c r="F269" s="473"/>
      <c r="G269" s="473"/>
      <c r="H269" s="473"/>
      <c r="I269" s="473"/>
      <c r="J269" s="473"/>
      <c r="K269" s="473"/>
      <c r="L269" s="473"/>
    </row>
    <row r="270" spans="1:12">
      <c r="A270" s="473"/>
      <c r="B270" s="473"/>
      <c r="C270" s="473"/>
      <c r="D270" s="473"/>
      <c r="E270" s="473"/>
      <c r="F270" s="473"/>
      <c r="G270" s="473"/>
      <c r="H270" s="473"/>
      <c r="I270" s="473"/>
      <c r="J270" s="473"/>
      <c r="K270" s="473"/>
      <c r="L270" s="473"/>
    </row>
    <row r="271" spans="1:12">
      <c r="A271" s="473"/>
      <c r="B271" s="473"/>
      <c r="C271" s="473"/>
      <c r="D271" s="473"/>
      <c r="E271" s="473"/>
      <c r="F271" s="473"/>
      <c r="G271" s="473"/>
      <c r="H271" s="473"/>
      <c r="I271" s="473"/>
      <c r="J271" s="473"/>
      <c r="K271" s="473"/>
      <c r="L271" s="473"/>
    </row>
    <row r="272" spans="1:12">
      <c r="A272" s="473"/>
      <c r="B272" s="473"/>
      <c r="C272" s="473"/>
      <c r="D272" s="473"/>
      <c r="E272" s="473"/>
      <c r="F272" s="473"/>
      <c r="G272" s="473"/>
      <c r="H272" s="473"/>
      <c r="I272" s="473"/>
      <c r="J272" s="473"/>
      <c r="K272" s="473"/>
      <c r="L272" s="473"/>
    </row>
    <row r="273" spans="1:12">
      <c r="A273" s="473"/>
      <c r="B273" s="473"/>
      <c r="C273" s="473"/>
      <c r="D273" s="473"/>
      <c r="E273" s="473"/>
      <c r="F273" s="473"/>
      <c r="G273" s="473"/>
      <c r="H273" s="473"/>
      <c r="I273" s="473"/>
      <c r="J273" s="473"/>
      <c r="K273" s="473"/>
      <c r="L273" s="473"/>
    </row>
    <row r="274" spans="1:12">
      <c r="A274" s="473"/>
      <c r="B274" s="473"/>
      <c r="C274" s="473"/>
      <c r="D274" s="473"/>
      <c r="E274" s="473"/>
      <c r="F274" s="473"/>
      <c r="G274" s="473"/>
      <c r="H274" s="473"/>
      <c r="I274" s="473"/>
      <c r="J274" s="473"/>
      <c r="K274" s="473"/>
      <c r="L274" s="473"/>
    </row>
    <row r="275" spans="1:12">
      <c r="A275" s="473"/>
      <c r="B275" s="473"/>
      <c r="C275" s="473"/>
      <c r="D275" s="473"/>
      <c r="E275" s="473"/>
      <c r="F275" s="473"/>
      <c r="G275" s="473"/>
      <c r="H275" s="473"/>
      <c r="I275" s="473"/>
      <c r="J275" s="473"/>
      <c r="K275" s="473"/>
      <c r="L275" s="473"/>
    </row>
    <row r="276" spans="1:12">
      <c r="A276" s="473"/>
      <c r="B276" s="473"/>
      <c r="C276" s="473"/>
      <c r="D276" s="473"/>
      <c r="E276" s="473"/>
      <c r="F276" s="473"/>
      <c r="G276" s="473"/>
      <c r="H276" s="473"/>
      <c r="I276" s="473"/>
      <c r="J276" s="473"/>
      <c r="K276" s="473"/>
      <c r="L276" s="473"/>
    </row>
    <row r="277" spans="1:12">
      <c r="A277" s="473"/>
      <c r="B277" s="473"/>
      <c r="C277" s="473"/>
      <c r="D277" s="473"/>
      <c r="E277" s="473"/>
      <c r="F277" s="473"/>
      <c r="G277" s="473"/>
      <c r="H277" s="473"/>
      <c r="I277" s="473"/>
      <c r="J277" s="473"/>
      <c r="K277" s="473"/>
      <c r="L277" s="473"/>
    </row>
    <row r="278" spans="1:12">
      <c r="A278" s="473"/>
      <c r="B278" s="473"/>
      <c r="C278" s="473"/>
      <c r="D278" s="473"/>
      <c r="E278" s="473"/>
      <c r="F278" s="473"/>
      <c r="G278" s="473"/>
      <c r="H278" s="473"/>
      <c r="I278" s="473"/>
      <c r="J278" s="473"/>
      <c r="K278" s="473"/>
      <c r="L278" s="473"/>
    </row>
    <row r="279" spans="1:12">
      <c r="A279" s="473"/>
      <c r="B279" s="473"/>
      <c r="C279" s="473"/>
      <c r="D279" s="473"/>
      <c r="E279" s="473"/>
      <c r="F279" s="473"/>
      <c r="G279" s="473"/>
      <c r="H279" s="473"/>
      <c r="I279" s="473"/>
      <c r="J279" s="473"/>
      <c r="K279" s="473"/>
      <c r="L279" s="473"/>
    </row>
    <row r="280" spans="1:12">
      <c r="A280" s="473"/>
      <c r="B280" s="473"/>
      <c r="C280" s="473"/>
      <c r="D280" s="473"/>
      <c r="E280" s="473"/>
      <c r="F280" s="473"/>
      <c r="G280" s="473"/>
      <c r="H280" s="473"/>
      <c r="I280" s="473"/>
      <c r="J280" s="473"/>
      <c r="K280" s="473"/>
      <c r="L280" s="473"/>
    </row>
    <row r="281" spans="1:12">
      <c r="A281" s="473"/>
      <c r="B281" s="473"/>
      <c r="C281" s="473"/>
      <c r="D281" s="473"/>
      <c r="E281" s="473"/>
      <c r="F281" s="473"/>
      <c r="G281" s="473"/>
      <c r="H281" s="473"/>
      <c r="I281" s="473"/>
      <c r="J281" s="473"/>
      <c r="K281" s="473"/>
      <c r="L281" s="473"/>
    </row>
    <row r="282" spans="1:12">
      <c r="A282" s="473"/>
      <c r="B282" s="473"/>
      <c r="C282" s="473"/>
      <c r="D282" s="473"/>
      <c r="E282" s="473"/>
      <c r="F282" s="473"/>
      <c r="G282" s="473"/>
      <c r="H282" s="473"/>
      <c r="I282" s="473"/>
      <c r="J282" s="473"/>
      <c r="K282" s="473"/>
      <c r="L282" s="473"/>
    </row>
    <row r="283" spans="1:12">
      <c r="A283" s="473"/>
      <c r="B283" s="473"/>
      <c r="C283" s="473"/>
      <c r="D283" s="473"/>
      <c r="E283" s="473"/>
      <c r="F283" s="473"/>
      <c r="G283" s="473"/>
      <c r="H283" s="473"/>
      <c r="I283" s="473"/>
      <c r="J283" s="473"/>
      <c r="K283" s="473"/>
      <c r="L283" s="473"/>
    </row>
    <row r="284" spans="1:12">
      <c r="A284" s="473"/>
      <c r="B284" s="473"/>
      <c r="C284" s="473"/>
      <c r="D284" s="473"/>
      <c r="E284" s="473"/>
      <c r="F284" s="473"/>
      <c r="G284" s="473"/>
      <c r="H284" s="473"/>
      <c r="I284" s="473"/>
      <c r="J284" s="473"/>
      <c r="K284" s="473"/>
      <c r="L284" s="473"/>
    </row>
    <row r="285" spans="1:12">
      <c r="A285" s="473"/>
      <c r="B285" s="473"/>
      <c r="C285" s="473"/>
      <c r="D285" s="473"/>
      <c r="E285" s="473"/>
      <c r="F285" s="473"/>
      <c r="G285" s="473"/>
      <c r="H285" s="473"/>
      <c r="I285" s="473"/>
      <c r="J285" s="473"/>
      <c r="K285" s="473"/>
      <c r="L285" s="473"/>
    </row>
    <row r="286" spans="1:12">
      <c r="A286" s="473"/>
      <c r="B286" s="473"/>
      <c r="C286" s="473"/>
      <c r="D286" s="473"/>
      <c r="E286" s="473"/>
      <c r="F286" s="473"/>
      <c r="G286" s="473"/>
      <c r="H286" s="473"/>
      <c r="I286" s="473"/>
      <c r="J286" s="473"/>
      <c r="K286" s="473"/>
      <c r="L286" s="473"/>
    </row>
    <row r="287" spans="1:12">
      <c r="A287" s="473"/>
      <c r="B287" s="473"/>
      <c r="C287" s="473"/>
      <c r="D287" s="473"/>
      <c r="E287" s="473"/>
      <c r="F287" s="473"/>
      <c r="G287" s="473"/>
      <c r="H287" s="473"/>
      <c r="I287" s="473"/>
      <c r="J287" s="473"/>
      <c r="K287" s="473"/>
      <c r="L287" s="473"/>
    </row>
    <row r="288" spans="1:12">
      <c r="A288" s="473"/>
      <c r="B288" s="473"/>
      <c r="C288" s="473"/>
      <c r="D288" s="473"/>
      <c r="E288" s="473"/>
      <c r="F288" s="473"/>
      <c r="G288" s="473"/>
      <c r="H288" s="473"/>
      <c r="I288" s="473"/>
      <c r="J288" s="473"/>
      <c r="K288" s="473"/>
      <c r="L288" s="473"/>
    </row>
    <row r="289" spans="1:12">
      <c r="A289" s="473"/>
      <c r="B289" s="473"/>
      <c r="C289" s="473"/>
      <c r="D289" s="473"/>
      <c r="E289" s="473"/>
      <c r="F289" s="473"/>
      <c r="G289" s="473"/>
      <c r="H289" s="473"/>
      <c r="I289" s="473"/>
      <c r="J289" s="473"/>
      <c r="K289" s="473"/>
      <c r="L289" s="473"/>
    </row>
    <row r="290" spans="1:12">
      <c r="A290" s="473"/>
      <c r="B290" s="473"/>
      <c r="C290" s="473"/>
      <c r="D290" s="473"/>
      <c r="E290" s="473"/>
      <c r="F290" s="473"/>
      <c r="G290" s="473"/>
      <c r="H290" s="473"/>
      <c r="I290" s="473"/>
      <c r="J290" s="473"/>
      <c r="K290" s="473"/>
      <c r="L290" s="473"/>
    </row>
    <row r="291" spans="1:12">
      <c r="A291" s="473"/>
      <c r="B291" s="473"/>
      <c r="C291" s="473"/>
      <c r="D291" s="473"/>
      <c r="E291" s="473"/>
      <c r="F291" s="473"/>
      <c r="G291" s="473"/>
      <c r="H291" s="473"/>
      <c r="I291" s="473"/>
      <c r="J291" s="473"/>
      <c r="K291" s="473"/>
      <c r="L291" s="473"/>
    </row>
    <row r="292" spans="1:12">
      <c r="A292" s="473"/>
      <c r="B292" s="473"/>
      <c r="C292" s="473"/>
      <c r="D292" s="473"/>
      <c r="E292" s="473"/>
      <c r="F292" s="473"/>
      <c r="G292" s="473"/>
      <c r="H292" s="473"/>
      <c r="I292" s="473"/>
      <c r="J292" s="473"/>
      <c r="K292" s="473"/>
      <c r="L292" s="473"/>
    </row>
    <row r="293" spans="1:12">
      <c r="A293" s="473"/>
      <c r="B293" s="473"/>
      <c r="C293" s="473"/>
      <c r="D293" s="473"/>
      <c r="E293" s="473"/>
      <c r="F293" s="473"/>
      <c r="G293" s="473"/>
      <c r="H293" s="473"/>
      <c r="I293" s="473"/>
      <c r="J293" s="473"/>
      <c r="K293" s="473"/>
      <c r="L293" s="473"/>
    </row>
    <row r="294" spans="1:12">
      <c r="A294" s="473"/>
      <c r="B294" s="473"/>
      <c r="C294" s="473"/>
      <c r="D294" s="473"/>
      <c r="E294" s="473"/>
      <c r="F294" s="473"/>
      <c r="G294" s="473"/>
      <c r="H294" s="473"/>
      <c r="I294" s="473"/>
      <c r="J294" s="473"/>
      <c r="K294" s="473"/>
      <c r="L294" s="473"/>
    </row>
    <row r="295" spans="1:12">
      <c r="A295" s="473"/>
      <c r="B295" s="473"/>
      <c r="C295" s="473"/>
      <c r="D295" s="473"/>
      <c r="E295" s="473"/>
      <c r="F295" s="473"/>
      <c r="G295" s="473"/>
      <c r="H295" s="473"/>
      <c r="I295" s="473"/>
      <c r="J295" s="473"/>
      <c r="K295" s="473"/>
      <c r="L295" s="473"/>
    </row>
    <row r="296" spans="1:12">
      <c r="A296" s="473"/>
      <c r="B296" s="473"/>
      <c r="C296" s="473"/>
      <c r="D296" s="473"/>
      <c r="E296" s="473"/>
      <c r="F296" s="473"/>
      <c r="G296" s="473"/>
      <c r="H296" s="473"/>
      <c r="I296" s="473"/>
      <c r="J296" s="473"/>
      <c r="K296" s="473"/>
      <c r="L296" s="473"/>
    </row>
    <row r="297" spans="1:12">
      <c r="A297" s="473"/>
      <c r="B297" s="473"/>
      <c r="C297" s="473"/>
      <c r="D297" s="473"/>
      <c r="E297" s="473"/>
      <c r="F297" s="473"/>
      <c r="G297" s="473"/>
      <c r="H297" s="473"/>
      <c r="I297" s="473"/>
      <c r="J297" s="473"/>
      <c r="K297" s="473"/>
      <c r="L297" s="473"/>
    </row>
    <row r="298" spans="1:12">
      <c r="A298" s="473"/>
      <c r="B298" s="473"/>
      <c r="C298" s="473"/>
      <c r="D298" s="473"/>
      <c r="E298" s="473"/>
      <c r="F298" s="473"/>
      <c r="G298" s="473"/>
      <c r="H298" s="473"/>
      <c r="I298" s="473"/>
      <c r="J298" s="473"/>
      <c r="K298" s="473"/>
      <c r="L298" s="473"/>
    </row>
    <row r="299" spans="1:12">
      <c r="A299" s="473"/>
      <c r="B299" s="473"/>
      <c r="C299" s="473"/>
      <c r="D299" s="473"/>
      <c r="E299" s="473"/>
      <c r="F299" s="473"/>
      <c r="G299" s="473"/>
      <c r="H299" s="473"/>
      <c r="I299" s="473"/>
      <c r="J299" s="473"/>
      <c r="K299" s="473"/>
      <c r="L299" s="473"/>
    </row>
    <row r="300" spans="1:12">
      <c r="A300" s="473"/>
      <c r="B300" s="473"/>
      <c r="C300" s="473"/>
      <c r="D300" s="473"/>
      <c r="E300" s="473"/>
      <c r="F300" s="473"/>
      <c r="G300" s="473"/>
      <c r="H300" s="473"/>
      <c r="I300" s="473"/>
      <c r="J300" s="473"/>
      <c r="K300" s="473"/>
      <c r="L300" s="473"/>
    </row>
    <row r="301" spans="1:12">
      <c r="A301" s="473"/>
      <c r="B301" s="473"/>
      <c r="C301" s="473"/>
      <c r="D301" s="473"/>
      <c r="E301" s="473"/>
      <c r="F301" s="473"/>
      <c r="G301" s="473"/>
      <c r="H301" s="473"/>
      <c r="I301" s="473"/>
      <c r="J301" s="473"/>
      <c r="K301" s="473"/>
      <c r="L301" s="473"/>
    </row>
    <row r="302" spans="1:12">
      <c r="A302" s="473"/>
      <c r="B302" s="473"/>
      <c r="C302" s="473"/>
      <c r="D302" s="473"/>
      <c r="E302" s="473"/>
      <c r="F302" s="473"/>
      <c r="G302" s="473"/>
      <c r="H302" s="473"/>
      <c r="I302" s="473"/>
      <c r="J302" s="473"/>
      <c r="K302" s="473"/>
      <c r="L302" s="473"/>
    </row>
    <row r="303" spans="1:12">
      <c r="A303" s="473"/>
      <c r="B303" s="473"/>
      <c r="C303" s="473"/>
      <c r="D303" s="473"/>
      <c r="E303" s="473"/>
      <c r="F303" s="473"/>
      <c r="G303" s="473"/>
      <c r="H303" s="473"/>
      <c r="I303" s="473"/>
      <c r="J303" s="473"/>
      <c r="K303" s="473"/>
      <c r="L303" s="473"/>
    </row>
    <row r="304" spans="1:12">
      <c r="A304" s="473"/>
      <c r="B304" s="473"/>
      <c r="C304" s="473"/>
      <c r="D304" s="473"/>
      <c r="E304" s="473"/>
      <c r="F304" s="473"/>
      <c r="G304" s="473"/>
      <c r="H304" s="473"/>
      <c r="I304" s="473"/>
      <c r="J304" s="473"/>
      <c r="K304" s="473"/>
      <c r="L304" s="473"/>
    </row>
    <row r="305" spans="1:12">
      <c r="A305" s="473"/>
      <c r="B305" s="473"/>
      <c r="C305" s="473"/>
      <c r="D305" s="473"/>
      <c r="E305" s="473"/>
      <c r="F305" s="473"/>
      <c r="G305" s="473"/>
      <c r="H305" s="473"/>
      <c r="I305" s="473"/>
      <c r="J305" s="473"/>
      <c r="K305" s="473"/>
      <c r="L305" s="473"/>
    </row>
    <row r="306" spans="1:12">
      <c r="A306" s="473"/>
      <c r="B306" s="473"/>
      <c r="C306" s="473"/>
      <c r="D306" s="473"/>
      <c r="E306" s="473"/>
      <c r="F306" s="473"/>
      <c r="G306" s="473"/>
      <c r="H306" s="473"/>
      <c r="I306" s="473"/>
      <c r="J306" s="473"/>
      <c r="K306" s="473"/>
      <c r="L306" s="473"/>
    </row>
    <row r="307" spans="1:12">
      <c r="A307" s="473"/>
      <c r="B307" s="473"/>
      <c r="C307" s="473"/>
      <c r="D307" s="473"/>
      <c r="E307" s="473"/>
      <c r="F307" s="473"/>
      <c r="G307" s="473"/>
      <c r="H307" s="473"/>
      <c r="I307" s="473"/>
      <c r="J307" s="473"/>
      <c r="K307" s="473"/>
      <c r="L307" s="473"/>
    </row>
    <row r="308" spans="1:12">
      <c r="A308" s="473"/>
      <c r="B308" s="473"/>
      <c r="C308" s="473"/>
      <c r="D308" s="473"/>
      <c r="E308" s="473"/>
      <c r="F308" s="473"/>
      <c r="G308" s="473"/>
      <c r="H308" s="473"/>
      <c r="I308" s="473"/>
      <c r="J308" s="473"/>
      <c r="K308" s="473"/>
      <c r="L308" s="473"/>
    </row>
    <row r="309" spans="1:12">
      <c r="A309" s="473"/>
      <c r="B309" s="473"/>
      <c r="C309" s="473"/>
      <c r="D309" s="473"/>
      <c r="E309" s="473"/>
      <c r="F309" s="473"/>
      <c r="G309" s="473"/>
      <c r="H309" s="473"/>
      <c r="I309" s="473"/>
      <c r="J309" s="473"/>
      <c r="K309" s="473"/>
      <c r="L309" s="473"/>
    </row>
    <row r="310" spans="1:12">
      <c r="A310" s="473"/>
      <c r="B310" s="473"/>
      <c r="C310" s="473"/>
      <c r="D310" s="473"/>
      <c r="E310" s="473"/>
      <c r="F310" s="473"/>
      <c r="G310" s="473"/>
      <c r="H310" s="473"/>
      <c r="I310" s="473"/>
      <c r="J310" s="473"/>
      <c r="K310" s="473"/>
      <c r="L310" s="473"/>
    </row>
    <row r="311" spans="1:12">
      <c r="A311" s="473"/>
      <c r="B311" s="473"/>
      <c r="C311" s="473"/>
      <c r="D311" s="473"/>
      <c r="E311" s="473"/>
      <c r="F311" s="473"/>
      <c r="G311" s="473"/>
      <c r="H311" s="473"/>
      <c r="I311" s="473"/>
      <c r="J311" s="473"/>
      <c r="K311" s="473"/>
      <c r="L311" s="473"/>
    </row>
    <row r="312" spans="1:12">
      <c r="A312" s="473"/>
      <c r="B312" s="473"/>
      <c r="C312" s="473"/>
      <c r="D312" s="473"/>
      <c r="E312" s="473"/>
      <c r="F312" s="473"/>
      <c r="G312" s="473"/>
      <c r="H312" s="473"/>
      <c r="I312" s="473"/>
      <c r="J312" s="473"/>
      <c r="K312" s="473"/>
      <c r="L312" s="473"/>
    </row>
    <row r="313" spans="1:12">
      <c r="A313" s="473"/>
      <c r="B313" s="473"/>
      <c r="C313" s="473"/>
      <c r="D313" s="473"/>
      <c r="E313" s="473"/>
      <c r="F313" s="473"/>
      <c r="G313" s="473"/>
      <c r="H313" s="473"/>
      <c r="I313" s="473"/>
      <c r="J313" s="473"/>
      <c r="K313" s="473"/>
      <c r="L313" s="473"/>
    </row>
    <row r="314" spans="1:12">
      <c r="A314" s="473"/>
      <c r="B314" s="473"/>
      <c r="C314" s="473"/>
      <c r="D314" s="473"/>
      <c r="E314" s="473"/>
      <c r="F314" s="473"/>
      <c r="G314" s="473"/>
      <c r="H314" s="473"/>
      <c r="I314" s="473"/>
      <c r="J314" s="473"/>
      <c r="K314" s="473"/>
      <c r="L314" s="473"/>
    </row>
    <row r="315" spans="1:12">
      <c r="A315" s="473"/>
      <c r="B315" s="473"/>
      <c r="C315" s="473"/>
      <c r="D315" s="473"/>
      <c r="E315" s="473"/>
      <c r="F315" s="473"/>
      <c r="G315" s="473"/>
      <c r="H315" s="473"/>
      <c r="I315" s="473"/>
      <c r="J315" s="473"/>
      <c r="K315" s="473"/>
      <c r="L315" s="473"/>
    </row>
    <row r="316" spans="1:12">
      <c r="A316" s="473"/>
      <c r="B316" s="473"/>
      <c r="C316" s="473"/>
      <c r="D316" s="473"/>
      <c r="E316" s="473"/>
      <c r="F316" s="473"/>
      <c r="G316" s="473"/>
      <c r="H316" s="473"/>
      <c r="I316" s="473"/>
      <c r="J316" s="473"/>
      <c r="K316" s="473"/>
      <c r="L316" s="473"/>
    </row>
    <row r="317" spans="1:12">
      <c r="A317" s="473"/>
      <c r="B317" s="473"/>
      <c r="C317" s="473"/>
      <c r="D317" s="473"/>
      <c r="E317" s="473"/>
      <c r="F317" s="473"/>
      <c r="G317" s="473"/>
      <c r="H317" s="473"/>
      <c r="I317" s="473"/>
      <c r="J317" s="473"/>
      <c r="K317" s="473"/>
      <c r="L317" s="473"/>
    </row>
    <row r="318" spans="1:12">
      <c r="A318" s="473"/>
      <c r="B318" s="473"/>
      <c r="C318" s="473"/>
      <c r="D318" s="473"/>
      <c r="E318" s="473"/>
      <c r="F318" s="473"/>
      <c r="G318" s="473"/>
      <c r="H318" s="473"/>
      <c r="I318" s="473"/>
      <c r="J318" s="473"/>
      <c r="K318" s="473"/>
      <c r="L318" s="473"/>
    </row>
    <row r="319" spans="1:12">
      <c r="A319" s="473"/>
      <c r="B319" s="473"/>
      <c r="C319" s="473"/>
      <c r="D319" s="473"/>
      <c r="E319" s="473"/>
      <c r="F319" s="473"/>
      <c r="G319" s="473"/>
      <c r="H319" s="473"/>
      <c r="I319" s="473"/>
      <c r="J319" s="473"/>
      <c r="K319" s="473"/>
      <c r="L319" s="473"/>
    </row>
    <row r="320" spans="1:12">
      <c r="A320" s="473"/>
      <c r="B320" s="473"/>
      <c r="C320" s="473"/>
      <c r="D320" s="473"/>
      <c r="E320" s="473"/>
      <c r="F320" s="473"/>
      <c r="G320" s="473"/>
      <c r="H320" s="473"/>
      <c r="I320" s="473"/>
      <c r="J320" s="473"/>
      <c r="K320" s="473"/>
      <c r="L320" s="473"/>
    </row>
    <row r="321" spans="1:12">
      <c r="A321" s="473"/>
      <c r="B321" s="473"/>
      <c r="C321" s="473"/>
      <c r="D321" s="473"/>
      <c r="E321" s="473"/>
      <c r="F321" s="473"/>
      <c r="G321" s="473"/>
      <c r="H321" s="473"/>
      <c r="I321" s="473"/>
      <c r="J321" s="473"/>
      <c r="K321" s="473"/>
      <c r="L321" s="473"/>
    </row>
    <row r="322" spans="1:12">
      <c r="A322" s="473"/>
      <c r="B322" s="473"/>
      <c r="C322" s="473"/>
      <c r="D322" s="473"/>
      <c r="E322" s="473"/>
      <c r="F322" s="473"/>
      <c r="G322" s="473"/>
      <c r="H322" s="473"/>
      <c r="I322" s="473"/>
      <c r="J322" s="473"/>
      <c r="K322" s="473"/>
      <c r="L322" s="473"/>
    </row>
    <row r="323" spans="1:12">
      <c r="A323" s="473"/>
      <c r="B323" s="473"/>
      <c r="C323" s="473"/>
      <c r="D323" s="473"/>
      <c r="E323" s="473"/>
      <c r="F323" s="473"/>
      <c r="G323" s="473"/>
      <c r="H323" s="473"/>
      <c r="I323" s="473"/>
      <c r="J323" s="473"/>
      <c r="K323" s="473"/>
      <c r="L323" s="473"/>
    </row>
    <row r="324" spans="1:12">
      <c r="A324" s="473"/>
      <c r="B324" s="473"/>
      <c r="C324" s="473"/>
      <c r="D324" s="473"/>
      <c r="E324" s="473"/>
      <c r="F324" s="473"/>
      <c r="G324" s="473"/>
      <c r="H324" s="473"/>
      <c r="I324" s="473"/>
      <c r="J324" s="473"/>
      <c r="K324" s="473"/>
      <c r="L324" s="473"/>
    </row>
    <row r="325" spans="1:12">
      <c r="A325" s="473"/>
      <c r="B325" s="473"/>
      <c r="C325" s="473"/>
      <c r="D325" s="473"/>
      <c r="E325" s="473"/>
      <c r="F325" s="473"/>
      <c r="G325" s="473"/>
      <c r="H325" s="473"/>
      <c r="I325" s="473"/>
      <c r="J325" s="473"/>
      <c r="K325" s="473"/>
      <c r="L325" s="473"/>
    </row>
    <row r="326" spans="1:12">
      <c r="A326" s="473"/>
      <c r="B326" s="473"/>
      <c r="C326" s="473"/>
      <c r="D326" s="473"/>
      <c r="E326" s="473"/>
      <c r="F326" s="473"/>
      <c r="G326" s="473"/>
      <c r="H326" s="473"/>
      <c r="I326" s="473"/>
      <c r="J326" s="473"/>
      <c r="K326" s="473"/>
      <c r="L326" s="473"/>
    </row>
    <row r="327" spans="1:12">
      <c r="A327" s="473"/>
      <c r="B327" s="473"/>
      <c r="C327" s="473"/>
      <c r="D327" s="473"/>
      <c r="E327" s="473"/>
      <c r="F327" s="473"/>
      <c r="G327" s="473"/>
      <c r="H327" s="473"/>
      <c r="I327" s="473"/>
      <c r="J327" s="473"/>
      <c r="K327" s="473"/>
      <c r="L327" s="473"/>
    </row>
    <row r="328" spans="1:12">
      <c r="A328" s="473"/>
      <c r="B328" s="473"/>
      <c r="C328" s="473"/>
      <c r="D328" s="473"/>
      <c r="E328" s="473"/>
      <c r="F328" s="473"/>
      <c r="G328" s="473"/>
      <c r="H328" s="473"/>
      <c r="I328" s="473"/>
      <c r="J328" s="473"/>
      <c r="K328" s="473"/>
      <c r="L328" s="473"/>
    </row>
    <row r="329" spans="1:12">
      <c r="A329" s="473"/>
      <c r="B329" s="473"/>
      <c r="C329" s="473"/>
      <c r="D329" s="473"/>
      <c r="E329" s="473"/>
      <c r="F329" s="473"/>
      <c r="G329" s="473"/>
      <c r="H329" s="473"/>
      <c r="I329" s="473"/>
      <c r="J329" s="473"/>
      <c r="K329" s="473"/>
      <c r="L329" s="473"/>
    </row>
    <row r="330" spans="1:12">
      <c r="A330" s="473"/>
      <c r="B330" s="473"/>
      <c r="C330" s="473"/>
      <c r="D330" s="473"/>
      <c r="E330" s="473"/>
      <c r="F330" s="473"/>
      <c r="G330" s="473"/>
      <c r="H330" s="473"/>
      <c r="I330" s="473"/>
      <c r="J330" s="473"/>
      <c r="K330" s="473"/>
      <c r="L330" s="473"/>
    </row>
    <row r="331" spans="1:12">
      <c r="A331" s="473"/>
      <c r="B331" s="473"/>
      <c r="C331" s="473"/>
      <c r="D331" s="473"/>
      <c r="E331" s="473"/>
      <c r="F331" s="473"/>
      <c r="G331" s="473"/>
      <c r="H331" s="473"/>
      <c r="I331" s="473"/>
      <c r="J331" s="473"/>
      <c r="K331" s="473"/>
      <c r="L331" s="473"/>
    </row>
    <row r="332" spans="1:12">
      <c r="A332" s="473"/>
      <c r="B332" s="473"/>
      <c r="C332" s="473"/>
      <c r="D332" s="473"/>
      <c r="E332" s="473"/>
      <c r="F332" s="473"/>
      <c r="G332" s="473"/>
      <c r="H332" s="473"/>
      <c r="I332" s="473"/>
      <c r="J332" s="473"/>
      <c r="K332" s="473"/>
      <c r="L332" s="473"/>
    </row>
    <row r="333" spans="1:12">
      <c r="A333" s="473"/>
      <c r="B333" s="473"/>
      <c r="C333" s="473"/>
      <c r="D333" s="473"/>
      <c r="E333" s="473"/>
      <c r="F333" s="473"/>
      <c r="G333" s="473"/>
      <c r="H333" s="473"/>
      <c r="I333" s="473"/>
      <c r="J333" s="473"/>
      <c r="K333" s="473"/>
      <c r="L333" s="473"/>
    </row>
    <row r="334" spans="1:12">
      <c r="A334" s="473"/>
      <c r="B334" s="473"/>
      <c r="C334" s="473"/>
      <c r="D334" s="473"/>
      <c r="E334" s="473"/>
      <c r="F334" s="473"/>
      <c r="G334" s="473"/>
      <c r="H334" s="473"/>
      <c r="I334" s="473"/>
      <c r="J334" s="473"/>
      <c r="K334" s="473"/>
      <c r="L334" s="473"/>
    </row>
    <row r="335" spans="1:12">
      <c r="A335" s="473"/>
      <c r="B335" s="473"/>
      <c r="C335" s="473"/>
      <c r="D335" s="473"/>
      <c r="E335" s="473"/>
      <c r="F335" s="473"/>
      <c r="G335" s="473"/>
      <c r="H335" s="473"/>
      <c r="I335" s="473"/>
      <c r="J335" s="473"/>
      <c r="K335" s="473"/>
      <c r="L335" s="473"/>
    </row>
    <row r="336" spans="1:12">
      <c r="A336" s="473"/>
      <c r="B336" s="473"/>
      <c r="C336" s="473"/>
      <c r="D336" s="473"/>
      <c r="E336" s="473"/>
      <c r="F336" s="473"/>
      <c r="G336" s="473"/>
      <c r="H336" s="473"/>
      <c r="I336" s="473"/>
      <c r="J336" s="473"/>
      <c r="K336" s="473"/>
      <c r="L336" s="473"/>
    </row>
    <row r="337" spans="1:12">
      <c r="A337" s="473"/>
      <c r="B337" s="473"/>
      <c r="C337" s="473"/>
      <c r="D337" s="473"/>
      <c r="E337" s="473"/>
      <c r="F337" s="473"/>
      <c r="G337" s="473"/>
      <c r="H337" s="473"/>
      <c r="I337" s="473"/>
      <c r="J337" s="473"/>
      <c r="K337" s="473"/>
      <c r="L337" s="473"/>
    </row>
    <row r="338" spans="1:12">
      <c r="A338" s="473"/>
      <c r="B338" s="473"/>
      <c r="C338" s="473"/>
      <c r="D338" s="473"/>
      <c r="E338" s="473"/>
      <c r="F338" s="473"/>
      <c r="G338" s="473"/>
      <c r="H338" s="473"/>
      <c r="I338" s="473"/>
      <c r="J338" s="473"/>
      <c r="K338" s="473"/>
      <c r="L338" s="473"/>
    </row>
    <row r="339" spans="1:12">
      <c r="A339" s="473"/>
      <c r="B339" s="473"/>
      <c r="C339" s="473"/>
      <c r="D339" s="473"/>
      <c r="E339" s="473"/>
      <c r="F339" s="473"/>
      <c r="G339" s="473"/>
      <c r="H339" s="473"/>
      <c r="I339" s="473"/>
      <c r="J339" s="473"/>
      <c r="K339" s="473"/>
      <c r="L339" s="473"/>
    </row>
    <row r="340" spans="1:12">
      <c r="A340" s="473"/>
      <c r="B340" s="473"/>
      <c r="C340" s="473"/>
      <c r="D340" s="473"/>
      <c r="E340" s="473"/>
      <c r="F340" s="473"/>
      <c r="G340" s="473"/>
      <c r="H340" s="473"/>
      <c r="I340" s="473"/>
      <c r="J340" s="473"/>
      <c r="K340" s="473"/>
      <c r="L340" s="473"/>
    </row>
    <row r="341" spans="1:12">
      <c r="A341" s="473"/>
      <c r="B341" s="473"/>
      <c r="C341" s="473"/>
      <c r="D341" s="473"/>
      <c r="E341" s="473"/>
      <c r="F341" s="473"/>
      <c r="G341" s="473"/>
      <c r="H341" s="473"/>
      <c r="I341" s="473"/>
      <c r="J341" s="473"/>
      <c r="K341" s="473"/>
      <c r="L341" s="473"/>
    </row>
    <row r="342" spans="1:12">
      <c r="A342" s="473"/>
      <c r="B342" s="473"/>
      <c r="C342" s="473"/>
      <c r="D342" s="473"/>
      <c r="E342" s="473"/>
      <c r="F342" s="473"/>
      <c r="G342" s="473"/>
      <c r="H342" s="473"/>
      <c r="I342" s="473"/>
      <c r="J342" s="473"/>
      <c r="K342" s="473"/>
      <c r="L342" s="473"/>
    </row>
    <row r="343" spans="1:12">
      <c r="A343" s="473"/>
      <c r="B343" s="473"/>
      <c r="C343" s="473"/>
      <c r="D343" s="473"/>
      <c r="E343" s="473"/>
      <c r="F343" s="473"/>
      <c r="G343" s="473"/>
      <c r="H343" s="473"/>
      <c r="I343" s="473"/>
      <c r="J343" s="473"/>
      <c r="K343" s="473"/>
      <c r="L343" s="473"/>
    </row>
    <row r="344" spans="1:12">
      <c r="A344" s="473"/>
      <c r="B344" s="473"/>
      <c r="C344" s="473"/>
      <c r="D344" s="473"/>
      <c r="E344" s="473"/>
      <c r="F344" s="473"/>
      <c r="G344" s="473"/>
      <c r="H344" s="473"/>
      <c r="I344" s="473"/>
      <c r="J344" s="473"/>
      <c r="K344" s="473"/>
      <c r="L344" s="473"/>
    </row>
    <row r="345" spans="1:12">
      <c r="A345" s="473"/>
      <c r="B345" s="473"/>
      <c r="C345" s="473"/>
      <c r="D345" s="473"/>
      <c r="E345" s="473"/>
      <c r="F345" s="473"/>
      <c r="G345" s="473"/>
      <c r="H345" s="473"/>
      <c r="I345" s="473"/>
      <c r="J345" s="473"/>
      <c r="K345" s="473"/>
      <c r="L345" s="473"/>
    </row>
    <row r="346" spans="1:12">
      <c r="A346" s="473"/>
      <c r="B346" s="473"/>
      <c r="C346" s="473"/>
      <c r="D346" s="473"/>
      <c r="E346" s="473"/>
      <c r="F346" s="473"/>
      <c r="G346" s="473"/>
      <c r="H346" s="473"/>
      <c r="I346" s="473"/>
      <c r="J346" s="473"/>
      <c r="K346" s="473"/>
      <c r="L346" s="473"/>
    </row>
    <row r="347" spans="1:12">
      <c r="A347" s="473"/>
      <c r="B347" s="473"/>
      <c r="C347" s="473"/>
      <c r="D347" s="473"/>
      <c r="E347" s="473"/>
      <c r="F347" s="473"/>
      <c r="G347" s="473"/>
      <c r="H347" s="473"/>
      <c r="I347" s="473"/>
      <c r="J347" s="473"/>
      <c r="K347" s="473"/>
      <c r="L347" s="473"/>
    </row>
    <row r="348" spans="1:12">
      <c r="A348" s="473"/>
      <c r="B348" s="473"/>
      <c r="C348" s="473"/>
      <c r="D348" s="473"/>
      <c r="E348" s="473"/>
      <c r="F348" s="473"/>
      <c r="G348" s="473"/>
      <c r="H348" s="473"/>
      <c r="I348" s="473"/>
      <c r="J348" s="473"/>
      <c r="K348" s="473"/>
      <c r="L348" s="473"/>
    </row>
    <row r="349" spans="1:12">
      <c r="A349" s="473"/>
      <c r="B349" s="473"/>
      <c r="C349" s="473"/>
      <c r="D349" s="473"/>
      <c r="E349" s="473"/>
      <c r="F349" s="473"/>
      <c r="G349" s="473"/>
      <c r="H349" s="473"/>
      <c r="I349" s="473"/>
      <c r="J349" s="473"/>
      <c r="K349" s="473"/>
      <c r="L349" s="473"/>
    </row>
    <row r="350" spans="1:12">
      <c r="A350" s="473"/>
      <c r="B350" s="473"/>
      <c r="C350" s="473"/>
      <c r="D350" s="473"/>
      <c r="E350" s="473"/>
      <c r="F350" s="473"/>
      <c r="G350" s="473"/>
      <c r="H350" s="473"/>
      <c r="I350" s="473"/>
      <c r="J350" s="473"/>
      <c r="K350" s="473"/>
      <c r="L350" s="473"/>
    </row>
    <row r="351" spans="1:12">
      <c r="A351" s="473"/>
      <c r="B351" s="473"/>
      <c r="C351" s="473"/>
      <c r="D351" s="473"/>
      <c r="E351" s="473"/>
      <c r="F351" s="473"/>
      <c r="G351" s="473"/>
      <c r="H351" s="473"/>
      <c r="I351" s="473"/>
      <c r="J351" s="473"/>
      <c r="K351" s="473"/>
      <c r="L351" s="473"/>
    </row>
    <row r="352" spans="1:12">
      <c r="A352" s="473"/>
      <c r="B352" s="473"/>
      <c r="C352" s="473"/>
      <c r="D352" s="473"/>
      <c r="E352" s="473"/>
      <c r="F352" s="473"/>
      <c r="G352" s="473"/>
      <c r="H352" s="473"/>
      <c r="I352" s="473"/>
      <c r="J352" s="473"/>
      <c r="K352" s="473"/>
      <c r="L352" s="473"/>
    </row>
    <row r="353" spans="1:12">
      <c r="A353" s="473"/>
      <c r="B353" s="473"/>
      <c r="C353" s="473"/>
      <c r="D353" s="473"/>
      <c r="E353" s="473"/>
      <c r="F353" s="473"/>
      <c r="G353" s="473"/>
      <c r="H353" s="473"/>
      <c r="I353" s="473"/>
      <c r="J353" s="473"/>
      <c r="K353" s="473"/>
      <c r="L353" s="473"/>
    </row>
    <row r="354" spans="1:12">
      <c r="A354" s="473"/>
      <c r="B354" s="473"/>
      <c r="C354" s="473"/>
      <c r="D354" s="473"/>
      <c r="E354" s="473"/>
      <c r="F354" s="473"/>
      <c r="G354" s="473"/>
      <c r="H354" s="473"/>
      <c r="I354" s="473"/>
      <c r="J354" s="473"/>
      <c r="K354" s="473"/>
      <c r="L354" s="473"/>
    </row>
  </sheetData>
  <sheetProtection sheet="1"/>
  <mergeCells count="55">
    <mergeCell ref="B6:K6"/>
    <mergeCell ref="B7:K7"/>
    <mergeCell ref="B8:K8"/>
    <mergeCell ref="B10:K10"/>
    <mergeCell ref="B12:K12"/>
    <mergeCell ref="F23:G23"/>
    <mergeCell ref="C25:D25"/>
    <mergeCell ref="B30:K30"/>
    <mergeCell ref="B31:K31"/>
    <mergeCell ref="B33:K33"/>
    <mergeCell ref="B35:K35"/>
    <mergeCell ref="C41:D41"/>
    <mergeCell ref="B48:C48"/>
    <mergeCell ref="G50:H50"/>
    <mergeCell ref="I51:K51"/>
    <mergeCell ref="B52:K52"/>
    <mergeCell ref="B53:K53"/>
    <mergeCell ref="B55:K55"/>
    <mergeCell ref="B57:K57"/>
    <mergeCell ref="B58:K58"/>
    <mergeCell ref="C74:D74"/>
    <mergeCell ref="C77:D77"/>
    <mergeCell ref="C80:D80"/>
    <mergeCell ref="C83:D83"/>
    <mergeCell ref="B85:K85"/>
    <mergeCell ref="B86:K86"/>
    <mergeCell ref="B88:K88"/>
    <mergeCell ref="B90:K90"/>
    <mergeCell ref="C94:D94"/>
    <mergeCell ref="C97:D97"/>
    <mergeCell ref="C100:D100"/>
    <mergeCell ref="C103:D103"/>
    <mergeCell ref="B105:K105"/>
    <mergeCell ref="B106:K106"/>
    <mergeCell ref="B108:K108"/>
    <mergeCell ref="B110:K110"/>
    <mergeCell ref="C114:D114"/>
    <mergeCell ref="C117:D117"/>
    <mergeCell ref="C120:D120"/>
    <mergeCell ref="C123:D123"/>
    <mergeCell ref="B125:K125"/>
    <mergeCell ref="B126:K126"/>
    <mergeCell ref="B128:K128"/>
    <mergeCell ref="B130:K130"/>
    <mergeCell ref="C133:D133"/>
    <mergeCell ref="H133:I133"/>
    <mergeCell ref="C147:D147"/>
    <mergeCell ref="J147:K147"/>
    <mergeCell ref="C148:D148"/>
    <mergeCell ref="J148:K148"/>
    <mergeCell ref="C134:D134"/>
    <mergeCell ref="H134:I134"/>
    <mergeCell ref="C136:D136"/>
    <mergeCell ref="C137:D137"/>
    <mergeCell ref="B144:K144"/>
  </mergeCells>
  <pageMargins left="0.7" right="0.7" top="0.75" bottom="0.75" header="0.3" footer="0.3"/>
</worksheet>
</file>

<file path=xl/worksheets/sheet31.xml><?xml version="1.0" encoding="utf-8"?>
<worksheet xmlns="http://schemas.openxmlformats.org/spreadsheetml/2006/main" xmlns:r="http://schemas.openxmlformats.org/officeDocument/2006/relationships">
  <sheetPr>
    <pageSetUpPr fitToPage="1"/>
  </sheetPr>
  <dimension ref="B1:K96"/>
  <sheetViews>
    <sheetView zoomScaleNormal="100" workbookViewId="0">
      <selection activeCell="G75" sqref="G75"/>
    </sheetView>
  </sheetViews>
  <sheetFormatPr defaultRowHeight="15.75"/>
  <cols>
    <col min="1" max="1" width="2.19921875" style="583" customWidth="1"/>
    <col min="2" max="2" width="28.59765625" style="583" customWidth="1"/>
    <col min="3" max="4" width="14.19921875" style="583" customWidth="1"/>
    <col min="5" max="5" width="14.59765625" style="583" customWidth="1"/>
    <col min="6" max="6" width="7.296875" style="583" customWidth="1"/>
    <col min="7" max="7" width="9.19921875" style="583" customWidth="1"/>
    <col min="8" max="8" width="8.796875" style="583"/>
    <col min="9" max="9" width="4.5" style="583" customWidth="1"/>
    <col min="10" max="10" width="9" style="583" customWidth="1"/>
    <col min="11" max="16384" width="8.796875" style="583"/>
  </cols>
  <sheetData>
    <row r="1" spans="2:5">
      <c r="B1" s="580" t="str">
        <f>inputPrYr!D2</f>
        <v>Paxton Township</v>
      </c>
      <c r="C1" s="580"/>
      <c r="D1" s="581"/>
      <c r="E1" s="582">
        <f>inputPrYr!D5</f>
        <v>2013</v>
      </c>
    </row>
    <row r="2" spans="2:5">
      <c r="B2" s="581"/>
      <c r="C2" s="581"/>
      <c r="D2" s="581"/>
      <c r="E2" s="584"/>
    </row>
    <row r="3" spans="2:5">
      <c r="B3" s="533" t="s">
        <v>714</v>
      </c>
      <c r="C3" s="533"/>
      <c r="D3" s="585"/>
      <c r="E3" s="586"/>
    </row>
    <row r="4" spans="2:5">
      <c r="B4" s="587" t="s">
        <v>10</v>
      </c>
      <c r="C4" s="588" t="s">
        <v>814</v>
      </c>
      <c r="D4" s="589" t="s">
        <v>815</v>
      </c>
      <c r="E4" s="590" t="s">
        <v>816</v>
      </c>
    </row>
    <row r="5" spans="2:5">
      <c r="B5" s="591" t="str">
        <f>inputPrYr!B17</f>
        <v>Debt Service</v>
      </c>
      <c r="C5" s="592" t="str">
        <f>CONCATENATE("Actual for ",$E$1-2,"")</f>
        <v>Actual for 2011</v>
      </c>
      <c r="D5" s="593" t="str">
        <f>CONCATENATE("Estimate for ",$E$1-1,"")</f>
        <v>Estimate for 2012</v>
      </c>
      <c r="E5" s="594" t="str">
        <f>CONCATENATE("Year for ",$E$1,"")</f>
        <v>Year for 2013</v>
      </c>
    </row>
    <row r="6" spans="2:5">
      <c r="B6" s="595" t="s">
        <v>138</v>
      </c>
      <c r="C6" s="596"/>
      <c r="D6" s="597">
        <f>C34</f>
        <v>0</v>
      </c>
      <c r="E6" s="598">
        <f>D34</f>
        <v>8479</v>
      </c>
    </row>
    <row r="7" spans="2:5">
      <c r="B7" s="595" t="s">
        <v>116</v>
      </c>
      <c r="C7" s="599"/>
      <c r="D7" s="597"/>
      <c r="E7" s="598"/>
    </row>
    <row r="8" spans="2:5">
      <c r="B8" s="595" t="s">
        <v>16</v>
      </c>
      <c r="C8" s="600"/>
      <c r="D8" s="597">
        <f>IF(inputPrYr!H15&gt;0,inputPrYr!G19,inputPrYr!E19)</f>
        <v>8479</v>
      </c>
      <c r="E8" s="601" t="s">
        <v>284</v>
      </c>
    </row>
    <row r="9" spans="2:5">
      <c r="B9" s="595" t="s">
        <v>17</v>
      </c>
      <c r="C9" s="600"/>
      <c r="D9" s="602"/>
      <c r="E9" s="603"/>
    </row>
    <row r="10" spans="2:5">
      <c r="B10" s="595" t="s">
        <v>18</v>
      </c>
      <c r="C10" s="600"/>
      <c r="D10" s="602"/>
      <c r="E10" s="598">
        <f>mvalloc!G12</f>
        <v>0</v>
      </c>
    </row>
    <row r="11" spans="2:5">
      <c r="B11" s="595" t="s">
        <v>19</v>
      </c>
      <c r="C11" s="600"/>
      <c r="D11" s="602"/>
      <c r="E11" s="598">
        <f>mvalloc!I12</f>
        <v>0</v>
      </c>
    </row>
    <row r="12" spans="2:5">
      <c r="B12" s="604" t="s">
        <v>96</v>
      </c>
      <c r="C12" s="600"/>
      <c r="D12" s="602"/>
      <c r="E12" s="598">
        <f>mvalloc!J12</f>
        <v>0</v>
      </c>
    </row>
    <row r="13" spans="2:5">
      <c r="B13" s="605"/>
      <c r="C13" s="600"/>
      <c r="D13" s="602"/>
      <c r="E13" s="606"/>
    </row>
    <row r="14" spans="2:5">
      <c r="B14" s="605"/>
      <c r="C14" s="600"/>
      <c r="D14" s="602"/>
      <c r="E14" s="603"/>
    </row>
    <row r="15" spans="2:5">
      <c r="B15" s="605"/>
      <c r="C15" s="600"/>
      <c r="D15" s="602"/>
      <c r="E15" s="603"/>
    </row>
    <row r="16" spans="2:5">
      <c r="B16" s="605"/>
      <c r="C16" s="600"/>
      <c r="D16" s="602"/>
      <c r="E16" s="603"/>
    </row>
    <row r="17" spans="2:10">
      <c r="B17" s="607" t="s">
        <v>22</v>
      </c>
      <c r="C17" s="600"/>
      <c r="D17" s="602"/>
      <c r="E17" s="603"/>
    </row>
    <row r="18" spans="2:10">
      <c r="B18" s="595" t="s">
        <v>207</v>
      </c>
      <c r="C18" s="608"/>
      <c r="D18" s="602"/>
      <c r="E18" s="603"/>
    </row>
    <row r="19" spans="2:10">
      <c r="B19" s="595" t="s">
        <v>820</v>
      </c>
      <c r="C19" s="609" t="str">
        <f>IF(C20*0.1&lt;C18,"Exceed 10% Rule","")</f>
        <v/>
      </c>
      <c r="D19" s="609" t="str">
        <f>IF(D20*0.1&lt;D18,"Exceeds 10% Rule","")</f>
        <v/>
      </c>
      <c r="E19" s="610" t="str">
        <f>IF(E20*0.1&lt;E18,"Exceed 10% Rule","")</f>
        <v/>
      </c>
    </row>
    <row r="20" spans="2:10">
      <c r="B20" s="611" t="s">
        <v>23</v>
      </c>
      <c r="C20" s="612">
        <f>SUM(C8:C18)</f>
        <v>0</v>
      </c>
      <c r="D20" s="612">
        <f>SUM(D8:D18)</f>
        <v>8479</v>
      </c>
      <c r="E20" s="613">
        <f>SUM(E9:E18)</f>
        <v>0</v>
      </c>
    </row>
    <row r="21" spans="2:10">
      <c r="B21" s="611" t="s">
        <v>24</v>
      </c>
      <c r="C21" s="612">
        <f>C6+C20</f>
        <v>0</v>
      </c>
      <c r="D21" s="612">
        <f>D6+D20</f>
        <v>8479</v>
      </c>
      <c r="E21" s="613">
        <f>E6+E20</f>
        <v>8479</v>
      </c>
    </row>
    <row r="22" spans="2:10">
      <c r="B22" s="595" t="s">
        <v>25</v>
      </c>
      <c r="C22" s="595"/>
      <c r="D22" s="597"/>
      <c r="E22" s="598"/>
    </row>
    <row r="23" spans="2:10">
      <c r="B23" s="605"/>
      <c r="C23" s="600"/>
      <c r="D23" s="602"/>
      <c r="E23" s="603"/>
    </row>
    <row r="24" spans="2:10">
      <c r="B24" s="605"/>
      <c r="C24" s="600"/>
      <c r="D24" s="602"/>
      <c r="E24" s="603"/>
      <c r="G24" s="809" t="str">
        <f>CONCATENATE("Desired Carryover Into ",E1+1,"")</f>
        <v>Desired Carryover Into 2014</v>
      </c>
      <c r="H24" s="810"/>
      <c r="I24" s="810"/>
      <c r="J24" s="811"/>
    </row>
    <row r="25" spans="2:10">
      <c r="B25" s="605"/>
      <c r="C25" s="602"/>
      <c r="D25" s="602"/>
      <c r="E25" s="603"/>
      <c r="G25" s="614"/>
      <c r="H25" s="615"/>
      <c r="I25" s="616"/>
      <c r="J25" s="617"/>
    </row>
    <row r="26" spans="2:10">
      <c r="B26" s="605"/>
      <c r="C26" s="600"/>
      <c r="D26" s="602"/>
      <c r="E26" s="603"/>
      <c r="G26" s="618" t="s">
        <v>709</v>
      </c>
      <c r="H26" s="616"/>
      <c r="I26" s="616"/>
      <c r="J26" s="619">
        <v>0</v>
      </c>
    </row>
    <row r="27" spans="2:10">
      <c r="B27" s="605"/>
      <c r="C27" s="600"/>
      <c r="D27" s="602"/>
      <c r="E27" s="603"/>
      <c r="G27" s="614" t="s">
        <v>710</v>
      </c>
      <c r="H27" s="615"/>
      <c r="I27" s="615"/>
      <c r="J27" s="620" t="str">
        <f>IF(J26=0,"",ROUND((J26+E40-G39)/inputOth!E7*1000,3)-G44)</f>
        <v/>
      </c>
    </row>
    <row r="28" spans="2:10">
      <c r="B28" s="605"/>
      <c r="C28" s="600"/>
      <c r="D28" s="602"/>
      <c r="E28" s="603"/>
      <c r="G28" s="621" t="str">
        <f>CONCATENATE("",E1," Tot Exp/Non-Appr Must Be:")</f>
        <v>2013 Tot Exp/Non-Appr Must Be:</v>
      </c>
      <c r="H28" s="622"/>
      <c r="I28" s="623"/>
      <c r="J28" s="624">
        <f>IF(J26&gt;0,IF(E37&lt;E21,IF(J26=G39,E37,((J26-G39)*(1-D39))+E21),E37+(J26-G39)),0)</f>
        <v>0</v>
      </c>
    </row>
    <row r="29" spans="2:10">
      <c r="B29" s="605"/>
      <c r="C29" s="600"/>
      <c r="D29" s="602"/>
      <c r="E29" s="603"/>
      <c r="G29" s="625" t="s">
        <v>817</v>
      </c>
      <c r="H29" s="626"/>
      <c r="I29" s="626"/>
      <c r="J29" s="627">
        <f>IF(J26&gt;0,J28-E37,0)</f>
        <v>0</v>
      </c>
    </row>
    <row r="30" spans="2:10">
      <c r="B30" s="628" t="s">
        <v>209</v>
      </c>
      <c r="C30" s="600"/>
      <c r="D30" s="602"/>
      <c r="E30" s="598" t="str">
        <f>nhood!E7</f>
        <v/>
      </c>
    </row>
    <row r="31" spans="2:10">
      <c r="B31" s="628" t="s">
        <v>207</v>
      </c>
      <c r="C31" s="608"/>
      <c r="D31" s="602"/>
      <c r="E31" s="603"/>
      <c r="G31" s="809" t="str">
        <f>CONCATENATE("Projected Carryover Into ",E1+1,"")</f>
        <v>Projected Carryover Into 2014</v>
      </c>
      <c r="H31" s="812"/>
      <c r="I31" s="812"/>
      <c r="J31" s="813"/>
    </row>
    <row r="32" spans="2:10">
      <c r="B32" s="628" t="s">
        <v>616</v>
      </c>
      <c r="C32" s="609" t="str">
        <f>IF(C33*0.1&lt;C31,"Exceed 10% Rule","")</f>
        <v/>
      </c>
      <c r="D32" s="609" t="str">
        <f>IF(D33*0.1&lt;D31,"Exceed 10% Rule","")</f>
        <v/>
      </c>
      <c r="E32" s="610" t="str">
        <f>IF(E33*0.1&lt;E31,"Exceed 10% Rule","")</f>
        <v/>
      </c>
      <c r="G32" s="614"/>
      <c r="H32" s="616"/>
      <c r="I32" s="616"/>
      <c r="J32" s="629"/>
    </row>
    <row r="33" spans="2:11">
      <c r="B33" s="611" t="s">
        <v>26</v>
      </c>
      <c r="C33" s="630">
        <f>SUM(C23:C31)</f>
        <v>0</v>
      </c>
      <c r="D33" s="630">
        <f>SUM(D23:D31)</f>
        <v>0</v>
      </c>
      <c r="E33" s="631">
        <f>SUM(E23:E31)</f>
        <v>0</v>
      </c>
      <c r="G33" s="632">
        <f>D34</f>
        <v>8479</v>
      </c>
      <c r="H33" s="633" t="str">
        <f>CONCATENATE("",E1-1," Ending Cash Balance (est.)")</f>
        <v>2012 Ending Cash Balance (est.)</v>
      </c>
      <c r="I33" s="634"/>
      <c r="J33" s="629"/>
    </row>
    <row r="34" spans="2:11">
      <c r="B34" s="595" t="s">
        <v>115</v>
      </c>
      <c r="C34" s="635">
        <f>C21-C33</f>
        <v>0</v>
      </c>
      <c r="D34" s="635">
        <f>D21-D33</f>
        <v>8479</v>
      </c>
      <c r="E34" s="601" t="s">
        <v>284</v>
      </c>
      <c r="F34" s="636"/>
      <c r="G34" s="632">
        <f>E20</f>
        <v>0</v>
      </c>
      <c r="H34" s="616" t="str">
        <f>CONCATENATE("",E1," Non-AV Receipts (est.)")</f>
        <v>2013 Non-AV Receipts (est.)</v>
      </c>
      <c r="I34" s="634"/>
      <c r="J34" s="629"/>
    </row>
    <row r="35" spans="2:11">
      <c r="B35" s="637" t="str">
        <f>CONCATENATE("",E1-2,"/",E1-1," Budget Authority Amount:")</f>
        <v>2011/2012 Budget Authority Amount:</v>
      </c>
      <c r="C35" s="638">
        <f>inputOth!B47</f>
        <v>0</v>
      </c>
      <c r="D35" s="639">
        <f>inputPrYr!D17</f>
        <v>0</v>
      </c>
      <c r="E35" s="601" t="s">
        <v>284</v>
      </c>
      <c r="F35" s="640"/>
      <c r="G35" s="641">
        <f>IF(E39&gt;0,E38,E40)</f>
        <v>0</v>
      </c>
      <c r="H35" s="616" t="str">
        <f>CONCATENATE("",E1," Ad Valorem Tax (est.)")</f>
        <v>2013 Ad Valorem Tax (est.)</v>
      </c>
      <c r="I35" s="616"/>
      <c r="J35" s="739"/>
      <c r="K35" s="740" t="str">
        <f>IF(G35=E40,"","Note: Does not include Delinquent Taxes")</f>
        <v/>
      </c>
    </row>
    <row r="36" spans="2:11">
      <c r="B36" s="637"/>
      <c r="C36" s="793" t="s">
        <v>617</v>
      </c>
      <c r="D36" s="794"/>
      <c r="E36" s="603"/>
      <c r="F36" s="643" t="str">
        <f>IF(E33/0.95-E33&lt;E36,"Exceeds 5%","")</f>
        <v/>
      </c>
      <c r="G36" s="632">
        <f>SUM(G33:G35)</f>
        <v>8479</v>
      </c>
      <c r="H36" s="616" t="str">
        <f>CONCATENATE("Total ",E1," Resources Available")</f>
        <v>Total 2013 Resources Available</v>
      </c>
      <c r="I36" s="634"/>
      <c r="J36" s="629"/>
    </row>
    <row r="37" spans="2:11">
      <c r="B37" s="644" t="str">
        <f>CONCATENATE(C93,"     ",D93)</f>
        <v xml:space="preserve">     </v>
      </c>
      <c r="C37" s="795" t="s">
        <v>618</v>
      </c>
      <c r="D37" s="796"/>
      <c r="E37" s="598">
        <f>E33+E36</f>
        <v>0</v>
      </c>
      <c r="F37" s="636"/>
      <c r="G37" s="645"/>
      <c r="H37" s="616"/>
      <c r="I37" s="616"/>
      <c r="J37" s="629"/>
    </row>
    <row r="38" spans="2:11">
      <c r="B38" s="644" t="str">
        <f>CONCATENATE(C94,"     ",D94)</f>
        <v xml:space="preserve">     </v>
      </c>
      <c r="C38" s="646"/>
      <c r="D38" s="584" t="s">
        <v>28</v>
      </c>
      <c r="E38" s="647">
        <f>IF(E37-E21&gt;0,E37-E21,0)</f>
        <v>0</v>
      </c>
      <c r="F38" s="636"/>
      <c r="G38" s="641">
        <f>C33</f>
        <v>0</v>
      </c>
      <c r="H38" s="616" t="str">
        <f>CONCATENATE("Less ",E1-2," Expenditures")</f>
        <v>Less 2011 Expenditures</v>
      </c>
      <c r="I38" s="616"/>
      <c r="J38" s="629"/>
    </row>
    <row r="39" spans="2:11">
      <c r="B39" s="584"/>
      <c r="C39" s="400" t="s">
        <v>619</v>
      </c>
      <c r="D39" s="648">
        <f>inputOth!E40</f>
        <v>0</v>
      </c>
      <c r="E39" s="598">
        <f>ROUND(IF(D39&gt;0,(E38*D39),0),0)</f>
        <v>0</v>
      </c>
      <c r="F39" s="636"/>
      <c r="G39" s="649">
        <f>G36-G38</f>
        <v>8479</v>
      </c>
      <c r="H39" s="650" t="str">
        <f>CONCATENATE("Projected ",E1+1," carryover (est.)")</f>
        <v>Projected 2014 carryover (est.)</v>
      </c>
      <c r="I39" s="651"/>
      <c r="J39" s="652"/>
    </row>
    <row r="40" spans="2:11" ht="16.5" thickBot="1">
      <c r="B40" s="581"/>
      <c r="C40" s="878" t="str">
        <f>CONCATENATE("Amount of  ",E1-1," Ad Valorem Tax")</f>
        <v>Amount of  2012 Ad Valorem Tax</v>
      </c>
      <c r="D40" s="879"/>
      <c r="E40" s="654">
        <f>SUM(E38:E39)</f>
        <v>0</v>
      </c>
      <c r="F40" s="636"/>
    </row>
    <row r="41" spans="2:11" ht="16.5" thickTop="1">
      <c r="B41" s="581"/>
      <c r="C41" s="878"/>
      <c r="D41" s="879"/>
      <c r="E41" s="655"/>
      <c r="F41" s="636"/>
      <c r="G41" s="806" t="s">
        <v>818</v>
      </c>
      <c r="H41" s="807"/>
      <c r="I41" s="807"/>
      <c r="J41" s="808"/>
    </row>
    <row r="42" spans="2:11">
      <c r="B42" s="581"/>
      <c r="C42" s="653"/>
      <c r="D42" s="581"/>
      <c r="E42" s="581"/>
      <c r="F42" s="636"/>
      <c r="G42" s="656"/>
      <c r="H42" s="633"/>
      <c r="I42" s="657"/>
      <c r="J42" s="658"/>
    </row>
    <row r="43" spans="2:11">
      <c r="B43" s="587"/>
      <c r="C43" s="587"/>
      <c r="D43" s="585"/>
      <c r="E43" s="585"/>
      <c r="F43" s="636"/>
      <c r="G43" s="659" t="e">
        <f>summ!#REF!</f>
        <v>#REF!</v>
      </c>
      <c r="H43" s="633" t="str">
        <f>CONCATENATE("",E1," Fund Mill Rate")</f>
        <v>2013 Fund Mill Rate</v>
      </c>
      <c r="I43" s="657"/>
      <c r="J43" s="658"/>
    </row>
    <row r="44" spans="2:11">
      <c r="B44" s="587" t="s">
        <v>10</v>
      </c>
      <c r="C44" s="588" t="s">
        <v>814</v>
      </c>
      <c r="D44" s="589" t="s">
        <v>815</v>
      </c>
      <c r="E44" s="590" t="s">
        <v>816</v>
      </c>
      <c r="F44" s="636"/>
      <c r="G44" s="660" t="e">
        <f>summ!#REF!</f>
        <v>#REF!</v>
      </c>
      <c r="H44" s="633" t="str">
        <f>CONCATENATE("",E1-1," Fund Mill Rate")</f>
        <v>2012 Fund Mill Rate</v>
      </c>
      <c r="I44" s="657"/>
      <c r="J44" s="658"/>
    </row>
    <row r="45" spans="2:11">
      <c r="B45" s="661" t="str">
        <f>inputPrYr!B18</f>
        <v>Library</v>
      </c>
      <c r="C45" s="592" t="str">
        <f>CONCATENATE("Actual for ",$E$1-2,"")</f>
        <v>Actual for 2011</v>
      </c>
      <c r="D45" s="593" t="str">
        <f>CONCATENATE("Estimate for ",$E$1-1,"")</f>
        <v>Estimate for 2012</v>
      </c>
      <c r="E45" s="594" t="str">
        <f>CONCATENATE("Year for ",$E$1,"")</f>
        <v>Year for 2013</v>
      </c>
      <c r="F45" s="636"/>
      <c r="G45" s="662">
        <f>summ!I24</f>
        <v>2.4510000000000001</v>
      </c>
      <c r="H45" s="633" t="str">
        <f>CONCATENATE("Total ",E1," Mill Rate")</f>
        <v>Total 2013 Mill Rate</v>
      </c>
      <c r="I45" s="657"/>
      <c r="J45" s="658"/>
    </row>
    <row r="46" spans="2:11">
      <c r="B46" s="595" t="s">
        <v>138</v>
      </c>
      <c r="C46" s="600">
        <v>0</v>
      </c>
      <c r="D46" s="597">
        <f>C74</f>
        <v>0</v>
      </c>
      <c r="E46" s="598">
        <f>D74</f>
        <v>0</v>
      </c>
      <c r="F46" s="636"/>
      <c r="G46" s="660">
        <f>summ!F24</f>
        <v>2.5310000000000001</v>
      </c>
      <c r="H46" s="663" t="str">
        <f>CONCATENATE("Total ",E1-1," Mill Rate")</f>
        <v>Total 2012 Mill Rate</v>
      </c>
      <c r="I46" s="664"/>
      <c r="J46" s="665"/>
    </row>
    <row r="47" spans="2:11">
      <c r="B47" s="666" t="s">
        <v>116</v>
      </c>
      <c r="C47" s="595"/>
      <c r="D47" s="597"/>
      <c r="E47" s="598"/>
      <c r="F47" s="636"/>
    </row>
    <row r="48" spans="2:11">
      <c r="B48" s="595" t="s">
        <v>16</v>
      </c>
      <c r="C48" s="608"/>
      <c r="D48" s="597">
        <f>IF(inputPrYr!H15&gt;0,inputPrYr!G20,inputPrYr!E20)</f>
        <v>0</v>
      </c>
      <c r="E48" s="601" t="s">
        <v>284</v>
      </c>
      <c r="F48" s="636"/>
    </row>
    <row r="49" spans="2:10">
      <c r="B49" s="595" t="s">
        <v>17</v>
      </c>
      <c r="C49" s="608"/>
      <c r="D49" s="602"/>
      <c r="E49" s="603"/>
      <c r="F49" s="636"/>
    </row>
    <row r="50" spans="2:10">
      <c r="B50" s="595" t="s">
        <v>18</v>
      </c>
      <c r="C50" s="608"/>
      <c r="D50" s="602"/>
      <c r="E50" s="598">
        <f>mvalloc!G13</f>
        <v>0</v>
      </c>
      <c r="F50" s="636"/>
    </row>
    <row r="51" spans="2:10">
      <c r="B51" s="595" t="s">
        <v>19</v>
      </c>
      <c r="C51" s="608"/>
      <c r="D51" s="602"/>
      <c r="E51" s="598">
        <f>mvalloc!I13</f>
        <v>0</v>
      </c>
      <c r="F51" s="636"/>
    </row>
    <row r="52" spans="2:10">
      <c r="B52" s="604" t="s">
        <v>96</v>
      </c>
      <c r="C52" s="608"/>
      <c r="D52" s="602"/>
      <c r="E52" s="598">
        <f>mvalloc!J13</f>
        <v>0</v>
      </c>
    </row>
    <row r="53" spans="2:10">
      <c r="B53" s="605"/>
      <c r="C53" s="608"/>
      <c r="D53" s="602"/>
      <c r="E53" s="606"/>
    </row>
    <row r="54" spans="2:10">
      <c r="B54" s="605"/>
      <c r="C54" s="608"/>
      <c r="D54" s="602"/>
      <c r="E54" s="606"/>
    </row>
    <row r="55" spans="2:10">
      <c r="B55" s="605"/>
      <c r="C55" s="608"/>
      <c r="D55" s="602"/>
      <c r="E55" s="603"/>
    </row>
    <row r="56" spans="2:10">
      <c r="B56" s="605"/>
      <c r="C56" s="608"/>
      <c r="D56" s="602"/>
      <c r="E56" s="603"/>
    </row>
    <row r="57" spans="2:10">
      <c r="B57" s="607" t="s">
        <v>22</v>
      </c>
      <c r="C57" s="608"/>
      <c r="D57" s="602"/>
      <c r="E57" s="603"/>
    </row>
    <row r="58" spans="2:10">
      <c r="B58" s="595" t="s">
        <v>207</v>
      </c>
      <c r="C58" s="608"/>
      <c r="D58" s="608"/>
      <c r="E58" s="667"/>
    </row>
    <row r="59" spans="2:10">
      <c r="B59" s="595" t="s">
        <v>820</v>
      </c>
      <c r="C59" s="609" t="str">
        <f>IF(C60*0.1&lt;C58,"Exceed 10% Rule","")</f>
        <v/>
      </c>
      <c r="D59" s="609" t="str">
        <f>IF(D60*0.1&lt;D58,"Exceeds 10% Rule","")</f>
        <v/>
      </c>
      <c r="E59" s="610" t="str">
        <f>IF(E60*0.1&lt;E58,"Exceed 10% Rule","")</f>
        <v/>
      </c>
    </row>
    <row r="60" spans="2:10">
      <c r="B60" s="611" t="s">
        <v>23</v>
      </c>
      <c r="C60" s="630">
        <f>SUM(C48:C58)</f>
        <v>0</v>
      </c>
      <c r="D60" s="630">
        <f>SUM(D48:D58)</f>
        <v>0</v>
      </c>
      <c r="E60" s="631">
        <f>SUM(E49:E58)</f>
        <v>0</v>
      </c>
    </row>
    <row r="61" spans="2:10">
      <c r="B61" s="611" t="s">
        <v>24</v>
      </c>
      <c r="C61" s="630">
        <f>C46+C60</f>
        <v>0</v>
      </c>
      <c r="D61" s="630">
        <f>D46+D60</f>
        <v>0</v>
      </c>
      <c r="E61" s="631">
        <f>E46+E60</f>
        <v>0</v>
      </c>
    </row>
    <row r="62" spans="2:10">
      <c r="B62" s="595" t="s">
        <v>25</v>
      </c>
      <c r="C62" s="595"/>
      <c r="D62" s="597"/>
      <c r="E62" s="598"/>
    </row>
    <row r="63" spans="2:10">
      <c r="B63" s="605"/>
      <c r="C63" s="600"/>
      <c r="D63" s="602"/>
      <c r="E63" s="603"/>
    </row>
    <row r="64" spans="2:10">
      <c r="B64" s="605"/>
      <c r="C64" s="600"/>
      <c r="D64" s="602"/>
      <c r="E64" s="603"/>
      <c r="G64" s="809" t="str">
        <f>CONCATENATE("Desired Carryover Into ",E1+1,"")</f>
        <v>Desired Carryover Into 2014</v>
      </c>
      <c r="H64" s="810"/>
      <c r="I64" s="810"/>
      <c r="J64" s="811"/>
    </row>
    <row r="65" spans="2:11">
      <c r="B65" s="605"/>
      <c r="C65" s="600"/>
      <c r="D65" s="602"/>
      <c r="E65" s="603"/>
      <c r="G65" s="614"/>
      <c r="H65" s="615"/>
      <c r="I65" s="616"/>
      <c r="J65" s="617"/>
    </row>
    <row r="66" spans="2:11">
      <c r="B66" s="605"/>
      <c r="C66" s="600"/>
      <c r="D66" s="602"/>
      <c r="E66" s="603"/>
      <c r="G66" s="618" t="s">
        <v>709</v>
      </c>
      <c r="H66" s="616"/>
      <c r="I66" s="616"/>
      <c r="J66" s="619">
        <v>0</v>
      </c>
    </row>
    <row r="67" spans="2:11">
      <c r="B67" s="605"/>
      <c r="C67" s="600"/>
      <c r="D67" s="602"/>
      <c r="E67" s="603"/>
      <c r="G67" s="614" t="s">
        <v>710</v>
      </c>
      <c r="H67" s="615"/>
      <c r="I67" s="615"/>
      <c r="J67" s="620" t="str">
        <f>IF(J66=0,"",ROUND((J66+E80-G79)/inputOth!E7*1000,3)-G84)</f>
        <v/>
      </c>
    </row>
    <row r="68" spans="2:11">
      <c r="B68" s="605"/>
      <c r="C68" s="600"/>
      <c r="D68" s="602"/>
      <c r="E68" s="603"/>
      <c r="G68" s="621" t="str">
        <f>CONCATENATE("",E1," Tot Exp/Non-Appr Must Be:")</f>
        <v>2013 Tot Exp/Non-Appr Must Be:</v>
      </c>
      <c r="H68" s="622"/>
      <c r="I68" s="623"/>
      <c r="J68" s="624">
        <f>IF(J66&gt;0,IF(E77&lt;E61,IF(J66=G79,E77,((J66-G79)*(1-D79))+E61),E77+(J66-G79)),0)</f>
        <v>0</v>
      </c>
    </row>
    <row r="69" spans="2:11">
      <c r="B69" s="605"/>
      <c r="C69" s="600"/>
      <c r="D69" s="602"/>
      <c r="E69" s="603"/>
      <c r="G69" s="625" t="s">
        <v>817</v>
      </c>
      <c r="H69" s="626"/>
      <c r="I69" s="626"/>
      <c r="J69" s="627">
        <f>IF(J66&gt;0,J68-E77,0)</f>
        <v>0</v>
      </c>
    </row>
    <row r="70" spans="2:11">
      <c r="B70" s="604" t="s">
        <v>209</v>
      </c>
      <c r="C70" s="600"/>
      <c r="D70" s="602"/>
      <c r="E70" s="598" t="str">
        <f>nhood!E8</f>
        <v/>
      </c>
      <c r="F70" s="636"/>
    </row>
    <row r="71" spans="2:11">
      <c r="B71" s="604" t="s">
        <v>207</v>
      </c>
      <c r="C71" s="608"/>
      <c r="D71" s="602"/>
      <c r="E71" s="603"/>
      <c r="F71" s="636"/>
      <c r="G71" s="809" t="str">
        <f>CONCATENATE("Projected Carryover Into ",E1+1,"")</f>
        <v>Projected Carryover Into 2014</v>
      </c>
      <c r="H71" s="814"/>
      <c r="I71" s="814"/>
      <c r="J71" s="813"/>
    </row>
    <row r="72" spans="2:11">
      <c r="B72" s="604" t="s">
        <v>616</v>
      </c>
      <c r="C72" s="609" t="str">
        <f>IF(C73*0.1&lt;C71,"Exceed 10% Rule","")</f>
        <v/>
      </c>
      <c r="D72" s="609" t="str">
        <f>IF(D73*0.1&lt;D71,"Exceed 10% Rule","")</f>
        <v/>
      </c>
      <c r="E72" s="610" t="str">
        <f>IF(E73*0.1&lt;E71,"Exceed 10% Rule","")</f>
        <v/>
      </c>
      <c r="F72" s="636"/>
      <c r="G72" s="668"/>
      <c r="H72" s="615"/>
      <c r="I72" s="615"/>
      <c r="J72" s="669"/>
    </row>
    <row r="73" spans="2:11">
      <c r="B73" s="611" t="s">
        <v>26</v>
      </c>
      <c r="C73" s="630">
        <f>SUM(C63:C71)</f>
        <v>0</v>
      </c>
      <c r="D73" s="630">
        <f>SUM(D63:D71)</f>
        <v>0</v>
      </c>
      <c r="E73" s="631">
        <f>SUM(E63:E71)</f>
        <v>0</v>
      </c>
      <c r="F73" s="636"/>
      <c r="G73" s="632">
        <f>D74</f>
        <v>0</v>
      </c>
      <c r="H73" s="633" t="str">
        <f>CONCATENATE("",E1-1," Ending Cash Balance (est.)")</f>
        <v>2012 Ending Cash Balance (est.)</v>
      </c>
      <c r="I73" s="634"/>
      <c r="J73" s="669"/>
    </row>
    <row r="74" spans="2:11">
      <c r="B74" s="595" t="s">
        <v>115</v>
      </c>
      <c r="C74" s="635">
        <f>C61-C73</f>
        <v>0</v>
      </c>
      <c r="D74" s="635">
        <f>D61-D73</f>
        <v>0</v>
      </c>
      <c r="E74" s="601" t="s">
        <v>284</v>
      </c>
      <c r="F74" s="636"/>
      <c r="G74" s="632">
        <f>E60</f>
        <v>0</v>
      </c>
      <c r="H74" s="616" t="str">
        <f>CONCATENATE("",E1," Non-AV Receipts (est.)")</f>
        <v>2013 Non-AV Receipts (est.)</v>
      </c>
      <c r="I74" s="634"/>
      <c r="J74" s="669"/>
    </row>
    <row r="75" spans="2:11">
      <c r="B75" s="637" t="str">
        <f>CONCATENATE("",E1-2,"/",E1-1," Budget Authority Amount:")</f>
        <v>2011/2012 Budget Authority Amount:</v>
      </c>
      <c r="C75" s="638">
        <f>inputOth!B48</f>
        <v>0</v>
      </c>
      <c r="D75" s="638">
        <f>inputPrYr!D18</f>
        <v>0</v>
      </c>
      <c r="E75" s="601" t="s">
        <v>284</v>
      </c>
      <c r="F75" s="640"/>
      <c r="G75" s="641">
        <f>IF(E79&gt;0,E78,E80)</f>
        <v>0</v>
      </c>
      <c r="H75" s="616" t="str">
        <f>CONCATENATE("",E1," Ad Valorem Tax (est.)")</f>
        <v>2013 Ad Valorem Tax (est.)</v>
      </c>
      <c r="I75" s="634"/>
      <c r="J75" s="669"/>
      <c r="K75" s="642" t="str">
        <f>IF(G75=E80,"","Note: Does not include Delinquent Taxes")</f>
        <v/>
      </c>
    </row>
    <row r="76" spans="2:11">
      <c r="B76" s="637"/>
      <c r="C76" s="793" t="s">
        <v>617</v>
      </c>
      <c r="D76" s="794"/>
      <c r="E76" s="603"/>
      <c r="F76" s="670" t="str">
        <f>IF(E73/0.95-E73&lt;E76,"Exceeds 5%","")</f>
        <v/>
      </c>
      <c r="G76" s="671">
        <f>SUM(G73:G75)</f>
        <v>0</v>
      </c>
      <c r="H76" s="616" t="str">
        <f>CONCATENATE("Total ",E1," Resources Available")</f>
        <v>Total 2013 Resources Available</v>
      </c>
      <c r="I76" s="672"/>
      <c r="J76" s="669"/>
    </row>
    <row r="77" spans="2:11">
      <c r="B77" s="644" t="str">
        <f>CONCATENATE(C95,"     ",D95)</f>
        <v xml:space="preserve">     </v>
      </c>
      <c r="C77" s="795" t="s">
        <v>618</v>
      </c>
      <c r="D77" s="796"/>
      <c r="E77" s="598">
        <f>E73+E76</f>
        <v>0</v>
      </c>
      <c r="F77" s="636"/>
      <c r="G77" s="673"/>
      <c r="H77" s="674"/>
      <c r="I77" s="615"/>
      <c r="J77" s="669"/>
    </row>
    <row r="78" spans="2:11">
      <c r="B78" s="644" t="str">
        <f>CONCATENATE(C96,"     ",D96)</f>
        <v xml:space="preserve">     </v>
      </c>
      <c r="C78" s="646"/>
      <c r="D78" s="584" t="s">
        <v>28</v>
      </c>
      <c r="E78" s="647">
        <f>IF(E77-E61&gt;0,E77-E61,0)</f>
        <v>0</v>
      </c>
      <c r="F78" s="636"/>
      <c r="G78" s="641">
        <f>ROUND(C73*0.05+C73,0)</f>
        <v>0</v>
      </c>
      <c r="H78" s="616" t="str">
        <f>CONCATENATE("Less ",E1-2," Expenditures + 5%")</f>
        <v>Less 2011 Expenditures + 5%</v>
      </c>
      <c r="I78" s="672"/>
      <c r="J78" s="669"/>
    </row>
    <row r="79" spans="2:11">
      <c r="B79" s="584"/>
      <c r="C79" s="400" t="s">
        <v>619</v>
      </c>
      <c r="D79" s="648">
        <f>inputOth!E40</f>
        <v>0</v>
      </c>
      <c r="E79" s="598">
        <f>ROUND(IF(E78&gt;0,(E78*D79),0),0)</f>
        <v>0</v>
      </c>
      <c r="F79" s="636"/>
      <c r="G79" s="649">
        <f>G76-G78</f>
        <v>0</v>
      </c>
      <c r="H79" s="650" t="str">
        <f>CONCATENATE("Projected ",E1+1," carryover (est.)")</f>
        <v>Projected 2014 carryover (est.)</v>
      </c>
      <c r="I79" s="675"/>
      <c r="J79" s="676"/>
    </row>
    <row r="80" spans="2:11" ht="16.5" thickBot="1">
      <c r="B80" s="581"/>
      <c r="C80" s="878" t="str">
        <f>CONCATENATE("Amount of  ",E1-1," Ad Valorem Tax")</f>
        <v>Amount of  2012 Ad Valorem Tax</v>
      </c>
      <c r="D80" s="879"/>
      <c r="E80" s="654">
        <f>E78+E79</f>
        <v>0</v>
      </c>
      <c r="F80" s="677" t="e">
        <f>IF('Library Grant'!F33="","",IF('Library Grant'!F33="Qualify","Qualifies for State Library Grant","See 'Library Grant' tab"))</f>
        <v>#REF!</v>
      </c>
    </row>
    <row r="81" spans="2:10" ht="16.5" thickTop="1">
      <c r="B81" s="584"/>
      <c r="C81" s="878"/>
      <c r="D81" s="879"/>
      <c r="E81" s="655"/>
      <c r="F81" s="636"/>
      <c r="G81" s="806" t="s">
        <v>818</v>
      </c>
      <c r="H81" s="807"/>
      <c r="I81" s="807"/>
      <c r="J81" s="808"/>
    </row>
    <row r="82" spans="2:10">
      <c r="B82" s="584"/>
      <c r="C82" s="584"/>
      <c r="D82" s="584"/>
      <c r="E82" s="584"/>
      <c r="G82" s="656"/>
      <c r="H82" s="633"/>
      <c r="I82" s="657"/>
      <c r="J82" s="658"/>
    </row>
    <row r="83" spans="2:10">
      <c r="B83" s="584" t="s">
        <v>9</v>
      </c>
      <c r="C83" s="678"/>
      <c r="D83" s="584"/>
      <c r="E83" s="584"/>
      <c r="F83" s="636"/>
      <c r="G83" s="659" t="e">
        <f>summ!#REF!</f>
        <v>#REF!</v>
      </c>
      <c r="H83" s="633" t="str">
        <f>CONCATENATE("",E1," Fund Mill Rate")</f>
        <v>2013 Fund Mill Rate</v>
      </c>
      <c r="I83" s="657"/>
      <c r="J83" s="658"/>
    </row>
    <row r="84" spans="2:10">
      <c r="G84" s="660" t="e">
        <f>summ!#REF!</f>
        <v>#REF!</v>
      </c>
      <c r="H84" s="633" t="str">
        <f>CONCATENATE("",E1-1," Fund Mill Rate")</f>
        <v>2012 Fund Mill Rate</v>
      </c>
      <c r="I84" s="657"/>
      <c r="J84" s="658"/>
    </row>
    <row r="85" spans="2:10">
      <c r="G85" s="662">
        <f>summ!I24</f>
        <v>2.4510000000000001</v>
      </c>
      <c r="H85" s="633" t="str">
        <f>CONCATENATE("Total ",E1," Mill Rate")</f>
        <v>Total 2013 Mill Rate</v>
      </c>
      <c r="I85" s="657"/>
      <c r="J85" s="658"/>
    </row>
    <row r="86" spans="2:10">
      <c r="G86" s="660">
        <f>summ!F24</f>
        <v>2.5310000000000001</v>
      </c>
      <c r="H86" s="663" t="str">
        <f>CONCATENATE("Total ",E1-1," Mill Rate")</f>
        <v>Total 2012 Mill Rate</v>
      </c>
      <c r="I86" s="664"/>
      <c r="J86" s="665"/>
    </row>
    <row r="87" spans="2:10">
      <c r="G87" s="679"/>
      <c r="H87" s="679"/>
      <c r="I87" s="679"/>
      <c r="J87" s="679"/>
    </row>
    <row r="88" spans="2:10">
      <c r="C88" s="680" t="s">
        <v>819</v>
      </c>
      <c r="D88" s="680" t="s">
        <v>819</v>
      </c>
    </row>
    <row r="89" spans="2:10">
      <c r="C89" s="680" t="s">
        <v>819</v>
      </c>
      <c r="D89" s="680" t="s">
        <v>819</v>
      </c>
    </row>
    <row r="91" spans="2:10">
      <c r="C91" s="680" t="s">
        <v>819</v>
      </c>
      <c r="D91" s="680" t="s">
        <v>819</v>
      </c>
    </row>
    <row r="92" spans="2:10">
      <c r="C92" s="680" t="s">
        <v>819</v>
      </c>
      <c r="D92" s="680" t="s">
        <v>819</v>
      </c>
    </row>
    <row r="93" spans="2:10" hidden="1">
      <c r="C93" s="681" t="str">
        <f>IF(C33&gt;C35,"See Tab A","")</f>
        <v/>
      </c>
      <c r="D93" s="681" t="str">
        <f>IF(D33&gt;D35,"See Tab C","")</f>
        <v/>
      </c>
    </row>
    <row r="94" spans="2:10" hidden="1">
      <c r="C94" s="681" t="str">
        <f>IF(C34&lt;0,"See Tab B","")</f>
        <v/>
      </c>
      <c r="D94" s="681" t="str">
        <f>IF(D34&lt;0,"See Tab D","")</f>
        <v/>
      </c>
    </row>
    <row r="95" spans="2:10" hidden="1">
      <c r="C95" s="682" t="str">
        <f>IF(C73&gt;C75,"See Tab A","")</f>
        <v/>
      </c>
      <c r="D95" s="682" t="str">
        <f>IF(D73&gt;D75,"See Tab C","")</f>
        <v/>
      </c>
    </row>
    <row r="96" spans="2:10" hidden="1">
      <c r="C96" s="682" t="str">
        <f>IF(C74&lt;0,"See Tab B","")</f>
        <v/>
      </c>
      <c r="D96" s="682" t="str">
        <f>IF(D74&lt;0,"See Tab D","")</f>
        <v/>
      </c>
    </row>
  </sheetData>
  <mergeCells count="14">
    <mergeCell ref="C81:D81"/>
    <mergeCell ref="G81:J81"/>
    <mergeCell ref="G24:J24"/>
    <mergeCell ref="G31:J31"/>
    <mergeCell ref="C36:D36"/>
    <mergeCell ref="C37:D37"/>
    <mergeCell ref="C40:D40"/>
    <mergeCell ref="C41:D41"/>
    <mergeCell ref="G41:J41"/>
    <mergeCell ref="G64:J64"/>
    <mergeCell ref="G71:J71"/>
    <mergeCell ref="C76:D76"/>
    <mergeCell ref="C77:D77"/>
    <mergeCell ref="C80:D80"/>
  </mergeCells>
  <conditionalFormatting sqref="C73">
    <cfRule type="cellIs" dxfId="15" priority="16" stopIfTrue="1" operator="greaterThan">
      <formula>$C$75</formula>
    </cfRule>
  </conditionalFormatting>
  <conditionalFormatting sqref="C74:D74 C34:D34">
    <cfRule type="cellIs" dxfId="14" priority="15" stopIfTrue="1" operator="lessThan">
      <formula>0</formula>
    </cfRule>
  </conditionalFormatting>
  <conditionalFormatting sqref="D73">
    <cfRule type="cellIs" dxfId="13" priority="14" stopIfTrue="1" operator="greaterThan">
      <formula>$D$75</formula>
    </cfRule>
  </conditionalFormatting>
  <conditionalFormatting sqref="C33">
    <cfRule type="cellIs" dxfId="12" priority="13" stopIfTrue="1" operator="greaterThan">
      <formula>$C$35</formula>
    </cfRule>
  </conditionalFormatting>
  <conditionalFormatting sqref="D33">
    <cfRule type="cellIs" dxfId="11" priority="12" stopIfTrue="1" operator="greaterThan">
      <formula>$D$35</formula>
    </cfRule>
  </conditionalFormatting>
  <conditionalFormatting sqref="C31">
    <cfRule type="cellIs" dxfId="10" priority="11" stopIfTrue="1" operator="greaterThan">
      <formula>$C$33*0.1</formula>
    </cfRule>
  </conditionalFormatting>
  <conditionalFormatting sqref="D31">
    <cfRule type="cellIs" dxfId="9" priority="10" stopIfTrue="1" operator="greaterThan">
      <formula>$D$33*0.1</formula>
    </cfRule>
  </conditionalFormatting>
  <conditionalFormatting sqref="E31">
    <cfRule type="cellIs" dxfId="8" priority="9" stopIfTrue="1" operator="greaterThan">
      <formula>$E$33*0.1</formula>
    </cfRule>
  </conditionalFormatting>
  <conditionalFormatting sqref="C18 C58:E58">
    <cfRule type="cellIs" dxfId="7" priority="8" stopIfTrue="1" operator="greaterThan">
      <formula>$C$20*0.1</formula>
    </cfRule>
  </conditionalFormatting>
  <conditionalFormatting sqref="D18">
    <cfRule type="cellIs" dxfId="6" priority="7" stopIfTrue="1" operator="greaterThan">
      <formula>$D$20*0.1</formula>
    </cfRule>
  </conditionalFormatting>
  <conditionalFormatting sqref="E18">
    <cfRule type="cellIs" dxfId="5" priority="6" stopIfTrue="1" operator="greaterThan">
      <formula>$E$20*0.1+$E$40</formula>
    </cfRule>
  </conditionalFormatting>
  <conditionalFormatting sqref="C71">
    <cfRule type="cellIs" dxfId="4" priority="5" stopIfTrue="1" operator="greaterThan">
      <formula>$C$73*0.1</formula>
    </cfRule>
  </conditionalFormatting>
  <conditionalFormatting sqref="D71">
    <cfRule type="cellIs" dxfId="3" priority="4" stopIfTrue="1" operator="greaterThan">
      <formula>$D$73*0.1</formula>
    </cfRule>
  </conditionalFormatting>
  <conditionalFormatting sqref="E71">
    <cfRule type="cellIs" dxfId="2" priority="3" stopIfTrue="1" operator="greaterThan">
      <formula>$E$73*0.1</formula>
    </cfRule>
  </conditionalFormatting>
  <conditionalFormatting sqref="E36">
    <cfRule type="cellIs" dxfId="1" priority="2" stopIfTrue="1" operator="greaterThan">
      <formula>$E$33/0.95-$E$33</formula>
    </cfRule>
  </conditionalFormatting>
  <conditionalFormatting sqref="E76">
    <cfRule type="cellIs" dxfId="0" priority="1" stopIfTrue="1" operator="greaterThan">
      <formula>$E$73/0.98-$E$73</formula>
    </cfRule>
  </conditionalFormatting>
  <pageMargins left="0.75" right="0.75" top="1" bottom="1" header="0.5" footer="0.5"/>
  <pageSetup scale="56" orientation="portrait" blackAndWhite="1" r:id="rId1"/>
  <headerFooter alignWithMargins="0">
    <oddHeader>&amp;RState of Kansas
City</oddHeader>
  </headerFooter>
</worksheet>
</file>

<file path=xl/worksheets/sheet32.xml><?xml version="1.0" encoding="utf-8"?>
<worksheet xmlns="http://schemas.openxmlformats.org/spreadsheetml/2006/main" xmlns:r="http://schemas.openxmlformats.org/officeDocument/2006/relationships">
  <dimension ref="A1:A40"/>
  <sheetViews>
    <sheetView workbookViewId="0">
      <selection sqref="A1:IV65536"/>
    </sheetView>
  </sheetViews>
  <sheetFormatPr defaultRowHeight="15.75"/>
  <cols>
    <col min="1" max="1" width="64.09765625" style="475" customWidth="1"/>
    <col min="2" max="16384" width="8.796875" style="475"/>
  </cols>
  <sheetData>
    <row r="1" spans="1:1" ht="16.5">
      <c r="A1" s="474" t="s">
        <v>684</v>
      </c>
    </row>
    <row r="3" spans="1:1" ht="31.5">
      <c r="A3" s="476" t="s">
        <v>685</v>
      </c>
    </row>
    <row r="4" spans="1:1">
      <c r="A4" s="477" t="s">
        <v>686</v>
      </c>
    </row>
    <row r="7" spans="1:1" ht="31.5">
      <c r="A7" s="476" t="s">
        <v>687</v>
      </c>
    </row>
    <row r="8" spans="1:1">
      <c r="A8" s="477" t="s">
        <v>688</v>
      </c>
    </row>
    <row r="11" spans="1:1">
      <c r="A11" s="475" t="s">
        <v>689</v>
      </c>
    </row>
    <row r="12" spans="1:1">
      <c r="A12" s="477" t="s">
        <v>690</v>
      </c>
    </row>
    <row r="15" spans="1:1">
      <c r="A15" s="475" t="s">
        <v>691</v>
      </c>
    </row>
    <row r="16" spans="1:1">
      <c r="A16" s="477" t="s">
        <v>692</v>
      </c>
    </row>
    <row r="19" spans="1:1">
      <c r="A19" s="475" t="s">
        <v>693</v>
      </c>
    </row>
    <row r="20" spans="1:1">
      <c r="A20" s="477" t="s">
        <v>694</v>
      </c>
    </row>
    <row r="23" spans="1:1">
      <c r="A23" s="475" t="s">
        <v>695</v>
      </c>
    </row>
    <row r="24" spans="1:1">
      <c r="A24" s="477" t="s">
        <v>696</v>
      </c>
    </row>
    <row r="27" spans="1:1">
      <c r="A27" s="475" t="s">
        <v>697</v>
      </c>
    </row>
    <row r="28" spans="1:1">
      <c r="A28" s="477" t="s">
        <v>698</v>
      </c>
    </row>
    <row r="31" spans="1:1">
      <c r="A31" s="475" t="s">
        <v>699</v>
      </c>
    </row>
    <row r="32" spans="1:1">
      <c r="A32" s="477" t="s">
        <v>700</v>
      </c>
    </row>
    <row r="35" spans="1:1">
      <c r="A35" s="475" t="s">
        <v>701</v>
      </c>
    </row>
    <row r="36" spans="1:1">
      <c r="A36" s="477" t="s">
        <v>702</v>
      </c>
    </row>
    <row r="39" spans="1:1">
      <c r="A39" s="475" t="s">
        <v>703</v>
      </c>
    </row>
    <row r="40" spans="1:1">
      <c r="A40" s="477" t="s">
        <v>704</v>
      </c>
    </row>
  </sheetData>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33.xml><?xml version="1.0" encoding="utf-8"?>
<worksheet xmlns="http://schemas.openxmlformats.org/spreadsheetml/2006/main" xmlns:r="http://schemas.openxmlformats.org/officeDocument/2006/relationships">
  <dimension ref="A1:A190"/>
  <sheetViews>
    <sheetView workbookViewId="0">
      <selection activeCell="D10" sqref="D10"/>
    </sheetView>
  </sheetViews>
  <sheetFormatPr defaultRowHeight="15.75"/>
  <cols>
    <col min="1" max="1" width="72.09765625" style="79" customWidth="1"/>
    <col min="2" max="16384" width="8.796875" style="79"/>
  </cols>
  <sheetData>
    <row r="1" spans="1:1">
      <c r="A1" s="370" t="s">
        <v>922</v>
      </c>
    </row>
    <row r="2" spans="1:1">
      <c r="A2" s="743" t="s">
        <v>923</v>
      </c>
    </row>
    <row r="4" spans="1:1">
      <c r="A4" s="370" t="s">
        <v>888</v>
      </c>
    </row>
    <row r="5" spans="1:1">
      <c r="A5" s="79" t="s">
        <v>889</v>
      </c>
    </row>
    <row r="6" spans="1:1">
      <c r="A6" s="79" t="s">
        <v>890</v>
      </c>
    </row>
    <row r="7" spans="1:1">
      <c r="A7" s="79" t="s">
        <v>891</v>
      </c>
    </row>
    <row r="8" spans="1:1">
      <c r="A8" s="79" t="s">
        <v>892</v>
      </c>
    </row>
    <row r="9" spans="1:1">
      <c r="A9" s="79" t="s">
        <v>893</v>
      </c>
    </row>
    <row r="10" spans="1:1">
      <c r="A10" s="79" t="s">
        <v>894</v>
      </c>
    </row>
    <row r="11" spans="1:1">
      <c r="A11" s="79" t="s">
        <v>895</v>
      </c>
    </row>
    <row r="12" spans="1:1">
      <c r="A12" s="79" t="s">
        <v>896</v>
      </c>
    </row>
    <row r="13" spans="1:1">
      <c r="A13" s="79" t="s">
        <v>897</v>
      </c>
    </row>
    <row r="14" spans="1:1">
      <c r="A14" s="79" t="s">
        <v>898</v>
      </c>
    </row>
    <row r="15" spans="1:1">
      <c r="A15" s="79" t="s">
        <v>899</v>
      </c>
    </row>
    <row r="16" spans="1:1">
      <c r="A16" s="79" t="s">
        <v>900</v>
      </c>
    </row>
    <row r="17" spans="1:1">
      <c r="A17" s="79" t="s">
        <v>901</v>
      </c>
    </row>
    <row r="18" spans="1:1">
      <c r="A18" s="79" t="s">
        <v>902</v>
      </c>
    </row>
    <row r="19" spans="1:1">
      <c r="A19" s="79" t="s">
        <v>903</v>
      </c>
    </row>
    <row r="20" spans="1:1">
      <c r="A20" s="79" t="s">
        <v>904</v>
      </c>
    </row>
    <row r="21" spans="1:1">
      <c r="A21" s="79" t="s">
        <v>905</v>
      </c>
    </row>
    <row r="22" spans="1:1">
      <c r="A22" s="79" t="s">
        <v>906</v>
      </c>
    </row>
    <row r="23" spans="1:1">
      <c r="A23" s="79" t="s">
        <v>907</v>
      </c>
    </row>
    <row r="24" spans="1:1">
      <c r="A24" s="79" t="s">
        <v>908</v>
      </c>
    </row>
    <row r="25" spans="1:1">
      <c r="A25" s="79" t="s">
        <v>909</v>
      </c>
    </row>
    <row r="26" spans="1:1">
      <c r="A26" s="79" t="s">
        <v>910</v>
      </c>
    </row>
    <row r="27" spans="1:1">
      <c r="A27" s="79" t="s">
        <v>911</v>
      </c>
    </row>
    <row r="28" spans="1:1">
      <c r="A28" s="79" t="s">
        <v>912</v>
      </c>
    </row>
    <row r="29" spans="1:1">
      <c r="A29" s="79" t="s">
        <v>913</v>
      </c>
    </row>
    <row r="30" spans="1:1">
      <c r="A30" s="79" t="s">
        <v>914</v>
      </c>
    </row>
    <row r="31" spans="1:1">
      <c r="A31" s="79" t="s">
        <v>915</v>
      </c>
    </row>
    <row r="32" spans="1:1">
      <c r="A32" s="79" t="s">
        <v>917</v>
      </c>
    </row>
    <row r="33" spans="1:1">
      <c r="A33" s="79" t="s">
        <v>916</v>
      </c>
    </row>
    <row r="35" spans="1:1">
      <c r="A35" s="370" t="s">
        <v>748</v>
      </c>
    </row>
    <row r="36" spans="1:1">
      <c r="A36" s="79" t="s">
        <v>749</v>
      </c>
    </row>
    <row r="38" spans="1:1">
      <c r="A38" s="370" t="s">
        <v>746</v>
      </c>
    </row>
    <row r="39" spans="1:1">
      <c r="A39" s="79" t="s">
        <v>747</v>
      </c>
    </row>
    <row r="41" spans="1:1">
      <c r="A41" s="370" t="s">
        <v>743</v>
      </c>
    </row>
    <row r="42" spans="1:1">
      <c r="A42" s="535" t="s">
        <v>744</v>
      </c>
    </row>
    <row r="44" spans="1:1">
      <c r="A44" s="370" t="s">
        <v>740</v>
      </c>
    </row>
    <row r="45" spans="1:1">
      <c r="A45" s="79" t="s">
        <v>741</v>
      </c>
    </row>
    <row r="46" spans="1:1">
      <c r="A46" s="79" t="s">
        <v>742</v>
      </c>
    </row>
    <row r="48" spans="1:1">
      <c r="A48" s="370" t="s">
        <v>716</v>
      </c>
    </row>
    <row r="49" spans="1:1">
      <c r="A49" s="535" t="s">
        <v>717</v>
      </c>
    </row>
    <row r="50" spans="1:1">
      <c r="A50" s="535" t="s">
        <v>718</v>
      </c>
    </row>
    <row r="51" spans="1:1" ht="31.5">
      <c r="A51" s="534" t="s">
        <v>719</v>
      </c>
    </row>
    <row r="52" spans="1:1">
      <c r="A52" s="535" t="s">
        <v>720</v>
      </c>
    </row>
    <row r="53" spans="1:1">
      <c r="A53" s="535" t="s">
        <v>721</v>
      </c>
    </row>
    <row r="54" spans="1:1">
      <c r="A54" s="535" t="s">
        <v>722</v>
      </c>
    </row>
    <row r="55" spans="1:1">
      <c r="A55" s="535" t="s">
        <v>723</v>
      </c>
    </row>
    <row r="56" spans="1:1">
      <c r="A56" s="535" t="s">
        <v>724</v>
      </c>
    </row>
    <row r="57" spans="1:1">
      <c r="A57" s="535" t="s">
        <v>725</v>
      </c>
    </row>
    <row r="58" spans="1:1">
      <c r="A58" s="535" t="s">
        <v>726</v>
      </c>
    </row>
    <row r="59" spans="1:1">
      <c r="A59" s="535" t="s">
        <v>727</v>
      </c>
    </row>
    <row r="60" spans="1:1">
      <c r="A60" s="535" t="s">
        <v>728</v>
      </c>
    </row>
    <row r="61" spans="1:1">
      <c r="A61" s="535" t="s">
        <v>738</v>
      </c>
    </row>
    <row r="62" spans="1:1">
      <c r="A62" s="535" t="s">
        <v>729</v>
      </c>
    </row>
    <row r="63" spans="1:1">
      <c r="A63" s="535" t="s">
        <v>730</v>
      </c>
    </row>
    <row r="64" spans="1:1">
      <c r="A64" s="535" t="s">
        <v>731</v>
      </c>
    </row>
    <row r="65" spans="1:1">
      <c r="A65" s="535" t="s">
        <v>732</v>
      </c>
    </row>
    <row r="66" spans="1:1">
      <c r="A66" s="535" t="s">
        <v>733</v>
      </c>
    </row>
    <row r="67" spans="1:1">
      <c r="A67" s="535" t="s">
        <v>734</v>
      </c>
    </row>
    <row r="68" spans="1:1">
      <c r="A68" s="535" t="s">
        <v>735</v>
      </c>
    </row>
    <row r="69" spans="1:1">
      <c r="A69" s="535" t="s">
        <v>736</v>
      </c>
    </row>
    <row r="70" spans="1:1">
      <c r="A70" s="535" t="s">
        <v>737</v>
      </c>
    </row>
    <row r="71" spans="1:1">
      <c r="A71" s="535" t="s">
        <v>739</v>
      </c>
    </row>
    <row r="73" spans="1:1">
      <c r="A73" s="370" t="s">
        <v>614</v>
      </c>
    </row>
    <row r="74" spans="1:1" ht="39" customHeight="1">
      <c r="A74" s="331" t="s">
        <v>615</v>
      </c>
    </row>
    <row r="75" spans="1:1" ht="23.25" customHeight="1"/>
    <row r="76" spans="1:1">
      <c r="A76" s="370" t="s">
        <v>610</v>
      </c>
    </row>
    <row r="77" spans="1:1">
      <c r="A77" s="79" t="s">
        <v>611</v>
      </c>
    </row>
    <row r="78" spans="1:1">
      <c r="A78" s="79" t="s">
        <v>612</v>
      </c>
    </row>
    <row r="79" spans="1:1">
      <c r="A79" s="79" t="s">
        <v>613</v>
      </c>
    </row>
    <row r="81" spans="1:1">
      <c r="A81" s="373" t="s">
        <v>599</v>
      </c>
    </row>
    <row r="82" spans="1:1">
      <c r="A82" s="79" t="s">
        <v>609</v>
      </c>
    </row>
    <row r="84" spans="1:1">
      <c r="A84" s="370" t="s">
        <v>583</v>
      </c>
    </row>
    <row r="85" spans="1:1">
      <c r="A85" s="371" t="s">
        <v>584</v>
      </c>
    </row>
    <row r="86" spans="1:1">
      <c r="A86" s="371" t="s">
        <v>585</v>
      </c>
    </row>
    <row r="87" spans="1:1">
      <c r="A87" s="371" t="s">
        <v>586</v>
      </c>
    </row>
    <row r="88" spans="1:1">
      <c r="A88" s="369" t="s">
        <v>587</v>
      </c>
    </row>
    <row r="90" spans="1:1">
      <c r="A90" s="343" t="s">
        <v>311</v>
      </c>
    </row>
    <row r="91" spans="1:1">
      <c r="A91" s="79" t="s">
        <v>313</v>
      </c>
    </row>
    <row r="92" spans="1:1">
      <c r="A92" s="79" t="s">
        <v>314</v>
      </c>
    </row>
    <row r="93" spans="1:1">
      <c r="A93" s="79" t="s">
        <v>315</v>
      </c>
    </row>
    <row r="94" spans="1:1">
      <c r="A94" s="79" t="s">
        <v>316</v>
      </c>
    </row>
    <row r="95" spans="1:1">
      <c r="A95" s="79" t="s">
        <v>317</v>
      </c>
    </row>
    <row r="96" spans="1:1">
      <c r="A96" s="79" t="s">
        <v>318</v>
      </c>
    </row>
    <row r="97" spans="1:1">
      <c r="A97" s="79" t="s">
        <v>333</v>
      </c>
    </row>
    <row r="98" spans="1:1">
      <c r="A98" s="79" t="s">
        <v>334</v>
      </c>
    </row>
    <row r="99" spans="1:1">
      <c r="A99" s="79" t="s">
        <v>335</v>
      </c>
    </row>
    <row r="100" spans="1:1">
      <c r="A100" s="79" t="s">
        <v>336</v>
      </c>
    </row>
    <row r="101" spans="1:1">
      <c r="A101" s="79" t="s">
        <v>351</v>
      </c>
    </row>
    <row r="102" spans="1:1" ht="31.5">
      <c r="A102" s="331" t="s">
        <v>352</v>
      </c>
    </row>
    <row r="103" spans="1:1">
      <c r="A103" s="331" t="s">
        <v>361</v>
      </c>
    </row>
    <row r="104" spans="1:1">
      <c r="A104" s="345" t="s">
        <v>364</v>
      </c>
    </row>
    <row r="105" spans="1:1">
      <c r="A105" s="346" t="s">
        <v>365</v>
      </c>
    </row>
    <row r="107" spans="1:1">
      <c r="A107" s="343" t="s">
        <v>306</v>
      </c>
    </row>
    <row r="108" spans="1:1">
      <c r="A108" s="79" t="s">
        <v>307</v>
      </c>
    </row>
    <row r="109" spans="1:1">
      <c r="A109" s="79" t="s">
        <v>308</v>
      </c>
    </row>
    <row r="111" spans="1:1">
      <c r="A111" s="343" t="s">
        <v>304</v>
      </c>
    </row>
    <row r="112" spans="1:1">
      <c r="A112" s="79" t="s">
        <v>305</v>
      </c>
    </row>
    <row r="114" spans="1:1">
      <c r="A114" s="343" t="s">
        <v>302</v>
      </c>
    </row>
    <row r="115" spans="1:1">
      <c r="A115" s="79" t="s">
        <v>303</v>
      </c>
    </row>
    <row r="117" spans="1:1">
      <c r="A117" s="343" t="s">
        <v>299</v>
      </c>
    </row>
    <row r="118" spans="1:1">
      <c r="A118" s="79" t="s">
        <v>300</v>
      </c>
    </row>
    <row r="119" spans="1:1">
      <c r="A119" s="79" t="s">
        <v>301</v>
      </c>
    </row>
    <row r="121" spans="1:1">
      <c r="A121" s="79" t="s">
        <v>295</v>
      </c>
    </row>
    <row r="122" spans="1:1">
      <c r="A122" s="79" t="s">
        <v>296</v>
      </c>
    </row>
    <row r="123" spans="1:1">
      <c r="A123" s="79" t="s">
        <v>297</v>
      </c>
    </row>
    <row r="124" spans="1:1">
      <c r="A124" s="79" t="s">
        <v>298</v>
      </c>
    </row>
    <row r="126" spans="1:1">
      <c r="A126" s="79" t="s">
        <v>291</v>
      </c>
    </row>
    <row r="127" spans="1:1">
      <c r="A127" s="79" t="s">
        <v>292</v>
      </c>
    </row>
    <row r="128" spans="1:1">
      <c r="A128" s="79" t="s">
        <v>293</v>
      </c>
    </row>
    <row r="130" spans="1:1">
      <c r="A130" s="79" t="s">
        <v>289</v>
      </c>
    </row>
    <row r="131" spans="1:1" ht="34.5" customHeight="1">
      <c r="A131" s="79" t="s">
        <v>290</v>
      </c>
    </row>
    <row r="133" spans="1:1">
      <c r="A133" s="79" t="s">
        <v>244</v>
      </c>
    </row>
    <row r="134" spans="1:1">
      <c r="A134" s="79" t="s">
        <v>245</v>
      </c>
    </row>
    <row r="135" spans="1:1" ht="31.5">
      <c r="A135" s="331" t="s">
        <v>261</v>
      </c>
    </row>
    <row r="136" spans="1:1">
      <c r="A136" s="79" t="s">
        <v>246</v>
      </c>
    </row>
    <row r="137" spans="1:1">
      <c r="A137" s="79" t="s">
        <v>247</v>
      </c>
    </row>
    <row r="138" spans="1:1">
      <c r="A138" s="79" t="s">
        <v>248</v>
      </c>
    </row>
    <row r="139" spans="1:1">
      <c r="A139" s="79" t="s">
        <v>249</v>
      </c>
    </row>
    <row r="140" spans="1:1" ht="31.5">
      <c r="A140" s="331" t="s">
        <v>229</v>
      </c>
    </row>
    <row r="141" spans="1:1" ht="31.5">
      <c r="A141" s="331" t="s">
        <v>257</v>
      </c>
    </row>
    <row r="142" spans="1:1" ht="31.5">
      <c r="A142" s="331" t="s">
        <v>250</v>
      </c>
    </row>
    <row r="143" spans="1:1">
      <c r="A143" s="331" t="s">
        <v>251</v>
      </c>
    </row>
    <row r="144" spans="1:1" ht="31.5">
      <c r="A144" s="331" t="s">
        <v>252</v>
      </c>
    </row>
    <row r="145" spans="1:1" ht="33.75" customHeight="1">
      <c r="A145" s="79" t="s">
        <v>253</v>
      </c>
    </row>
    <row r="146" spans="1:1" ht="26.25" customHeight="1">
      <c r="A146" s="79" t="s">
        <v>254</v>
      </c>
    </row>
    <row r="147" spans="1:1" ht="33.75" customHeight="1">
      <c r="A147" s="79" t="s">
        <v>255</v>
      </c>
    </row>
    <row r="148" spans="1:1" ht="30.75" customHeight="1">
      <c r="A148" s="79" t="s">
        <v>260</v>
      </c>
    </row>
    <row r="149" spans="1:1" ht="21" customHeight="1">
      <c r="A149" s="331" t="s">
        <v>258</v>
      </c>
    </row>
    <row r="150" spans="1:1" ht="38.25" customHeight="1">
      <c r="A150" s="331" t="s">
        <v>223</v>
      </c>
    </row>
    <row r="151" spans="1:1" ht="33.75" customHeight="1">
      <c r="A151" s="331" t="s">
        <v>230</v>
      </c>
    </row>
    <row r="152" spans="1:1" ht="33.75" customHeight="1">
      <c r="A152" s="331" t="s">
        <v>224</v>
      </c>
    </row>
    <row r="153" spans="1:1" ht="33.75" customHeight="1">
      <c r="A153" s="331" t="s">
        <v>225</v>
      </c>
    </row>
    <row r="154" spans="1:1" ht="33.75" customHeight="1">
      <c r="A154" s="331" t="s">
        <v>226</v>
      </c>
    </row>
    <row r="155" spans="1:1" ht="31.5">
      <c r="A155" s="331" t="s">
        <v>227</v>
      </c>
    </row>
    <row r="156" spans="1:1" ht="31.5">
      <c r="A156" s="331" t="s">
        <v>231</v>
      </c>
    </row>
    <row r="157" spans="1:1" ht="31.5">
      <c r="A157" s="331" t="s">
        <v>228</v>
      </c>
    </row>
    <row r="158" spans="1:1" ht="31.5">
      <c r="A158" s="331" t="s">
        <v>232</v>
      </c>
    </row>
    <row r="159" spans="1:1">
      <c r="A159" s="331" t="s">
        <v>238</v>
      </c>
    </row>
    <row r="161" spans="1:1">
      <c r="A161" s="79" t="s">
        <v>182</v>
      </c>
    </row>
    <row r="162" spans="1:1" ht="47.25">
      <c r="A162" s="331" t="s">
        <v>233</v>
      </c>
    </row>
    <row r="163" spans="1:1">
      <c r="A163" s="79" t="s">
        <v>183</v>
      </c>
    </row>
    <row r="164" spans="1:1">
      <c r="A164" s="79" t="s">
        <v>187</v>
      </c>
    </row>
    <row r="165" spans="1:1">
      <c r="A165" s="79" t="s">
        <v>188</v>
      </c>
    </row>
    <row r="166" spans="1:1">
      <c r="A166" s="79" t="s">
        <v>184</v>
      </c>
    </row>
    <row r="167" spans="1:1">
      <c r="A167" s="79" t="s">
        <v>185</v>
      </c>
    </row>
    <row r="168" spans="1:1">
      <c r="A168" s="79" t="s">
        <v>186</v>
      </c>
    </row>
    <row r="169" spans="1:1">
      <c r="A169" s="331" t="s">
        <v>189</v>
      </c>
    </row>
    <row r="170" spans="1:1">
      <c r="A170" s="79" t="s">
        <v>190</v>
      </c>
    </row>
    <row r="171" spans="1:1">
      <c r="A171" s="79" t="s">
        <v>191</v>
      </c>
    </row>
    <row r="172" spans="1:1">
      <c r="A172" s="79" t="s">
        <v>234</v>
      </c>
    </row>
    <row r="173" spans="1:1">
      <c r="A173" s="79" t="s">
        <v>192</v>
      </c>
    </row>
    <row r="174" spans="1:1">
      <c r="A174" s="79" t="s">
        <v>235</v>
      </c>
    </row>
    <row r="175" spans="1:1">
      <c r="A175" s="79" t="s">
        <v>193</v>
      </c>
    </row>
    <row r="176" spans="1:1">
      <c r="A176" s="79" t="s">
        <v>236</v>
      </c>
    </row>
    <row r="177" spans="1:1">
      <c r="A177" s="79" t="s">
        <v>194</v>
      </c>
    </row>
    <row r="178" spans="1:1">
      <c r="A178" s="79" t="s">
        <v>198</v>
      </c>
    </row>
    <row r="179" spans="1:1">
      <c r="A179" s="79" t="s">
        <v>237</v>
      </c>
    </row>
    <row r="180" spans="1:1">
      <c r="A180" s="79" t="s">
        <v>213</v>
      </c>
    </row>
    <row r="181" spans="1:1">
      <c r="A181" s="79" t="s">
        <v>214</v>
      </c>
    </row>
    <row r="182" spans="1:1">
      <c r="A182" s="79" t="s">
        <v>215</v>
      </c>
    </row>
    <row r="183" spans="1:1">
      <c r="A183" s="79" t="s">
        <v>199</v>
      </c>
    </row>
    <row r="184" spans="1:1">
      <c r="A184" s="79" t="s">
        <v>200</v>
      </c>
    </row>
    <row r="185" spans="1:1">
      <c r="A185" s="79" t="s">
        <v>201</v>
      </c>
    </row>
    <row r="186" spans="1:1">
      <c r="A186" s="79" t="s">
        <v>210</v>
      </c>
    </row>
    <row r="187" spans="1:1">
      <c r="A187" s="79" t="s">
        <v>211</v>
      </c>
    </row>
    <row r="188" spans="1:1">
      <c r="A188" s="79" t="s">
        <v>212</v>
      </c>
    </row>
    <row r="189" spans="1:1">
      <c r="A189" s="79" t="s">
        <v>222</v>
      </c>
    </row>
    <row r="190" spans="1:1">
      <c r="A190" s="79" t="s">
        <v>239</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9</vt:i4>
      </vt:variant>
    </vt:vector>
  </HeadingPairs>
  <TitlesOfParts>
    <vt:vector size="42" baseType="lpstr">
      <vt:lpstr>instructions</vt:lpstr>
      <vt:lpstr>inputPrYr</vt:lpstr>
      <vt:lpstr>inputOth</vt:lpstr>
      <vt:lpstr>inputBudSum</vt:lpstr>
      <vt:lpstr>cert</vt:lpstr>
      <vt:lpstr>SCert</vt:lpstr>
      <vt:lpstr>Pub</vt:lpstr>
      <vt:lpstr>computation</vt:lpstr>
      <vt:lpstr>mvalloc</vt:lpstr>
      <vt:lpstr>transfer</vt:lpstr>
      <vt:lpstr>TransferStatutes</vt:lpstr>
      <vt:lpstr>debt-lease</vt:lpstr>
      <vt:lpstr>gen</vt:lpstr>
      <vt:lpstr>road</vt:lpstr>
      <vt:lpstr>PrDog-NoxWeed</vt:lpstr>
      <vt:lpstr>summ</vt:lpstr>
      <vt:lpstr>Library Grant</vt:lpstr>
      <vt:lpstr>levypage10</vt:lpstr>
      <vt:lpstr>levypage11</vt:lpstr>
      <vt:lpstr>nolevypage12</vt:lpstr>
      <vt:lpstr>nonbud</vt:lpstr>
      <vt:lpstr>NonBudFunds</vt:lpstr>
      <vt:lpstr>nhood</vt:lpstr>
      <vt:lpstr>Resolution</vt:lpstr>
      <vt:lpstr>Tab A</vt:lpstr>
      <vt:lpstr>Tab B</vt:lpstr>
      <vt:lpstr>Tab C</vt:lpstr>
      <vt:lpstr>Tab D</vt:lpstr>
      <vt:lpstr>Tab E</vt:lpstr>
      <vt:lpstr>Mill Rate Computation</vt:lpstr>
      <vt:lpstr>DebtSvs-Library</vt:lpstr>
      <vt:lpstr>Helpful Links</vt:lpstr>
      <vt:lpstr>legend</vt:lpstr>
      <vt:lpstr>'DebtSvs-Library'!Print_Area</vt:lpstr>
      <vt:lpstr>gen!Print_Area</vt:lpstr>
      <vt:lpstr>inputPrYr!Print_Area</vt:lpstr>
      <vt:lpstr>levypage10!Print_Area</vt:lpstr>
      <vt:lpstr>levypage11!Print_Area</vt:lpstr>
      <vt:lpstr>'Library Grant'!Print_Area</vt:lpstr>
      <vt:lpstr>'PrDog-NoxWeed'!Print_Area</vt:lpstr>
      <vt:lpstr>road!Print_Area</vt:lpstr>
      <vt:lpstr>summ!Print_Area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Dept. of Administration</dc:creator>
  <cp:lastModifiedBy> </cp:lastModifiedBy>
  <cp:lastPrinted>2012-09-11T17:31:30Z</cp:lastPrinted>
  <dcterms:created xsi:type="dcterms:W3CDTF">1998-08-26T16:30:41Z</dcterms:created>
  <dcterms:modified xsi:type="dcterms:W3CDTF">2012-11-27T14:57:29Z</dcterms:modified>
</cp:coreProperties>
</file>