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8" i="7" l="1"/>
  <c r="D23" i="7"/>
  <c r="D22" i="7"/>
  <c r="D48" i="35"/>
  <c r="D60" i="35"/>
  <c r="D8" i="35"/>
  <c r="D20" i="35"/>
  <c r="D48" i="10"/>
  <c r="D8" i="10"/>
  <c r="D20" i="10"/>
  <c r="D48" i="9"/>
  <c r="D8" i="9"/>
  <c r="D20" i="9"/>
  <c r="D26" i="6"/>
  <c r="D25" i="6"/>
  <c r="G18" i="2"/>
  <c r="D79" i="35"/>
  <c r="D39" i="35"/>
  <c r="D19" i="3"/>
  <c r="C61" i="6"/>
  <c r="D75" i="35"/>
  <c r="C75" i="35"/>
  <c r="C35" i="35"/>
  <c r="D35" i="35"/>
  <c r="B45" i="35"/>
  <c r="B19" i="3"/>
  <c r="B46" i="12"/>
  <c r="B47" i="12"/>
  <c r="G21" i="31"/>
  <c r="G23" i="31"/>
  <c r="B19" i="34"/>
  <c r="B18" i="34"/>
  <c r="B17" i="34"/>
  <c r="B16" i="34"/>
  <c r="B15" i="34"/>
  <c r="D23" i="3"/>
  <c r="D22" i="3"/>
  <c r="C23" i="3"/>
  <c r="B23" i="3"/>
  <c r="F20" i="12"/>
  <c r="E29" i="34"/>
  <c r="D20" i="12"/>
  <c r="B20" i="12"/>
  <c r="E8" i="22"/>
  <c r="D8" i="22"/>
  <c r="B8" i="22"/>
  <c r="D13" i="4"/>
  <c r="B13" i="4"/>
  <c r="A48" i="20"/>
  <c r="A19" i="20"/>
  <c r="B44" i="2"/>
  <c r="E19" i="34"/>
  <c r="E18" i="34"/>
  <c r="E17" i="34"/>
  <c r="E16" i="34"/>
  <c r="G16" i="34"/>
  <c r="G14" i="34"/>
  <c r="B84" i="34"/>
  <c r="E14" i="34"/>
  <c r="B8" i="34"/>
  <c r="B7" i="34"/>
  <c r="B5" i="34"/>
  <c r="B5" i="35"/>
  <c r="E1" i="35"/>
  <c r="H79" i="35"/>
  <c r="B1" i="35"/>
  <c r="D73" i="35"/>
  <c r="E20" i="12"/>
  <c r="C73" i="35"/>
  <c r="C20" i="12"/>
  <c r="C60" i="35"/>
  <c r="C61" i="35"/>
  <c r="C74" i="35"/>
  <c r="D33" i="35"/>
  <c r="E19" i="12"/>
  <c r="C33" i="35"/>
  <c r="C93" i="35"/>
  <c r="B37" i="35"/>
  <c r="C19" i="12"/>
  <c r="C20" i="35"/>
  <c r="C21" i="35"/>
  <c r="B78" i="34"/>
  <c r="B89" i="34"/>
  <c r="B2" i="4"/>
  <c r="J148" i="32"/>
  <c r="H134" i="32"/>
  <c r="C137" i="32"/>
  <c r="J137" i="32"/>
  <c r="H120" i="32"/>
  <c r="C123" i="32"/>
  <c r="H114" i="32"/>
  <c r="F117" i="32"/>
  <c r="H117" i="32"/>
  <c r="F123" i="32"/>
  <c r="J123" i="32"/>
  <c r="C103" i="32"/>
  <c r="H100" i="32"/>
  <c r="H94" i="32"/>
  <c r="F97" i="32"/>
  <c r="H97" i="32"/>
  <c r="F103" i="32"/>
  <c r="J103" i="32"/>
  <c r="H80" i="32"/>
  <c r="C83" i="32"/>
  <c r="H74" i="32"/>
  <c r="F77" i="32"/>
  <c r="H77" i="32"/>
  <c r="F83" i="32"/>
  <c r="J83" i="32"/>
  <c r="H48" i="32"/>
  <c r="F50" i="32"/>
  <c r="J50" i="32"/>
  <c r="H41" i="32"/>
  <c r="H28" i="32"/>
  <c r="B28" i="32"/>
  <c r="H25" i="32"/>
  <c r="C25" i="32"/>
  <c r="G25" i="2"/>
  <c r="G24" i="2"/>
  <c r="G23" i="2"/>
  <c r="G22" i="2"/>
  <c r="G21" i="2"/>
  <c r="G20" i="2"/>
  <c r="G19" i="2"/>
  <c r="G17" i="2"/>
  <c r="G16" i="2"/>
  <c r="C31" i="12"/>
  <c r="D34" i="3"/>
  <c r="D30" i="3"/>
  <c r="D29" i="3"/>
  <c r="D28" i="3"/>
  <c r="D27" i="3"/>
  <c r="D26" i="3"/>
  <c r="D25" i="3"/>
  <c r="D24" i="3"/>
  <c r="D21" i="3"/>
  <c r="C59" i="7"/>
  <c r="C58" i="7"/>
  <c r="D58" i="7"/>
  <c r="C57" i="7"/>
  <c r="D39" i="10"/>
  <c r="D79" i="10"/>
  <c r="D39" i="9"/>
  <c r="D79" i="9"/>
  <c r="D39" i="8"/>
  <c r="D79" i="8"/>
  <c r="D49" i="7"/>
  <c r="D56" i="6"/>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J29" i="24"/>
  <c r="J30" i="24"/>
  <c r="H17" i="24"/>
  <c r="H18" i="24"/>
  <c r="F17" i="24"/>
  <c r="F18" i="24"/>
  <c r="F29" i="24"/>
  <c r="F30" i="24"/>
  <c r="D17" i="24"/>
  <c r="D18" i="24"/>
  <c r="B17" i="24"/>
  <c r="B18" i="24"/>
  <c r="K7" i="24"/>
  <c r="E14" i="2"/>
  <c r="G15" i="2"/>
  <c r="D14" i="2"/>
  <c r="D20" i="4"/>
  <c r="D19" i="4"/>
  <c r="D18" i="4"/>
  <c r="D17" i="4"/>
  <c r="D12" i="4"/>
  <c r="E12" i="21"/>
  <c r="D12" i="21"/>
  <c r="F12" i="21"/>
  <c r="C12" i="21"/>
  <c r="D11" i="4"/>
  <c r="J6" i="14"/>
  <c r="A26" i="2"/>
  <c r="D43" i="7"/>
  <c r="D74" i="7"/>
  <c r="C43" i="7"/>
  <c r="G48" i="7"/>
  <c r="C26" i="6"/>
  <c r="C27" i="6"/>
  <c r="C46" i="6"/>
  <c r="C50" i="6"/>
  <c r="C44" i="6"/>
  <c r="E13" i="6"/>
  <c r="E26" i="2"/>
  <c r="E35" i="12"/>
  <c r="G23" i="4"/>
  <c r="I25" i="4"/>
  <c r="J27" i="4"/>
  <c r="C20" i="10"/>
  <c r="C21" i="10"/>
  <c r="C34" i="10"/>
  <c r="C33" i="10"/>
  <c r="G38" i="10"/>
  <c r="D33" i="10"/>
  <c r="D60" i="10"/>
  <c r="D59" i="10"/>
  <c r="C60" i="10"/>
  <c r="C61" i="10"/>
  <c r="C73" i="10"/>
  <c r="G78" i="10"/>
  <c r="D73" i="10"/>
  <c r="D72" i="10"/>
  <c r="C20" i="9"/>
  <c r="C21" i="9"/>
  <c r="C34" i="9"/>
  <c r="C33" i="9"/>
  <c r="G38" i="9"/>
  <c r="D33" i="9"/>
  <c r="C73" i="9"/>
  <c r="G78" i="9"/>
  <c r="C60" i="9"/>
  <c r="C59" i="9"/>
  <c r="D60" i="9"/>
  <c r="D73" i="9"/>
  <c r="D72" i="9"/>
  <c r="D60" i="8"/>
  <c r="C20" i="8"/>
  <c r="C21" i="8"/>
  <c r="C34" i="8"/>
  <c r="C33" i="8"/>
  <c r="G38" i="8"/>
  <c r="D20" i="8"/>
  <c r="D33" i="8"/>
  <c r="D92" i="8"/>
  <c r="C73" i="8"/>
  <c r="G78" i="8"/>
  <c r="C60" i="8"/>
  <c r="C59" i="8"/>
  <c r="D11" i="21"/>
  <c r="D27" i="21"/>
  <c r="D29" i="21"/>
  <c r="E33" i="12"/>
  <c r="E13" i="21"/>
  <c r="F13" i="21"/>
  <c r="D13" i="21"/>
  <c r="C13" i="21"/>
  <c r="C11" i="21"/>
  <c r="C27" i="21"/>
  <c r="C29" i="21"/>
  <c r="C33" i="12"/>
  <c r="C23" i="7"/>
  <c r="C22" i="7"/>
  <c r="C24" i="7"/>
  <c r="C39" i="7"/>
  <c r="D73" i="8"/>
  <c r="D94" i="8"/>
  <c r="E1" i="10"/>
  <c r="H38" i="10"/>
  <c r="B35" i="10"/>
  <c r="E1" i="9"/>
  <c r="H86" i="9"/>
  <c r="E1" i="8"/>
  <c r="H38" i="8"/>
  <c r="E1" i="7"/>
  <c r="C54" i="7"/>
  <c r="E1" i="6"/>
  <c r="H62" i="6"/>
  <c r="D28" i="17"/>
  <c r="C28" i="17"/>
  <c r="C27" i="17"/>
  <c r="D59" i="17"/>
  <c r="D62" i="17"/>
  <c r="E29" i="12"/>
  <c r="C59" i="17"/>
  <c r="E1" i="17"/>
  <c r="B30" i="17"/>
  <c r="C30" i="17"/>
  <c r="D61" i="17"/>
  <c r="C61" i="17"/>
  <c r="D30" i="17"/>
  <c r="D31" i="2"/>
  <c r="A31" i="2"/>
  <c r="A55" i="2"/>
  <c r="A54" i="2"/>
  <c r="D40" i="2"/>
  <c r="G11" i="14"/>
  <c r="E14" i="14"/>
  <c r="E15" i="14"/>
  <c r="G18" i="14"/>
  <c r="E22" i="14"/>
  <c r="E1" i="20"/>
  <c r="A39" i="20"/>
  <c r="D37" i="3"/>
  <c r="D38" i="3"/>
  <c r="D6" i="22"/>
  <c r="E6" i="22"/>
  <c r="E47" i="6"/>
  <c r="E50" i="6"/>
  <c r="G18" i="12"/>
  <c r="D7" i="22"/>
  <c r="E7" i="22"/>
  <c r="E30" i="35"/>
  <c r="E33" i="35"/>
  <c r="D14" i="22"/>
  <c r="E14" i="22"/>
  <c r="E30" i="10"/>
  <c r="E33" i="10"/>
  <c r="D15" i="22"/>
  <c r="E15" i="22"/>
  <c r="E70" i="10"/>
  <c r="E73" i="10"/>
  <c r="D9" i="22"/>
  <c r="E9" i="22"/>
  <c r="E40" i="7"/>
  <c r="E43" i="7"/>
  <c r="G21" i="12"/>
  <c r="G32" i="12"/>
  <c r="G34" i="12"/>
  <c r="D10" i="22"/>
  <c r="E10" i="22"/>
  <c r="E30" i="8"/>
  <c r="E33" i="8"/>
  <c r="F36" i="8"/>
  <c r="D11" i="22"/>
  <c r="E11" i="22"/>
  <c r="E70" i="8"/>
  <c r="E73" i="8"/>
  <c r="D12" i="22"/>
  <c r="E12" i="22"/>
  <c r="E30" i="9"/>
  <c r="E33" i="9"/>
  <c r="D13" i="22"/>
  <c r="E13" i="22"/>
  <c r="E70" i="9"/>
  <c r="E73" i="9"/>
  <c r="J1" i="14"/>
  <c r="B6" i="14"/>
  <c r="B18" i="14"/>
  <c r="D21" i="22"/>
  <c r="D23" i="22"/>
  <c r="D25" i="22"/>
  <c r="E46" i="17"/>
  <c r="E45" i="17"/>
  <c r="D46" i="17"/>
  <c r="D45" i="17"/>
  <c r="C46" i="17"/>
  <c r="C47" i="17"/>
  <c r="C60" i="17"/>
  <c r="C45" i="17"/>
  <c r="E59" i="17"/>
  <c r="E58" i="17"/>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16" i="17"/>
  <c r="C29" i="17"/>
  <c r="A57" i="20"/>
  <c r="A56" i="20"/>
  <c r="A55" i="20"/>
  <c r="A54" i="20"/>
  <c r="A53" i="20"/>
  <c r="A52" i="20"/>
  <c r="A49" i="20"/>
  <c r="A47" i="20"/>
  <c r="A46" i="20"/>
  <c r="E12" i="4"/>
  <c r="E14" i="4"/>
  <c r="E15" i="4"/>
  <c r="E17" i="4"/>
  <c r="E18" i="4"/>
  <c r="E19" i="4"/>
  <c r="E20" i="4"/>
  <c r="E11" i="4"/>
  <c r="J1" i="4"/>
  <c r="G9" i="4"/>
  <c r="G37" i="12"/>
  <c r="G27" i="34"/>
  <c r="G29" i="12"/>
  <c r="G28" i="12"/>
  <c r="E28" i="12"/>
  <c r="D27" i="20"/>
  <c r="F27" i="12"/>
  <c r="G84" i="10"/>
  <c r="F26" i="12"/>
  <c r="G44" i="10"/>
  <c r="F25" i="12"/>
  <c r="G84" i="9"/>
  <c r="F24" i="12"/>
  <c r="G44" i="9"/>
  <c r="F23" i="12"/>
  <c r="G84" i="8"/>
  <c r="F22" i="12"/>
  <c r="G44" i="8"/>
  <c r="F21" i="12"/>
  <c r="G54" i="7"/>
  <c r="F19" i="12"/>
  <c r="G44" i="35"/>
  <c r="F18" i="12"/>
  <c r="G61" i="6"/>
  <c r="C37" i="12"/>
  <c r="A26" i="20"/>
  <c r="A25" i="20"/>
  <c r="A24" i="20"/>
  <c r="A23" i="20"/>
  <c r="A20" i="20"/>
  <c r="A18" i="20"/>
  <c r="A17" i="20"/>
  <c r="H25" i="4"/>
  <c r="F15" i="13"/>
  <c r="G41" i="12"/>
  <c r="F1" i="21"/>
  <c r="D9" i="21"/>
  <c r="A2" i="21"/>
  <c r="E37" i="12"/>
  <c r="E27" i="34"/>
  <c r="E28" i="34"/>
  <c r="H1" i="3"/>
  <c r="C41" i="3"/>
  <c r="A52" i="2"/>
  <c r="E42" i="12"/>
  <c r="E41" i="12"/>
  <c r="C42" i="12"/>
  <c r="C41" i="12"/>
  <c r="E40" i="12"/>
  <c r="E43" i="12"/>
  <c r="C40" i="12"/>
  <c r="C43" i="12"/>
  <c r="E58" i="2"/>
  <c r="D58" i="2"/>
  <c r="A8" i="20"/>
  <c r="A2" i="20"/>
  <c r="A1" i="20"/>
  <c r="A41" i="2"/>
  <c r="A13" i="2"/>
  <c r="A7" i="16"/>
  <c r="A11" i="16"/>
  <c r="A26" i="16"/>
  <c r="A30" i="16"/>
  <c r="F11" i="13"/>
  <c r="G40" i="12"/>
  <c r="G43" i="12"/>
  <c r="L15" i="13"/>
  <c r="K15" i="13"/>
  <c r="J15" i="13"/>
  <c r="I15" i="13"/>
  <c r="L11" i="13"/>
  <c r="L16" i="13"/>
  <c r="K11" i="13"/>
  <c r="K16" i="13"/>
  <c r="J11" i="13"/>
  <c r="J16" i="13"/>
  <c r="I11" i="13"/>
  <c r="I16" i="13"/>
  <c r="I1" i="12"/>
  <c r="K43" i="12"/>
  <c r="D19" i="12"/>
  <c r="B12" i="4"/>
  <c r="L1" i="13"/>
  <c r="G23" i="13"/>
  <c r="B43" i="2"/>
  <c r="C22" i="3"/>
  <c r="B3" i="3"/>
  <c r="A36" i="14"/>
  <c r="B22" i="14"/>
  <c r="C14"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c r="B2" i="13"/>
  <c r="B1" i="13"/>
  <c r="B5" i="6"/>
  <c r="B1" i="6"/>
  <c r="D52" i="2"/>
  <c r="B51" i="2"/>
  <c r="B50" i="2"/>
  <c r="B49" i="2"/>
  <c r="B48" i="2"/>
  <c r="B47" i="2"/>
  <c r="B46" i="2"/>
  <c r="B45" i="2"/>
  <c r="B42" i="2"/>
  <c r="B20" i="4"/>
  <c r="B19" i="4"/>
  <c r="B18" i="4"/>
  <c r="B17"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C23" i="12"/>
  <c r="C22" i="12"/>
  <c r="E22" i="12"/>
  <c r="B1" i="8"/>
  <c r="B45" i="9"/>
  <c r="B5" i="9"/>
  <c r="B1" i="9"/>
  <c r="B45" i="10"/>
  <c r="B5" i="10"/>
  <c r="B1" i="10"/>
  <c r="A11" i="20"/>
  <c r="A12" i="20"/>
  <c r="A6" i="20"/>
  <c r="A29" i="20"/>
  <c r="A7" i="20"/>
  <c r="A15" i="20"/>
  <c r="B61" i="17"/>
  <c r="C40" i="10"/>
  <c r="B75" i="10"/>
  <c r="C61" i="8"/>
  <c r="C74" i="8"/>
  <c r="C95" i="8"/>
  <c r="J7" i="14"/>
  <c r="C40" i="8"/>
  <c r="B75" i="8"/>
  <c r="C61" i="9"/>
  <c r="C74" i="9"/>
  <c r="D32" i="9"/>
  <c r="D32" i="10"/>
  <c r="E11" i="3"/>
  <c r="I6" i="13"/>
  <c r="I23" i="13"/>
  <c r="F16" i="13"/>
  <c r="A31" i="20"/>
  <c r="A13" i="20"/>
  <c r="A9" i="20"/>
  <c r="C80" i="10"/>
  <c r="F12" i="3"/>
  <c r="E14" i="12"/>
  <c r="G39" i="12"/>
  <c r="E9" i="21"/>
  <c r="B35" i="8"/>
  <c r="B52" i="6"/>
  <c r="F7" i="13"/>
  <c r="C9" i="21"/>
  <c r="E5" i="22"/>
  <c r="K6" i="13"/>
  <c r="B11" i="14"/>
  <c r="E32" i="3"/>
  <c r="H29" i="24"/>
  <c r="H30" i="24"/>
  <c r="D29" i="24"/>
  <c r="D30" i="24"/>
  <c r="K28" i="24"/>
  <c r="C30" i="12"/>
  <c r="H23" i="13"/>
  <c r="E39" i="12"/>
  <c r="B75" i="9"/>
  <c r="B11" i="12"/>
  <c r="E9" i="4"/>
  <c r="K17" i="24"/>
  <c r="K30" i="24"/>
  <c r="D58" i="17"/>
  <c r="C58" i="17"/>
  <c r="E31" i="3"/>
  <c r="D27" i="17"/>
  <c r="C25" i="12"/>
  <c r="C32" i="8"/>
  <c r="A19" i="22"/>
  <c r="E11" i="21"/>
  <c r="E27" i="21"/>
  <c r="E29" i="21"/>
  <c r="G33" i="12"/>
  <c r="D31" i="17"/>
  <c r="C62" i="17"/>
  <c r="C31" i="17"/>
  <c r="C72" i="9"/>
  <c r="C80" i="9"/>
  <c r="D94" i="10"/>
  <c r="C94" i="10"/>
  <c r="D92" i="10"/>
  <c r="C92" i="10"/>
  <c r="B37" i="10"/>
  <c r="D94" i="9"/>
  <c r="B77" i="9"/>
  <c r="C94" i="9"/>
  <c r="D92" i="9"/>
  <c r="C92" i="9"/>
  <c r="B37" i="9"/>
  <c r="C94" i="8"/>
  <c r="C92" i="8"/>
  <c r="G13" i="4"/>
  <c r="E50" i="35"/>
  <c r="G18" i="4"/>
  <c r="E50" i="9"/>
  <c r="G20" i="4"/>
  <c r="E50" i="10"/>
  <c r="G19" i="4"/>
  <c r="E10" i="10"/>
  <c r="E10" i="8"/>
  <c r="G17" i="4"/>
  <c r="E10" i="9"/>
  <c r="E50" i="8"/>
  <c r="C39" i="12"/>
  <c r="C57" i="6"/>
  <c r="C50" i="7"/>
  <c r="K27" i="12"/>
  <c r="K40" i="12"/>
  <c r="K28" i="12"/>
  <c r="K32" i="12"/>
  <c r="K41" i="12"/>
  <c r="A43" i="20"/>
  <c r="G22" i="31"/>
  <c r="G20" i="31"/>
  <c r="G24" i="31"/>
  <c r="B15" i="3"/>
  <c r="G16" i="14"/>
  <c r="G20" i="14"/>
  <c r="G24" i="14"/>
  <c r="C95" i="35"/>
  <c r="B77" i="35"/>
  <c r="D59" i="8"/>
  <c r="D19" i="8"/>
  <c r="D59" i="9"/>
  <c r="D5" i="35"/>
  <c r="C19" i="35"/>
  <c r="C32" i="35"/>
  <c r="H35" i="35"/>
  <c r="H38" i="35"/>
  <c r="H43" i="35"/>
  <c r="C45" i="35"/>
  <c r="H45" i="35"/>
  <c r="G64" i="35"/>
  <c r="G71" i="35"/>
  <c r="D72" i="35"/>
  <c r="H73" i="35"/>
  <c r="G78" i="35"/>
  <c r="H83" i="35"/>
  <c r="H85" i="35"/>
  <c r="C5" i="35"/>
  <c r="G24" i="35"/>
  <c r="G31" i="35"/>
  <c r="H34" i="35"/>
  <c r="G38" i="35"/>
  <c r="C40" i="35"/>
  <c r="B75" i="35"/>
  <c r="H76" i="35"/>
  <c r="B47" i="34"/>
  <c r="B91" i="34"/>
  <c r="J19" i="4"/>
  <c r="E12" i="10"/>
  <c r="D10" i="4"/>
  <c r="I19" i="4"/>
  <c r="E11" i="10"/>
  <c r="I20" i="4"/>
  <c r="E51" i="10"/>
  <c r="I17" i="4"/>
  <c r="E11" i="9"/>
  <c r="I18" i="4"/>
  <c r="E51" i="9"/>
  <c r="E11" i="8"/>
  <c r="E20" i="8"/>
  <c r="G34" i="8"/>
  <c r="E51" i="8"/>
  <c r="D5" i="6"/>
  <c r="D5" i="9"/>
  <c r="D45" i="9"/>
  <c r="G41" i="6"/>
  <c r="G48" i="6"/>
  <c r="H51" i="6"/>
  <c r="H53" i="6"/>
  <c r="H56" i="6"/>
  <c r="H61" i="6"/>
  <c r="H63" i="6"/>
  <c r="H45" i="7"/>
  <c r="H53" i="7"/>
  <c r="G24" i="8"/>
  <c r="H34" i="8"/>
  <c r="H36" i="8"/>
  <c r="H43" i="8"/>
  <c r="G64" i="8"/>
  <c r="G71" i="8"/>
  <c r="H74" i="8"/>
  <c r="H79" i="8"/>
  <c r="H84" i="8"/>
  <c r="H86" i="8"/>
  <c r="H39" i="9"/>
  <c r="H46" i="9"/>
  <c r="H73" i="9"/>
  <c r="H85" i="9"/>
  <c r="G24" i="10"/>
  <c r="G31" i="10"/>
  <c r="H34" i="10"/>
  <c r="H36" i="10"/>
  <c r="H43" i="10"/>
  <c r="H45" i="10"/>
  <c r="G64" i="10"/>
  <c r="G71" i="10"/>
  <c r="H74" i="10"/>
  <c r="H76" i="10"/>
  <c r="H79" i="10"/>
  <c r="H84" i="10"/>
  <c r="H86" i="10"/>
  <c r="H38" i="9"/>
  <c r="C5" i="6"/>
  <c r="E5" i="6"/>
  <c r="E5" i="9"/>
  <c r="E45" i="9"/>
  <c r="E5" i="7"/>
  <c r="G45" i="6"/>
  <c r="H50" i="6"/>
  <c r="H52" i="6"/>
  <c r="H55" i="6"/>
  <c r="H60" i="6"/>
  <c r="H44" i="7"/>
  <c r="H49" i="7"/>
  <c r="G28" i="8"/>
  <c r="H35" i="8"/>
  <c r="H39" i="8"/>
  <c r="H44" i="8"/>
  <c r="G68" i="8"/>
  <c r="H73" i="8"/>
  <c r="H75" i="8"/>
  <c r="H83" i="8"/>
  <c r="H85" i="8"/>
  <c r="G24" i="9"/>
  <c r="H43" i="9"/>
  <c r="G64" i="9"/>
  <c r="H74" i="9"/>
  <c r="G28" i="10"/>
  <c r="H33" i="10"/>
  <c r="H35" i="10"/>
  <c r="H39" i="10"/>
  <c r="H44" i="10"/>
  <c r="H46" i="10"/>
  <c r="G68" i="10"/>
  <c r="H73" i="10"/>
  <c r="H75" i="10"/>
  <c r="H78" i="10"/>
  <c r="H83" i="10"/>
  <c r="H85" i="10"/>
  <c r="G12" i="4"/>
  <c r="E10" i="35"/>
  <c r="E52" i="8"/>
  <c r="E12" i="8"/>
  <c r="J18" i="4"/>
  <c r="E52" i="9"/>
  <c r="J17" i="4"/>
  <c r="E12" i="9"/>
  <c r="J20" i="4"/>
  <c r="E52" i="10"/>
  <c r="C34" i="35"/>
  <c r="D32" i="35"/>
  <c r="D93" i="35"/>
  <c r="C72" i="35"/>
  <c r="C74" i="10"/>
  <c r="E70" i="35"/>
  <c r="E73" i="35"/>
  <c r="K35" i="12"/>
  <c r="K25" i="12"/>
  <c r="K42" i="12"/>
  <c r="K34" i="12"/>
  <c r="K21" i="12"/>
  <c r="G14" i="12"/>
  <c r="C14" i="12"/>
  <c r="H15" i="12"/>
  <c r="B12" i="12"/>
  <c r="G84" i="35"/>
  <c r="D46" i="10"/>
  <c r="D61" i="10"/>
  <c r="D74" i="10"/>
  <c r="E46" i="10"/>
  <c r="C95" i="10"/>
  <c r="D46" i="9"/>
  <c r="D61" i="9"/>
  <c r="D74" i="9"/>
  <c r="C95" i="9"/>
  <c r="D95" i="35"/>
  <c r="D46" i="35"/>
  <c r="C96" i="35"/>
  <c r="C59" i="35"/>
  <c r="D6" i="35"/>
  <c r="C94" i="35"/>
  <c r="C5" i="7"/>
  <c r="C5" i="17"/>
  <c r="C36" i="17"/>
  <c r="C5" i="10"/>
  <c r="C45" i="10"/>
  <c r="C5" i="9"/>
  <c r="C45" i="9"/>
  <c r="C5" i="8"/>
  <c r="C45" i="8"/>
  <c r="E5" i="17"/>
  <c r="E36" i="17"/>
  <c r="E5" i="10"/>
  <c r="E45" i="10"/>
  <c r="E5" i="8"/>
  <c r="E45" i="8"/>
  <c r="D5" i="17"/>
  <c r="D36" i="17"/>
  <c r="D5" i="8"/>
  <c r="D45" i="8"/>
  <c r="D5" i="10"/>
  <c r="D45" i="10"/>
  <c r="D5" i="7"/>
  <c r="J27" i="9"/>
  <c r="J28" i="9"/>
  <c r="J29" i="9"/>
  <c r="J68" i="35"/>
  <c r="J69" i="35"/>
  <c r="J67" i="35"/>
  <c r="J28" i="35"/>
  <c r="J29" i="35"/>
  <c r="J27" i="35"/>
  <c r="J28" i="8"/>
  <c r="J29" i="8"/>
  <c r="J68" i="9"/>
  <c r="J69" i="9"/>
  <c r="J27" i="10"/>
  <c r="J28" i="10"/>
  <c r="J29" i="10"/>
  <c r="J67" i="9"/>
  <c r="J27" i="8"/>
  <c r="J45" i="6"/>
  <c r="J46" i="6"/>
  <c r="J68" i="10"/>
  <c r="J69" i="10"/>
  <c r="J67" i="10"/>
  <c r="J68" i="8"/>
  <c r="J69" i="8"/>
  <c r="J67" i="8"/>
  <c r="N43" i="12"/>
  <c r="J44" i="6"/>
  <c r="J38" i="7"/>
  <c r="J39" i="7"/>
  <c r="J37" i="7"/>
  <c r="E77" i="10"/>
  <c r="F76" i="10"/>
  <c r="G27" i="12"/>
  <c r="E72" i="10"/>
  <c r="E30" i="3"/>
  <c r="G19" i="12"/>
  <c r="E22" i="3"/>
  <c r="E37" i="35"/>
  <c r="F36" i="35"/>
  <c r="E32" i="35"/>
  <c r="E21" i="3"/>
  <c r="D19" i="9"/>
  <c r="D19" i="10"/>
  <c r="G22" i="12"/>
  <c r="E37" i="10"/>
  <c r="E32" i="10"/>
  <c r="F36" i="10"/>
  <c r="G26" i="12"/>
  <c r="E29" i="3"/>
  <c r="N23" i="12"/>
  <c r="E16" i="22"/>
  <c r="H84" i="9"/>
  <c r="H76" i="9"/>
  <c r="G71" i="9"/>
  <c r="H45" i="9"/>
  <c r="H36" i="9"/>
  <c r="G31" i="9"/>
  <c r="H54" i="7"/>
  <c r="H46" i="7"/>
  <c r="G41" i="7"/>
  <c r="H83" i="9"/>
  <c r="H75" i="9"/>
  <c r="G68" i="9"/>
  <c r="H44" i="9"/>
  <c r="H35" i="9"/>
  <c r="G28" i="9"/>
  <c r="H56" i="7"/>
  <c r="H48" i="7"/>
  <c r="B5" i="22"/>
  <c r="I13" i="4"/>
  <c r="E51" i="35"/>
  <c r="G18" i="34"/>
  <c r="B46" i="34"/>
  <c r="H78" i="35"/>
  <c r="H75" i="35"/>
  <c r="D45" i="35"/>
  <c r="H33" i="35"/>
  <c r="G28" i="35"/>
  <c r="E5" i="35"/>
  <c r="H86" i="35"/>
  <c r="H84" i="35"/>
  <c r="C80" i="35"/>
  <c r="H74" i="35"/>
  <c r="G68" i="35"/>
  <c r="H46" i="35"/>
  <c r="E45" i="35"/>
  <c r="H44" i="35"/>
  <c r="H39" i="35"/>
  <c r="H36" i="35"/>
  <c r="B35" i="35"/>
  <c r="E15" i="34"/>
  <c r="E22" i="34"/>
  <c r="B9" i="3"/>
  <c r="C51" i="3"/>
  <c r="E10" i="7"/>
  <c r="C5" i="22"/>
  <c r="B35" i="9"/>
  <c r="B13" i="14"/>
  <c r="B3" i="22"/>
  <c r="B45" i="7"/>
  <c r="B8" i="3"/>
  <c r="B5" i="14"/>
  <c r="B9" i="14"/>
  <c r="C15" i="14"/>
  <c r="B32" i="14"/>
  <c r="D61" i="35"/>
  <c r="D74" i="35"/>
  <c r="D59" i="35"/>
  <c r="D19" i="35"/>
  <c r="D21" i="35"/>
  <c r="D34" i="35"/>
  <c r="E60" i="8"/>
  <c r="G74" i="8"/>
  <c r="E12" i="7"/>
  <c r="J12" i="4"/>
  <c r="E12" i="35"/>
  <c r="J13" i="4"/>
  <c r="E52" i="35"/>
  <c r="G19" i="34"/>
  <c r="I12" i="4"/>
  <c r="E11" i="35"/>
  <c r="I11" i="4"/>
  <c r="E11" i="6"/>
  <c r="E11" i="7"/>
  <c r="E23" i="7"/>
  <c r="D32" i="12"/>
  <c r="G11" i="4"/>
  <c r="E10" i="6"/>
  <c r="J11" i="4"/>
  <c r="E12" i="6"/>
  <c r="B10" i="4"/>
  <c r="H55" i="7"/>
  <c r="B32" i="21"/>
  <c r="H43" i="7"/>
  <c r="H79" i="9"/>
  <c r="H34" i="9"/>
  <c r="H78" i="8"/>
  <c r="H46" i="8"/>
  <c r="H33" i="8"/>
  <c r="G34" i="7"/>
  <c r="H78" i="9"/>
  <c r="H33" i="9"/>
  <c r="H76" i="8"/>
  <c r="H45" i="8"/>
  <c r="G31" i="8"/>
  <c r="G38" i="7"/>
  <c r="D5" i="22"/>
  <c r="C44" i="20"/>
  <c r="A10" i="20"/>
  <c r="B44" i="20"/>
  <c r="C40" i="9"/>
  <c r="B77" i="8"/>
  <c r="E23" i="12"/>
  <c r="E37" i="8"/>
  <c r="E25" i="3"/>
  <c r="E32" i="8"/>
  <c r="B37" i="8"/>
  <c r="D32" i="8"/>
  <c r="D46" i="8"/>
  <c r="D6" i="8"/>
  <c r="C93" i="8"/>
  <c r="C19" i="8"/>
  <c r="D42" i="7"/>
  <c r="C74" i="7"/>
  <c r="C42" i="7"/>
  <c r="C21" i="12"/>
  <c r="C44" i="7"/>
  <c r="C75" i="7"/>
  <c r="C63" i="7"/>
  <c r="C65" i="7"/>
  <c r="C25" i="6"/>
  <c r="G55" i="6"/>
  <c r="C49" i="6"/>
  <c r="C72" i="6"/>
  <c r="C18" i="12"/>
  <c r="C32" i="12"/>
  <c r="C34" i="12"/>
  <c r="C51" i="6"/>
  <c r="F32" i="12"/>
  <c r="E21" i="4"/>
  <c r="G46" i="35"/>
  <c r="G56" i="7"/>
  <c r="N27" i="12"/>
  <c r="N35" i="12"/>
  <c r="G86" i="10"/>
  <c r="G86" i="35"/>
  <c r="G46" i="9"/>
  <c r="G46" i="8"/>
  <c r="G63" i="6"/>
  <c r="G46" i="10"/>
  <c r="G86" i="9"/>
  <c r="G86" i="8"/>
  <c r="G26" i="14"/>
  <c r="J28" i="14"/>
  <c r="J30" i="14"/>
  <c r="F76" i="35"/>
  <c r="G20" i="12"/>
  <c r="E72" i="35"/>
  <c r="E77" i="35"/>
  <c r="E23" i="3"/>
  <c r="E77" i="9"/>
  <c r="F76" i="9"/>
  <c r="G25" i="12"/>
  <c r="E72" i="9"/>
  <c r="E28" i="3"/>
  <c r="E72" i="8"/>
  <c r="G23" i="12"/>
  <c r="E26" i="3"/>
  <c r="F76" i="8"/>
  <c r="E77" i="8"/>
  <c r="E24" i="3"/>
  <c r="E35" i="3"/>
  <c r="E37" i="9"/>
  <c r="G24" i="12"/>
  <c r="E27" i="3"/>
  <c r="E32" i="9"/>
  <c r="F36" i="9"/>
  <c r="D16" i="22"/>
  <c r="N42" i="12"/>
  <c r="G33" i="35"/>
  <c r="E6" i="35"/>
  <c r="D94" i="35"/>
  <c r="B38" i="35"/>
  <c r="G73" i="35"/>
  <c r="E46" i="35"/>
  <c r="D96" i="35"/>
  <c r="B78" i="35"/>
  <c r="G44" i="7"/>
  <c r="G73" i="9"/>
  <c r="D95" i="9"/>
  <c r="B78" i="9"/>
  <c r="E46" i="9"/>
  <c r="B29" i="24"/>
  <c r="K18" i="24"/>
  <c r="C63" i="17"/>
  <c r="D37" i="17"/>
  <c r="D47" i="17"/>
  <c r="D60" i="17"/>
  <c r="D6" i="9"/>
  <c r="D21" i="9"/>
  <c r="D34" i="9"/>
  <c r="C93" i="9"/>
  <c r="G73" i="10"/>
  <c r="D21" i="8"/>
  <c r="D34" i="8"/>
  <c r="G33" i="8"/>
  <c r="C93" i="10"/>
  <c r="D6" i="10"/>
  <c r="D21" i="10"/>
  <c r="D34" i="10"/>
  <c r="B47" i="7"/>
  <c r="D95" i="10"/>
  <c r="D6" i="17"/>
  <c r="D16" i="17"/>
  <c r="D29" i="17"/>
  <c r="C32" i="17"/>
  <c r="D61" i="8"/>
  <c r="D74" i="8"/>
  <c r="G73" i="8"/>
  <c r="C80" i="8"/>
  <c r="C72" i="8"/>
  <c r="D72" i="8"/>
  <c r="D6" i="7"/>
  <c r="D6" i="6"/>
  <c r="D27" i="6"/>
  <c r="D46" i="6"/>
  <c r="D50" i="6"/>
  <c r="D51" i="6"/>
  <c r="C73" i="6"/>
  <c r="D93" i="8"/>
  <c r="B38" i="8"/>
  <c r="E6" i="10"/>
  <c r="G33" i="10"/>
  <c r="D93" i="10"/>
  <c r="B38" i="10"/>
  <c r="D93" i="9"/>
  <c r="B38" i="9"/>
  <c r="E6" i="9"/>
  <c r="G33" i="9"/>
  <c r="B30" i="24"/>
  <c r="K29" i="24"/>
  <c r="D32" i="17"/>
  <c r="E6" i="17"/>
  <c r="E16" i="17"/>
  <c r="E29" i="17"/>
  <c r="E30" i="17"/>
  <c r="E37" i="17"/>
  <c r="E47" i="17"/>
  <c r="E60" i="17"/>
  <c r="E61" i="17"/>
  <c r="D63" i="17"/>
  <c r="D24" i="7"/>
  <c r="D39" i="7"/>
  <c r="F53" i="6"/>
  <c r="E54" i="6"/>
  <c r="E49" i="6"/>
  <c r="F11" i="21"/>
  <c r="E18" i="12"/>
  <c r="E32" i="12"/>
  <c r="E34" i="12"/>
  <c r="E6" i="6"/>
  <c r="G50" i="6"/>
  <c r="D73" i="6"/>
  <c r="B55" i="6"/>
  <c r="D49" i="6"/>
  <c r="D72" i="6"/>
  <c r="B54" i="6"/>
  <c r="D95" i="8"/>
  <c r="B78" i="8"/>
  <c r="E46" i="8"/>
  <c r="E61" i="8"/>
  <c r="E78" i="8"/>
  <c r="D21" i="4"/>
  <c r="I32" i="4"/>
  <c r="D44" i="7"/>
  <c r="E79" i="8"/>
  <c r="G75" i="8"/>
  <c r="G43" i="7"/>
  <c r="E6" i="7"/>
  <c r="E24" i="7"/>
  <c r="D75" i="7"/>
  <c r="B48" i="7"/>
  <c r="E80" i="8"/>
  <c r="E59" i="8"/>
  <c r="F26" i="3"/>
  <c r="G26" i="3"/>
  <c r="H23" i="12"/>
  <c r="I23" i="12"/>
  <c r="G83" i="8"/>
  <c r="K75" i="8"/>
  <c r="G76" i="8"/>
  <c r="G79" i="8"/>
  <c r="E60" i="9"/>
  <c r="G21" i="4"/>
  <c r="E20" i="9"/>
  <c r="G34" i="9"/>
  <c r="E20" i="10"/>
  <c r="G34" i="10"/>
  <c r="E26" i="6"/>
  <c r="E20" i="35"/>
  <c r="E19" i="35"/>
  <c r="J21" i="4"/>
  <c r="E61" i="9"/>
  <c r="E78" i="9"/>
  <c r="G74" i="9"/>
  <c r="E21" i="35"/>
  <c r="E38" i="35"/>
  <c r="G34" i="35"/>
  <c r="E21" i="9"/>
  <c r="E38" i="9"/>
  <c r="G17" i="34"/>
  <c r="E60" i="35"/>
  <c r="E27" i="6"/>
  <c r="G51" i="6"/>
  <c r="E60" i="10"/>
  <c r="I21" i="4"/>
  <c r="H32" i="4"/>
  <c r="G30" i="4"/>
  <c r="J34" i="4"/>
  <c r="E42" i="7"/>
  <c r="E47" i="7"/>
  <c r="E48" i="7"/>
  <c r="F46" i="7"/>
  <c r="E6" i="8"/>
  <c r="E21" i="8"/>
  <c r="E38" i="8"/>
  <c r="E21" i="10"/>
  <c r="E38" i="10"/>
  <c r="E61" i="10"/>
  <c r="E78" i="10"/>
  <c r="G74" i="10"/>
  <c r="E59" i="35"/>
  <c r="G74" i="35"/>
  <c r="E61" i="35"/>
  <c r="E78" i="35"/>
  <c r="E39" i="35"/>
  <c r="E39" i="10"/>
  <c r="E40" i="10"/>
  <c r="E55" i="6"/>
  <c r="E39" i="9"/>
  <c r="E79" i="9"/>
  <c r="E49" i="7"/>
  <c r="E50" i="7"/>
  <c r="G45" i="7"/>
  <c r="E39" i="8"/>
  <c r="G35" i="8"/>
  <c r="E19" i="10"/>
  <c r="F29" i="3"/>
  <c r="H26" i="12"/>
  <c r="I26" i="12"/>
  <c r="G43" i="10"/>
  <c r="G29" i="3"/>
  <c r="E80" i="9"/>
  <c r="G35" i="10"/>
  <c r="E40" i="35"/>
  <c r="G35" i="35"/>
  <c r="E79" i="35"/>
  <c r="E40" i="9"/>
  <c r="E56" i="6"/>
  <c r="E57" i="6"/>
  <c r="G52" i="6"/>
  <c r="E79" i="10"/>
  <c r="K45" i="7"/>
  <c r="G46" i="7"/>
  <c r="G49" i="7"/>
  <c r="G24" i="3"/>
  <c r="E22" i="7"/>
  <c r="F24" i="3"/>
  <c r="H21" i="12"/>
  <c r="I21" i="12"/>
  <c r="G53" i="7"/>
  <c r="E39" i="7"/>
  <c r="G36" i="8"/>
  <c r="G39" i="8"/>
  <c r="E40" i="8"/>
  <c r="H18" i="12"/>
  <c r="I18" i="12"/>
  <c r="G60" i="6"/>
  <c r="F21" i="3"/>
  <c r="E44" i="6"/>
  <c r="G21" i="3"/>
  <c r="E25" i="6"/>
  <c r="E46" i="6"/>
  <c r="G75" i="10"/>
  <c r="G75" i="35"/>
  <c r="K35" i="35"/>
  <c r="G36" i="35"/>
  <c r="G39" i="35"/>
  <c r="H24" i="12"/>
  <c r="I24" i="12"/>
  <c r="G43" i="9"/>
  <c r="F27" i="3"/>
  <c r="G27" i="3"/>
  <c r="E19" i="9"/>
  <c r="J32" i="14"/>
  <c r="J34" i="14"/>
  <c r="G22" i="3"/>
  <c r="I19" i="12"/>
  <c r="G43" i="35"/>
  <c r="H19" i="12"/>
  <c r="F22" i="3"/>
  <c r="K52" i="6"/>
  <c r="G53" i="6"/>
  <c r="G56" i="6"/>
  <c r="K35" i="10"/>
  <c r="G36" i="10"/>
  <c r="G39" i="10"/>
  <c r="G35" i="9"/>
  <c r="E80" i="10"/>
  <c r="E80" i="35"/>
  <c r="F28" i="3"/>
  <c r="H25" i="12"/>
  <c r="G28" i="3"/>
  <c r="I25" i="12"/>
  <c r="G83" i="9"/>
  <c r="E59" i="9"/>
  <c r="G75" i="9"/>
  <c r="H22" i="12"/>
  <c r="F25" i="3"/>
  <c r="I22" i="12"/>
  <c r="E19" i="8"/>
  <c r="K35" i="8"/>
  <c r="K75" i="35"/>
  <c r="G76" i="35"/>
  <c r="G79" i="35"/>
  <c r="F35" i="3"/>
  <c r="F37" i="3"/>
  <c r="I20" i="12"/>
  <c r="F23" i="3"/>
  <c r="H20" i="12"/>
  <c r="G15" i="34"/>
  <c r="G22" i="34"/>
  <c r="G23" i="3"/>
  <c r="K75" i="10"/>
  <c r="G76" i="10"/>
  <c r="G79" i="10"/>
  <c r="H32" i="12"/>
  <c r="N34" i="12"/>
  <c r="N36" i="12"/>
  <c r="N29" i="12"/>
  <c r="K29" i="12"/>
  <c r="I27" i="12"/>
  <c r="G83" i="10"/>
  <c r="F30" i="3"/>
  <c r="H27" i="12"/>
  <c r="G30" i="3"/>
  <c r="E59" i="10"/>
  <c r="K75" i="9"/>
  <c r="G76" i="9"/>
  <c r="G79" i="9"/>
  <c r="K35" i="9"/>
  <c r="G36" i="9"/>
  <c r="G39" i="9"/>
  <c r="G43" i="8"/>
  <c r="G25" i="3"/>
  <c r="N30" i="12"/>
  <c r="K30" i="12"/>
  <c r="G83" i="35"/>
  <c r="G29" i="34"/>
  <c r="E30" i="34"/>
  <c r="D31" i="34"/>
  <c r="G35" i="3"/>
  <c r="E23" i="34"/>
  <c r="D24" i="34"/>
  <c r="I32" i="12"/>
  <c r="N40" i="12"/>
  <c r="G85" i="9"/>
  <c r="G62" i="6"/>
  <c r="G45" i="8"/>
  <c r="G45" i="35"/>
  <c r="G85" i="35"/>
  <c r="G85" i="10"/>
  <c r="G45" i="10"/>
  <c r="G55" i="7"/>
  <c r="G45" i="9"/>
  <c r="G85" i="8"/>
  <c r="F33" i="34"/>
  <c r="F80" i="35"/>
  <c r="G19" i="31"/>
  <c r="D9" i="31" l="1"/>
</calcChain>
</file>

<file path=xl/sharedStrings.xml><?xml version="1.0" encoding="utf-8"?>
<sst xmlns="http://schemas.openxmlformats.org/spreadsheetml/2006/main" count="1588" uniqueCount="957">
  <si>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</si>
  <si>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</si>
  <si>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</si>
  <si>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</si>
  <si>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</si>
  <si>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</si>
  <si>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</si>
  <si>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</si>
  <si>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</si>
  <si>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</si>
  <si>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</si>
  <si>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</si>
  <si>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</si>
  <si>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</si>
  <si>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</si>
  <si>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</si>
  <si>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</si>
  <si>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</si>
  <si>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</si>
  <si>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</si>
  <si>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</si>
  <si>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</si>
  <si>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</si>
  <si>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</si>
  <si>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</si>
  <si>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</si>
  <si>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</si>
  <si>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</si>
  <si>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</si>
  <si>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</si>
  <si>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</si>
  <si>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</si>
  <si>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</si>
  <si>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</si>
  <si>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</si>
  <si>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</si>
  <si>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</si>
  <si>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</si>
  <si>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</si>
  <si>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</si>
  <si>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</si>
  <si>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</si>
  <si>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</si>
  <si>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</si>
  <si>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</si>
  <si>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</si>
  <si>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</si>
  <si>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</si>
  <si>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</si>
  <si>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</si>
  <si>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</si>
  <si>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</si>
  <si>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</si>
  <si>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</si>
  <si>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</si>
  <si>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</si>
  <si>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</si>
  <si>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</si>
  <si>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</si>
  <si>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</si>
  <si>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</si>
  <si>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</si>
  <si>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</si>
  <si>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</si>
  <si>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</si>
  <si>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</si>
  <si>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</si>
  <si>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</si>
  <si>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</si>
  <si>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</si>
  <si>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</si>
  <si>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</si>
  <si>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</si>
  <si>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</si>
  <si>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</si>
  <si>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</si>
  <si>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</si>
  <si>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</si>
  <si>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</si>
  <si>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</si>
  <si>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</si>
  <si>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</si>
  <si>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</si>
  <si>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</si>
  <si>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</si>
  <si>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</si>
  <si>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</si>
  <si>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</si>
  <si>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</si>
  <si>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</si>
  <si>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</si>
  <si>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</si>
  <si>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</si>
  <si>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</si>
  <si>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</si>
  <si>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</si>
  <si>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</si>
  <si>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</si>
  <si>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</si>
  <si>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</si>
  <si>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</si>
  <si>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</si>
  <si>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</si>
  <si>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</si>
  <si>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</si>
  <si>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</si>
  <si>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</si>
  <si>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</si>
  <si>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</si>
  <si>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</si>
  <si>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</si>
  <si>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</si>
  <si>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</si>
  <si>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</si>
  <si>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</si>
  <si>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</si>
  <si>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</si>
  <si>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</si>
  <si>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</si>
  <si>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</si>
  <si>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</si>
  <si>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</si>
  <si>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</si>
  <si>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</si>
  <si>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</si>
  <si>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</si>
  <si>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</si>
  <si>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</si>
  <si>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</si>
  <si>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</si>
  <si>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</si>
  <si>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</si>
  <si>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</si>
  <si>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</si>
  <si>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</si>
  <si>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</si>
  <si>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</si>
  <si>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</si>
  <si>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</si>
  <si>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</si>
  <si>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</si>
  <si>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</si>
  <si>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</si>
  <si>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</si>
  <si>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</si>
  <si>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</si>
  <si>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</si>
  <si>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</si>
  <si>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</si>
  <si>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</si>
  <si>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</si>
  <si>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</si>
  <si>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</si>
  <si>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</si>
  <si>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</si>
  <si>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</si>
  <si>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</si>
  <si>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</si>
  <si>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</si>
  <si>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</si>
  <si>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</si>
  <si>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</si>
  <si>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</si>
  <si>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</si>
  <si>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</si>
  <si>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</si>
  <si>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</si>
  <si>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</si>
  <si>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</si>
  <si>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</si>
  <si>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</si>
  <si>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</si>
  <si>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</si>
  <si>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</si>
  <si>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</si>
  <si>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</si>
  <si>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</si>
  <si>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</si>
  <si>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</si>
  <si>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</si>
  <si>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</si>
  <si>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</si>
  <si>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</si>
  <si>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</si>
  <si>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</si>
  <si>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</si>
  <si>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</si>
  <si>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</si>
  <si>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</si>
  <si>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</si>
  <si>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</si>
  <si>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</si>
  <si>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</si>
  <si>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</si>
  <si>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</si>
  <si>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</si>
  <si>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</si>
  <si>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</si>
  <si>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</si>
  <si>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</si>
  <si>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</si>
  <si>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</si>
  <si>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</si>
  <si>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</si>
  <si>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</si>
  <si>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</si>
  <si>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</si>
  <si>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</si>
  <si>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</si>
  <si>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</si>
  <si>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</si>
  <si>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</si>
  <si>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</si>
  <si>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</si>
  <si>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</si>
  <si>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</si>
  <si>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</si>
  <si>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</si>
  <si>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</si>
  <si>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</si>
  <si>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</si>
  <si>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</si>
  <si>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</si>
  <si>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</si>
  <si>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</si>
  <si>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</si>
  <si>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</si>
  <si>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</si>
  <si>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</si>
  <si>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</si>
  <si>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</si>
  <si>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</si>
  <si>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</si>
  <si>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</si>
  <si>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</si>
  <si>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</si>
  <si>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</si>
  <si>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</si>
  <si>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</si>
  <si>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</si>
  <si>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</si>
  <si>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</si>
  <si>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</si>
  <si>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</si>
  <si>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</si>
  <si>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</si>
  <si>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</si>
  <si>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</si>
  <si>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</si>
  <si>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</si>
  <si>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</si>
  <si>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</si>
  <si>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</si>
  <si>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</si>
  <si>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</si>
  <si>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</si>
  <si>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</si>
  <si>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</si>
  <si>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</si>
  <si>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</si>
  <si>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</si>
  <si>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</si>
  <si>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</si>
  <si>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</si>
  <si>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</si>
  <si>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</si>
  <si>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</si>
  <si>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</si>
  <si>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</si>
  <si>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</si>
  <si>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</si>
  <si>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</si>
  <si>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</si>
  <si>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</si>
  <si>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</si>
  <si>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</si>
  <si>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</si>
  <si>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</si>
  <si>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</si>
  <si>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</si>
  <si>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</si>
  <si>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</si>
  <si>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</si>
  <si>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</si>
  <si>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</si>
  <si>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</si>
  <si>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</si>
  <si>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</si>
  <si>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</si>
  <si>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</si>
  <si>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</si>
  <si>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</si>
  <si>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</si>
  <si>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</si>
  <si>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</si>
  <si>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</si>
  <si>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</si>
  <si>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</si>
  <si>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</si>
  <si>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</si>
  <si>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</si>
  <si>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</si>
  <si>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</si>
  <si>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</si>
  <si>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</si>
  <si>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</si>
  <si>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</si>
  <si>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</si>
  <si>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</si>
  <si>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</si>
  <si>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</si>
  <si>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</si>
  <si>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</si>
  <si>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</si>
  <si>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</si>
  <si>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</si>
  <si>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</si>
  <si>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</si>
  <si>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</si>
  <si>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</si>
  <si>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</si>
  <si>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</si>
  <si>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</si>
  <si>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</si>
  <si>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</si>
  <si>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</si>
  <si>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</si>
  <si>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</si>
  <si>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</si>
  <si>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</si>
  <si>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</si>
  <si>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</si>
  <si>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</si>
  <si>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</si>
  <si>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</si>
  <si>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</si>
  <si>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</si>
  <si>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</si>
  <si>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</si>
  <si>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</si>
  <si>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</si>
  <si>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</si>
  <si>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</si>
  <si>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</si>
  <si>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</si>
  <si>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</si>
  <si>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</si>
  <si>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</si>
  <si>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</si>
  <si>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</si>
  <si>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</si>
  <si>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</si>
  <si>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</si>
  <si>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</si>
  <si>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</si>
  <si>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</si>
  <si>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</si>
  <si>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</si>
  <si>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</si>
  <si>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</si>
  <si>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</si>
  <si>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</si>
  <si>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</si>
  <si>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</si>
  <si>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</si>
  <si>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</si>
  <si>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</si>
  <si>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</si>
  <si>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</si>
  <si>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</si>
  <si>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</si>
  <si>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</si>
  <si>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</si>
  <si>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</si>
  <si>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</si>
  <si>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</si>
  <si>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</si>
  <si>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</si>
  <si>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</si>
  <si>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</si>
  <si>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</si>
  <si>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</si>
  <si>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</si>
  <si>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</si>
  <si>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</si>
  <si>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</si>
  <si>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</si>
  <si>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</si>
  <si>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</si>
  <si>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</si>
  <si>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</si>
  <si>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</si>
  <si>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</si>
  <si>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</si>
  <si>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</si>
  <si>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</si>
  <si>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</si>
  <si>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</si>
  <si>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</si>
  <si>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</si>
  <si>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</si>
  <si>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</si>
  <si>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</si>
  <si>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</si>
  <si>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</si>
  <si>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</si>
  <si>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</si>
  <si>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</si>
  <si>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</si>
  <si>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</si>
  <si>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</si>
  <si>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</si>
  <si>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</si>
  <si>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</si>
  <si>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</si>
  <si>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</si>
  <si>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</si>
  <si>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</si>
  <si>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</si>
  <si>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</si>
  <si>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</si>
  <si>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</si>
  <si>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</si>
  <si>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</si>
  <si>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</si>
  <si>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</si>
  <si>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</si>
  <si>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</si>
  <si>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</si>
  <si>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</si>
  <si>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</si>
  <si>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</si>
  <si>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</si>
  <si>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</si>
  <si>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</si>
  <si>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</si>
  <si>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</si>
  <si>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</si>
  <si>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</si>
  <si>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</si>
  <si>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</si>
  <si>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</si>
  <si>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</si>
  <si>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</si>
  <si>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</si>
  <si>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</si>
  <si>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</si>
  <si>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</si>
  <si>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</si>
  <si>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</si>
  <si>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</si>
  <si>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</si>
  <si>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</si>
  <si>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</si>
  <si>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</si>
  <si>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</si>
  <si>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</si>
  <si>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</si>
  <si>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</si>
  <si>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</si>
  <si>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</si>
  <si>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</si>
  <si>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</si>
  <si>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</si>
  <si>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</si>
  <si>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</si>
  <si>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</si>
  <si>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</si>
  <si>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</si>
  <si>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</si>
  <si>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</si>
  <si>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</si>
  <si>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</si>
  <si>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</si>
  <si>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</si>
  <si>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</si>
  <si>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</si>
  <si>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</si>
  <si>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</si>
  <si>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</si>
  <si>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</si>
  <si>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</si>
  <si>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</si>
  <si>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</si>
  <si>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</si>
  <si>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</si>
  <si>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</si>
  <si>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</si>
  <si>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</si>
  <si>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</si>
  <si>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</si>
  <si>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</si>
  <si>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</si>
  <si>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</si>
  <si>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</si>
  <si>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</si>
  <si>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</si>
  <si>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</si>
  <si>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</si>
  <si>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</si>
  <si>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</si>
  <si>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</si>
  <si>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</si>
  <si>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</si>
  <si>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</si>
  <si>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</si>
  <si>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</si>
  <si>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</si>
  <si>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</si>
  <si>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</si>
  <si>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</si>
  <si>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</si>
  <si>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</si>
  <si>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</si>
  <si>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</si>
  <si>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</si>
  <si>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</si>
  <si>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</si>
  <si>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</si>
  <si>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</si>
  <si>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</si>
  <si>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</si>
  <si>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</si>
  <si>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</si>
  <si>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</si>
  <si>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</si>
  <si>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</si>
  <si>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</si>
  <si>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</si>
  <si>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</si>
  <si>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</si>
  <si>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</si>
  <si>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</si>
  <si>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</si>
  <si>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</si>
  <si>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</si>
  <si>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</si>
  <si>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</si>
  <si>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</si>
  <si>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</si>
  <si>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</si>
  <si>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</si>
  <si>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</si>
  <si>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</si>
  <si>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</si>
  <si>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</si>
  <si>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</si>
  <si>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</si>
  <si>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</si>
  <si>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</si>
  <si>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</si>
  <si>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</si>
  <si>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</si>
  <si>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</si>
  <si>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</si>
  <si>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</si>
  <si>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</si>
  <si>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</si>
  <si>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</si>
  <si>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</si>
  <si>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</si>
  <si>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</si>
  <si>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</si>
  <si>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</si>
  <si>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</si>
  <si>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</si>
  <si>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</si>
  <si>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</si>
  <si>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</si>
  <si>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</si>
  <si>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</si>
  <si>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</si>
  <si>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</si>
  <si>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</si>
  <si>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</si>
  <si>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</si>
  <si>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</si>
  <si>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</si>
  <si>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</si>
  <si>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</si>
  <si>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</si>
  <si>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</si>
  <si>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</si>
  <si>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</si>
  <si>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</si>
  <si>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</si>
  <si>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</si>
  <si>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</si>
  <si>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</si>
  <si>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</si>
  <si>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</si>
  <si>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</si>
  <si>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</si>
  <si>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</si>
  <si>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</si>
  <si>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</si>
  <si>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</si>
  <si>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</si>
  <si>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</si>
  <si>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</si>
  <si>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</si>
  <si>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</si>
  <si>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</si>
  <si>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</si>
  <si>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</si>
  <si>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</si>
  <si>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</si>
  <si>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</si>
  <si>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</si>
  <si>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</si>
  <si>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</si>
  <si>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</si>
  <si>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</si>
  <si>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</si>
  <si>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</si>
  <si>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</si>
  <si>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</si>
  <si>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</si>
  <si>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</si>
  <si>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</si>
  <si>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</si>
  <si>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</si>
  <si>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</si>
  <si>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</si>
  <si>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</si>
  <si>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</si>
  <si>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</si>
  <si>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</si>
  <si>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</si>
  <si>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</si>
  <si>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</si>
  <si>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</si>
  <si>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</si>
  <si>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</si>
  <si>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</si>
  <si>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</si>
  <si>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</si>
  <si>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</si>
  <si>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</si>
  <si>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</si>
  <si>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</si>
  <si>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</si>
  <si>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</si>
  <si>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</si>
  <si>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</si>
  <si>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</si>
  <si>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</si>
  <si>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</si>
  <si>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</si>
  <si>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</si>
  <si>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</si>
  <si>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</si>
  <si>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</si>
  <si>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</si>
  <si>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</si>
  <si>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</si>
  <si>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</si>
  <si>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</si>
  <si>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</si>
  <si>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</si>
  <si>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</si>
  <si>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</si>
  <si>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</si>
  <si>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</si>
  <si>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</si>
  <si>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</si>
  <si>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</si>
  <si>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</si>
  <si>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</si>
  <si>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</si>
  <si>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</si>
  <si>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</si>
  <si>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</si>
  <si>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</si>
  <si>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</si>
  <si>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</si>
  <si>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</si>
  <si>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</si>
  <si>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</si>
  <si>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</si>
  <si>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</si>
  <si>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</si>
  <si>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</si>
  <si>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</si>
  <si>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</si>
  <si>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</si>
  <si>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</si>
  <si>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</si>
  <si>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</si>
  <si>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</si>
  <si>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</si>
  <si>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</si>
  <si>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</si>
  <si>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</si>
  <si>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</si>
  <si>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</si>
  <si>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</si>
  <si>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</si>
  <si>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</si>
  <si>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</si>
  <si>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</si>
  <si>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</si>
  <si>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</si>
  <si>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</si>
  <si>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</si>
  <si>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</si>
  <si>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</si>
  <si>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</si>
  <si>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</si>
  <si>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</si>
  <si>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</si>
  <si>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</si>
  <si>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</si>
  <si>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</si>
  <si>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</si>
  <si>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</si>
  <si>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</si>
  <si>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</si>
  <si>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</si>
  <si>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</si>
  <si>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</si>
  <si>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</si>
  <si>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</si>
  <si>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</si>
  <si>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</si>
  <si>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</si>
  <si>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</si>
  <si>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</si>
  <si>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</si>
  <si>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</si>
  <si>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</si>
  <si>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</si>
  <si>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</si>
  <si>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</si>
  <si>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</si>
  <si>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</si>
  <si>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</si>
  <si>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</si>
  <si>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</si>
  <si>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</si>
  <si>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</si>
  <si>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</si>
  <si>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</si>
  <si>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</si>
  <si>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</si>
  <si>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</si>
  <si>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</si>
  <si>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</si>
  <si>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</si>
  <si>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</si>
  <si>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</si>
  <si>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</si>
  <si>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</si>
  <si>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</si>
  <si>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</si>
  <si>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</si>
  <si>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</si>
  <si>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</si>
  <si>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</si>
  <si>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</si>
  <si>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</si>
  <si>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</si>
  <si>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</si>
  <si>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</si>
  <si>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</si>
  <si>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</si>
  <si>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</si>
  <si>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</si>
  <si>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</si>
  <si>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</si>
  <si>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</si>
  <si>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</si>
  <si>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</si>
  <si>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</si>
  <si>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</si>
  <si>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</si>
  <si>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</si>
  <si>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</si>
  <si>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</si>
  <si>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</si>
  <si>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</si>
  <si>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</si>
  <si>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</si>
  <si>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</si>
  <si>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</si>
  <si>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</si>
  <si>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</si>
  <si>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</si>
  <si>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</si>
  <si>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</si>
  <si>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</si>
  <si>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</si>
  <si>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</si>
  <si>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</si>
  <si>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</si>
  <si>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</si>
  <si>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</si>
  <si>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</si>
  <si>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</si>
  <si>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</si>
  <si>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</si>
  <si>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</si>
  <si>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</si>
  <si>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</si>
  <si>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</si>
  <si>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</si>
  <si>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</si>
  <si>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</si>
  <si>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</si>
  <si>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</si>
  <si>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</si>
  <si>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</si>
  <si>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</si>
  <si>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</si>
  <si>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</si>
  <si>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</si>
  <si>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</si>
  <si>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</si>
  <si>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</si>
  <si>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</si>
  <si>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</si>
  <si>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</si>
  <si>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</si>
  <si>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</si>
  <si>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</si>
  <si>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</si>
  <si>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</si>
  <si>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</si>
  <si>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</si>
  <si>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</si>
  <si>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</si>
  <si>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</si>
  <si>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</si>
  <si>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</si>
  <si>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</si>
  <si>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</si>
  <si>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</si>
  <si>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</si>
  <si>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</si>
  <si>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</si>
  <si>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</si>
  <si>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</si>
  <si>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</si>
  <si>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</si>
  <si>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</si>
  <si>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</si>
  <si>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</si>
  <si>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</si>
  <si>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</si>
  <si>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</si>
  <si>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</si>
  <si>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</si>
  <si>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</si>
  <si>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</si>
  <si>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</si>
  <si>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</si>
  <si>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</si>
  <si>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</si>
  <si>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</si>
  <si>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</si>
  <si>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</si>
  <si>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</si>
  <si>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</si>
  <si>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</si>
  <si>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</si>
  <si>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</si>
  <si>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</si>
  <si>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</si>
  <si>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</si>
  <si>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</si>
  <si>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</si>
  <si>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</si>
  <si>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</si>
  <si>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</si>
  <si>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</si>
  <si>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</si>
  <si>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</si>
  <si>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</si>
  <si>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</si>
  <si>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</si>
  <si>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</si>
  <si>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</si>
  <si>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</si>
  <si>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</si>
  <si>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</si>
  <si>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</si>
  <si>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</si>
  <si>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</si>
  <si>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</si>
  <si>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</si>
  <si>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</si>
  <si>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</si>
  <si>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</si>
  <si>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</si>
  <si>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</si>
  <si>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</si>
  <si>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</si>
  <si>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</si>
  <si>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</si>
  <si>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</si>
  <si>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</si>
  <si>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</si>
  <si>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</si>
  <si>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</si>
  <si>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</si>
  <si>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</si>
  <si>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</si>
  <si>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</si>
  <si>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</si>
  <si>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</si>
  <si>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</si>
  <si>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</si>
  <si>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</si>
  <si>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</si>
  <si>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</si>
  <si>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</si>
  <si>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</si>
  <si>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</si>
  <si>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</si>
  <si>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</si>
  <si>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</si>
  <si>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</si>
  <si>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</si>
  <si>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</si>
  <si>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</si>
  <si>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</si>
  <si>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</si>
  <si>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</si>
  <si>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</si>
  <si>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</si>
  <si>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</si>
  <si>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</si>
  <si>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</si>
  <si>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Cemetery</t>
  </si>
  <si>
    <t>Noxious Weed</t>
  </si>
  <si>
    <t>8:00 p.m.</t>
  </si>
  <si>
    <t>Wayne Noffsinger residence, 951 W. 100th Drive, Osborne, KS</t>
  </si>
  <si>
    <t>Osborne County Clerk's Office</t>
  </si>
  <si>
    <t>Publication Expense</t>
  </si>
  <si>
    <t>Bookkeeping</t>
  </si>
  <si>
    <t xml:space="preserve">  </t>
  </si>
  <si>
    <t>Equal. Aid</t>
  </si>
  <si>
    <t>Cemetery Fund</t>
  </si>
  <si>
    <t>Noxious Weed Fund</t>
  </si>
  <si>
    <t>Mowing</t>
  </si>
  <si>
    <t>Chemicals &amp; Spraying</t>
  </si>
  <si>
    <t>Lois Noffsinger</t>
  </si>
  <si>
    <t>951 W. 100th Drive</t>
  </si>
  <si>
    <t>Osborne, KS  67473</t>
  </si>
  <si>
    <t>wlnoff@ruraltel.net</t>
  </si>
  <si>
    <t>Penn Township</t>
  </si>
  <si>
    <t>Osborne County</t>
  </si>
  <si>
    <t>August 9, 2012</t>
  </si>
  <si>
    <t>W</t>
  </si>
  <si>
    <t>Wayne Noffsinger</t>
  </si>
  <si>
    <t>Treasurer</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</si>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</sst>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0" fontId="17" fillId="12" borderId="0" xfId="406" applyFont="1" applyFill="1" applyAlignment="1">
      <alignment horizontal="center"/>
    </xf>
    <xf numFmtId="0" fontId="2" fillId="12" borderId="0" xfId="28" applyFill="1" applyAlignment="1">
      <alignment horizontal="center"/>
    </xf>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45" fillId="0" borderId="15" xfId="22" applyFont="1" applyBorder="1" applyAlignment="1">
      <alignment horizontal="center" vertical="center"/>
    </xf>
    <xf numFmtId="0" fontId="2" fillId="0" borderId="9" xfId="22" applyBorder="1" applyAlignment="1"/>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2" fillId="0" borderId="15" xfId="22"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left" wrapText="1"/>
    </xf>
    <xf numFmtId="0" fontId="0" fillId="0" borderId="0" xfId="0" applyAlignment="1">
      <alignmen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wrapText="1"/>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178" fontId="35" fillId="12" borderId="0" xfId="0" applyNumberFormat="1" applyFont="1" applyFill="1" applyBorder="1" applyAlignment="1">
      <alignment horizontal="center"/>
    </xf>
    <xf numFmtId="0" fontId="35" fillId="0" borderId="24" xfId="0" applyFont="1" applyBorder="1" applyAlignment="1">
      <alignment horizontal="center"/>
    </xf>
    <xf numFmtId="172" fontId="35" fillId="13" borderId="1" xfId="0" applyNumberFormat="1" applyFont="1" applyFill="1" applyBorder="1" applyAlignment="1" applyProtection="1">
      <alignment horizontal="center"/>
      <protection locked="0"/>
    </xf>
    <xf numFmtId="178" fontId="35" fillId="0" borderId="24" xfId="0" applyNumberFormat="1" applyFont="1" applyBorder="1" applyAlignment="1">
      <alignment horizont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topLeftCell="A23"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853</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925</v>
      </c>
    </row>
    <row r="40" spans="1:1" ht="32.25" customHeight="1" x14ac:dyDescent="0.25">
      <c r="A40" s="742" t="s">
        <v>854</v>
      </c>
    </row>
    <row r="41" spans="1:1" ht="51.75" customHeight="1" x14ac:dyDescent="0.25">
      <c r="A41" s="743" t="s">
        <v>855</v>
      </c>
    </row>
    <row r="42" spans="1:1" ht="88.5" customHeight="1" x14ac:dyDescent="0.25">
      <c r="A42" s="743" t="s">
        <v>857</v>
      </c>
    </row>
    <row r="43" spans="1:1" ht="10.5" customHeight="1" x14ac:dyDescent="0.25">
      <c r="A43" s="334"/>
    </row>
    <row r="44" spans="1:1" ht="65.25" customHeight="1" x14ac:dyDescent="0.25">
      <c r="A44" s="334" t="s">
        <v>721</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858</v>
      </c>
    </row>
    <row r="49" spans="1:1" ht="69.95" customHeight="1" x14ac:dyDescent="0.25">
      <c r="A49" s="368" t="s">
        <v>593</v>
      </c>
    </row>
    <row r="50" spans="1:1" ht="54" customHeight="1" x14ac:dyDescent="0.25">
      <c r="A50" s="745" t="s">
        <v>859</v>
      </c>
    </row>
    <row r="51" spans="1:1" ht="12" customHeight="1" x14ac:dyDescent="0.25">
      <c r="A51" s="334"/>
    </row>
    <row r="52" spans="1:1" ht="68.25" customHeight="1" x14ac:dyDescent="0.25">
      <c r="A52" s="334" t="s">
        <v>594</v>
      </c>
    </row>
    <row r="53" spans="1:1" ht="74.25" customHeight="1" x14ac:dyDescent="0.25">
      <c r="A53" s="334" t="s">
        <v>595</v>
      </c>
    </row>
    <row r="54" spans="1:1" ht="45" customHeight="1" x14ac:dyDescent="0.25">
      <c r="A54" s="334" t="s">
        <v>860</v>
      </c>
    </row>
    <row r="55" spans="1:1" ht="72" customHeight="1" x14ac:dyDescent="0.25">
      <c r="A55" s="742" t="s">
        <v>861</v>
      </c>
    </row>
    <row r="56" spans="1:1" ht="15.75" customHeight="1" x14ac:dyDescent="0.25"/>
    <row r="57" spans="1:1" ht="80.25" customHeight="1" x14ac:dyDescent="0.25">
      <c r="A57" s="334" t="s">
        <v>596</v>
      </c>
    </row>
    <row r="58" spans="1:1" ht="40.5" customHeight="1" x14ac:dyDescent="0.25">
      <c r="A58" s="334" t="s">
        <v>597</v>
      </c>
    </row>
    <row r="59" spans="1:1" ht="45" customHeight="1" x14ac:dyDescent="0.25">
      <c r="A59" s="334" t="s">
        <v>598</v>
      </c>
    </row>
    <row r="60" spans="1:1" x14ac:dyDescent="0.25">
      <c r="A60" s="334"/>
    </row>
    <row r="61" spans="1:1" ht="68.25" customHeight="1" x14ac:dyDescent="0.25">
      <c r="A61" s="742" t="s">
        <v>862</v>
      </c>
    </row>
    <row r="62" spans="1:1" x14ac:dyDescent="0.25">
      <c r="A62" s="334"/>
    </row>
    <row r="63" spans="1:1" ht="40.5" customHeight="1" x14ac:dyDescent="0.25">
      <c r="A63" s="334" t="s">
        <v>599</v>
      </c>
    </row>
    <row r="64" spans="1:1" ht="34.5" customHeight="1" x14ac:dyDescent="0.25">
      <c r="A64" s="334" t="s">
        <v>607</v>
      </c>
    </row>
    <row r="65" spans="1:1" ht="77.25" customHeight="1" x14ac:dyDescent="0.25">
      <c r="A65" s="334" t="s">
        <v>608</v>
      </c>
    </row>
    <row r="66" spans="1:1" ht="41.25" customHeight="1" x14ac:dyDescent="0.25">
      <c r="A66" s="334" t="s">
        <v>605</v>
      </c>
    </row>
    <row r="67" spans="1:1" ht="41.25" customHeight="1" x14ac:dyDescent="0.25">
      <c r="A67" s="334" t="s">
        <v>606</v>
      </c>
    </row>
    <row r="68" spans="1:1" ht="9" customHeight="1" x14ac:dyDescent="0.25">
      <c r="A68" s="334"/>
    </row>
    <row r="69" spans="1:1" ht="58.5" customHeight="1" x14ac:dyDescent="0.25">
      <c r="A69" s="334" t="s">
        <v>600</v>
      </c>
    </row>
    <row r="70" spans="1:1" ht="9.75" customHeight="1" x14ac:dyDescent="0.25"/>
    <row r="71" spans="1:1" s="334" customFormat="1" ht="69" customHeight="1" x14ac:dyDescent="0.25">
      <c r="A71" s="334" t="s">
        <v>601</v>
      </c>
    </row>
    <row r="72" spans="1:1" ht="14.25" customHeight="1" x14ac:dyDescent="0.25"/>
    <row r="73" spans="1:1" ht="121.5" customHeight="1" x14ac:dyDescent="0.25">
      <c r="A73" s="742" t="s">
        <v>863</v>
      </c>
    </row>
    <row r="74" spans="1:1" ht="12" customHeight="1" x14ac:dyDescent="0.25">
      <c r="A74" s="742"/>
    </row>
    <row r="75" spans="1:1" ht="70.5" customHeight="1" x14ac:dyDescent="0.25">
      <c r="A75" s="334" t="s">
        <v>864</v>
      </c>
    </row>
    <row r="76" spans="1:1" ht="60.75" customHeight="1" x14ac:dyDescent="0.25">
      <c r="A76" s="742" t="s">
        <v>865</v>
      </c>
    </row>
    <row r="77" spans="1:1" ht="90.75" customHeight="1" x14ac:dyDescent="0.25">
      <c r="A77" s="542" t="s">
        <v>866</v>
      </c>
    </row>
    <row r="78" spans="1:1" ht="60.75" customHeight="1" x14ac:dyDescent="0.25">
      <c r="A78" s="542" t="s">
        <v>867</v>
      </c>
    </row>
    <row r="79" spans="1:1" ht="60.75" customHeight="1" x14ac:dyDescent="0.25">
      <c r="A79" s="542" t="s">
        <v>868</v>
      </c>
    </row>
    <row r="80" spans="1:1" ht="60" customHeight="1" x14ac:dyDescent="0.25">
      <c r="A80" s="334" t="s">
        <v>871</v>
      </c>
    </row>
    <row r="81" spans="1:1" ht="117.75" customHeight="1" x14ac:dyDescent="0.25">
      <c r="A81" s="334" t="s">
        <v>869</v>
      </c>
    </row>
    <row r="82" spans="1:1" ht="59.25" customHeight="1" x14ac:dyDescent="0.25">
      <c r="A82" s="334" t="s">
        <v>870</v>
      </c>
    </row>
    <row r="83" spans="1:1" ht="84.75" customHeight="1" x14ac:dyDescent="0.25">
      <c r="A83" s="334" t="s">
        <v>872</v>
      </c>
    </row>
    <row r="84" spans="1:1" ht="102.75" customHeight="1" x14ac:dyDescent="0.25">
      <c r="A84" s="334" t="s">
        <v>873</v>
      </c>
    </row>
    <row r="85" spans="1:1" ht="102.75" customHeight="1" x14ac:dyDescent="0.25">
      <c r="A85" s="345" t="s">
        <v>874</v>
      </c>
    </row>
    <row r="86" spans="1:1" ht="54" customHeight="1" x14ac:dyDescent="0.25">
      <c r="A86" s="337" t="s">
        <v>875</v>
      </c>
    </row>
    <row r="87" spans="1:1" ht="115.5" customHeight="1" x14ac:dyDescent="0.25">
      <c r="A87" s="334" t="s">
        <v>926</v>
      </c>
    </row>
    <row r="88" spans="1:1" ht="78" customHeight="1" x14ac:dyDescent="0.25">
      <c r="A88" s="345" t="s">
        <v>876</v>
      </c>
    </row>
    <row r="89" spans="1:1" ht="124.5" customHeight="1" x14ac:dyDescent="0.25">
      <c r="A89" s="345" t="s">
        <v>927</v>
      </c>
    </row>
    <row r="90" spans="1:1" ht="138" customHeight="1" x14ac:dyDescent="0.25">
      <c r="A90" s="334" t="s">
        <v>877</v>
      </c>
    </row>
    <row r="91" spans="1:1" ht="147" customHeight="1" x14ac:dyDescent="0.25">
      <c r="A91" s="334" t="s">
        <v>878</v>
      </c>
    </row>
    <row r="92" spans="1:1" ht="101.25" customHeight="1" x14ac:dyDescent="0.25">
      <c r="A92" s="334" t="s">
        <v>879</v>
      </c>
    </row>
    <row r="94" spans="1:1" ht="102.75" customHeight="1" x14ac:dyDescent="0.25">
      <c r="A94" s="334" t="s">
        <v>880</v>
      </c>
    </row>
    <row r="95" spans="1:1" ht="89.25" customHeight="1" x14ac:dyDescent="0.25">
      <c r="A95" s="345" t="s">
        <v>881</v>
      </c>
    </row>
    <row r="96" spans="1:1" ht="57" customHeight="1" x14ac:dyDescent="0.25">
      <c r="A96" s="345" t="s">
        <v>882</v>
      </c>
    </row>
    <row r="97" spans="1:1" ht="20.25" customHeight="1" x14ac:dyDescent="0.25">
      <c r="A97" s="334" t="s">
        <v>883</v>
      </c>
    </row>
    <row r="99" spans="1:1" ht="53.25" customHeight="1" x14ac:dyDescent="0.25">
      <c r="A99" s="334" t="s">
        <v>884</v>
      </c>
    </row>
    <row r="100" spans="1:1" ht="21" customHeight="1" x14ac:dyDescent="0.25">
      <c r="A100" s="334" t="s">
        <v>885</v>
      </c>
    </row>
    <row r="101" spans="1:1" ht="39.75" customHeight="1" x14ac:dyDescent="0.25">
      <c r="A101" s="542" t="s">
        <v>886</v>
      </c>
    </row>
    <row r="102" spans="1:1" ht="103.5" customHeight="1" x14ac:dyDescent="0.25">
      <c r="A102" s="542" t="s">
        <v>887</v>
      </c>
    </row>
    <row r="103" spans="1:1" ht="114" customHeight="1" x14ac:dyDescent="0.25">
      <c r="A103" s="542" t="s">
        <v>888</v>
      </c>
    </row>
    <row r="104" spans="1:1" ht="74.25" customHeight="1" x14ac:dyDescent="0.25">
      <c r="A104" s="746" t="s">
        <v>890</v>
      </c>
    </row>
    <row r="105" spans="1:1" ht="51.75" customHeight="1" x14ac:dyDescent="0.25">
      <c r="A105" s="334" t="s">
        <v>889</v>
      </c>
    </row>
    <row r="106" spans="1:1" ht="14.25" customHeight="1" x14ac:dyDescent="0.25"/>
    <row r="107" spans="1:1" ht="69.75" customHeight="1" x14ac:dyDescent="0.25">
      <c r="A107" s="334" t="s">
        <v>891</v>
      </c>
    </row>
    <row r="109" spans="1:1" ht="54" customHeight="1" x14ac:dyDescent="0.25">
      <c r="A109" s="542" t="s">
        <v>892</v>
      </c>
    </row>
    <row r="110" spans="1:1" ht="85.5" customHeight="1" x14ac:dyDescent="0.25">
      <c r="A110" s="542" t="s">
        <v>893</v>
      </c>
    </row>
    <row r="111" spans="1:1" ht="99" customHeight="1" x14ac:dyDescent="0.25">
      <c r="A111" s="542" t="s">
        <v>894</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Penn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830</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831</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832</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69"/>
      <c r="D18" s="769"/>
      <c r="E18" s="769"/>
      <c r="F18" s="769"/>
      <c r="G18" s="769"/>
      <c r="H18" s="769"/>
      <c r="I18" s="769"/>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833</v>
      </c>
      <c r="C22" s="174" t="s">
        <v>64</v>
      </c>
      <c r="D22" s="174" t="s">
        <v>65</v>
      </c>
      <c r="E22" s="174" t="s">
        <v>3</v>
      </c>
      <c r="F22" s="174" t="s">
        <v>66</v>
      </c>
      <c r="G22" s="174" t="s">
        <v>106</v>
      </c>
      <c r="H22" s="174" t="s">
        <v>67</v>
      </c>
      <c r="I22" s="174" t="s">
        <v>67</v>
      </c>
      <c r="J22" s="196"/>
      <c r="K22" s="196"/>
      <c r="L22" s="196"/>
    </row>
    <row r="23" spans="2:25" s="197" customFormat="1" x14ac:dyDescent="0.25">
      <c r="B23" s="177" t="s">
        <v>834</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1"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798" t="s">
        <v>769</v>
      </c>
      <c r="C2" s="798"/>
      <c r="D2" s="798"/>
      <c r="E2" s="798"/>
      <c r="F2" s="798"/>
      <c r="G2" s="798"/>
      <c r="H2" s="798"/>
      <c r="I2" s="798"/>
    </row>
    <row r="3" spans="2:9" ht="15.75" x14ac:dyDescent="0.2">
      <c r="B3" s="798" t="s">
        <v>770</v>
      </c>
      <c r="C3" s="798"/>
      <c r="D3" s="798"/>
      <c r="E3" s="798"/>
      <c r="F3" s="798"/>
      <c r="G3" s="798"/>
      <c r="H3" s="798"/>
      <c r="I3" s="798"/>
    </row>
    <row r="4" spans="2:9" ht="15.75" x14ac:dyDescent="0.2">
      <c r="B4" s="565"/>
      <c r="C4" s="565"/>
      <c r="D4" s="565"/>
      <c r="E4" s="565"/>
      <c r="F4" s="565"/>
      <c r="G4" s="565"/>
      <c r="H4" s="565"/>
      <c r="I4" s="565"/>
    </row>
    <row r="5" spans="2:9" ht="15.75" x14ac:dyDescent="0.2">
      <c r="B5" s="799" t="str">
        <f>CONCATENATE("Budgeted Year: ",inputPrYr!D5,"")</f>
        <v>Budgeted Year: 2013</v>
      </c>
      <c r="C5" s="799"/>
      <c r="D5" s="799"/>
      <c r="E5" s="799"/>
      <c r="F5" s="799"/>
      <c r="G5" s="799"/>
      <c r="H5" s="799"/>
      <c r="I5" s="799"/>
    </row>
    <row r="6" spans="2:9" ht="15.75" x14ac:dyDescent="0.2">
      <c r="B6" s="566"/>
      <c r="C6" s="565"/>
      <c r="D6" s="565"/>
      <c r="E6" s="565"/>
      <c r="F6" s="565"/>
      <c r="G6" s="565"/>
      <c r="H6" s="565"/>
      <c r="I6" s="565"/>
    </row>
    <row r="7" spans="2:9" ht="15.75" x14ac:dyDescent="0.2">
      <c r="B7" s="566" t="str">
        <f>CONCATENATE("Library found in: ",inputPrYr!D2,"")</f>
        <v>Library found in: Penn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0" t="s">
        <v>771</v>
      </c>
      <c r="C10" s="800"/>
      <c r="D10" s="800"/>
      <c r="E10" s="800"/>
      <c r="F10" s="800"/>
      <c r="G10" s="800"/>
      <c r="H10" s="800"/>
      <c r="I10" s="800"/>
    </row>
    <row r="11" spans="2:9" ht="15.75" x14ac:dyDescent="0.2">
      <c r="B11" s="565"/>
      <c r="C11" s="565"/>
      <c r="D11" s="565"/>
      <c r="E11" s="565"/>
      <c r="F11" s="565"/>
      <c r="G11" s="565"/>
      <c r="H11" s="565"/>
      <c r="I11" s="565"/>
    </row>
    <row r="12" spans="2:9" ht="15.75" x14ac:dyDescent="0.2">
      <c r="B12" s="567" t="s">
        <v>772</v>
      </c>
      <c r="C12" s="565"/>
      <c r="D12" s="565"/>
      <c r="E12" s="565"/>
      <c r="F12" s="565"/>
      <c r="G12" s="565"/>
      <c r="H12" s="565"/>
      <c r="I12" s="565"/>
    </row>
    <row r="13" spans="2:9" ht="15.75" x14ac:dyDescent="0.2">
      <c r="B13" s="565"/>
      <c r="C13" s="565"/>
      <c r="D13" s="565"/>
      <c r="E13" s="568" t="s">
        <v>12</v>
      </c>
      <c r="F13" s="565"/>
      <c r="G13" s="568" t="s">
        <v>773</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774</v>
      </c>
      <c r="C22" s="565"/>
      <c r="D22" s="565"/>
      <c r="E22" s="571">
        <f>SUM(E15:E21)</f>
        <v>0</v>
      </c>
      <c r="F22" s="565"/>
      <c r="G22" s="571">
        <f>SUM(G15:G21)</f>
        <v>0</v>
      </c>
      <c r="H22" s="565"/>
      <c r="I22" s="565"/>
    </row>
    <row r="23" spans="2:9" ht="15.75" x14ac:dyDescent="0.2">
      <c r="B23" s="565" t="s">
        <v>775</v>
      </c>
      <c r="C23" s="565"/>
      <c r="D23" s="565"/>
      <c r="E23" s="572">
        <f>G22-E22</f>
        <v>0</v>
      </c>
      <c r="F23" s="565"/>
      <c r="G23" s="573"/>
      <c r="H23" s="565"/>
      <c r="I23" s="565"/>
    </row>
    <row r="24" spans="2:9" ht="15.75" x14ac:dyDescent="0.2">
      <c r="B24" s="565" t="s">
        <v>776</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777</v>
      </c>
      <c r="C26" s="565"/>
      <c r="D26" s="565"/>
      <c r="E26" s="565"/>
      <c r="F26" s="565"/>
      <c r="G26" s="565"/>
      <c r="H26" s="565"/>
      <c r="I26" s="565"/>
    </row>
    <row r="27" spans="2:9" ht="15.75" x14ac:dyDescent="0.2">
      <c r="B27" s="565" t="s">
        <v>778</v>
      </c>
      <c r="C27" s="565"/>
      <c r="D27" s="565"/>
      <c r="E27" s="570">
        <f>summ!E37</f>
        <v>1699807</v>
      </c>
      <c r="F27" s="565"/>
      <c r="G27" s="570">
        <f>summ!G37</f>
        <v>1788368</v>
      </c>
      <c r="H27" s="565"/>
      <c r="I27" s="565"/>
    </row>
    <row r="28" spans="2:9" ht="15.75" x14ac:dyDescent="0.2">
      <c r="B28" s="565" t="s">
        <v>779</v>
      </c>
      <c r="C28" s="565"/>
      <c r="D28" s="565"/>
      <c r="E28" s="575" t="str">
        <f>IF(G27-E27&gt;0,"No","Yes")</f>
        <v>No</v>
      </c>
      <c r="F28" s="565"/>
      <c r="G28" s="565"/>
      <c r="H28" s="565"/>
      <c r="I28" s="565"/>
    </row>
    <row r="29" spans="2:9" ht="15.75" x14ac:dyDescent="0.2">
      <c r="B29" s="565" t="s">
        <v>780</v>
      </c>
      <c r="C29" s="565"/>
      <c r="D29" s="565"/>
      <c r="E29" s="576" t="str">
        <f>summ!F20</f>
        <v xml:space="preserve">  </v>
      </c>
      <c r="F29" s="565"/>
      <c r="G29" s="576" t="str">
        <f>summ!I20</f>
        <v xml:space="preserve"> </v>
      </c>
      <c r="H29" s="565"/>
      <c r="I29" s="565"/>
    </row>
    <row r="30" spans="2:9" ht="15.75" x14ac:dyDescent="0.2">
      <c r="B30" s="565" t="s">
        <v>781</v>
      </c>
      <c r="C30" s="565"/>
      <c r="D30" s="565"/>
      <c r="E30" s="577" t="e">
        <f>G29-E29</f>
        <v>#VALUE!</v>
      </c>
      <c r="F30" s="565"/>
      <c r="G30" s="565"/>
      <c r="H30" s="565"/>
      <c r="I30" s="565"/>
    </row>
    <row r="31" spans="2:9" ht="15.75" x14ac:dyDescent="0.2">
      <c r="B31" s="565" t="s">
        <v>776</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782</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0" t="s">
        <v>783</v>
      </c>
      <c r="C36" s="800"/>
      <c r="D36" s="800"/>
      <c r="E36" s="800"/>
      <c r="F36" s="800"/>
      <c r="G36" s="800"/>
      <c r="H36" s="800"/>
      <c r="I36" s="800"/>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784</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801" t="s">
        <v>785</v>
      </c>
      <c r="C43" s="802"/>
      <c r="D43" s="802"/>
      <c r="E43" s="802"/>
      <c r="F43" s="802"/>
      <c r="G43" s="802"/>
      <c r="H43" s="802"/>
      <c r="I43" s="802"/>
    </row>
    <row r="44" spans="2:9" ht="15.75" x14ac:dyDescent="0.2">
      <c r="B44" s="565"/>
      <c r="C44" s="565"/>
      <c r="D44" s="565"/>
      <c r="E44" s="565"/>
      <c r="F44" s="565"/>
      <c r="G44" s="565"/>
      <c r="H44" s="565"/>
      <c r="I44" s="565"/>
    </row>
    <row r="45" spans="2:9" ht="15.75" x14ac:dyDescent="0.25">
      <c r="B45" s="582" t="s">
        <v>786</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787</v>
      </c>
      <c r="C49" s="582"/>
      <c r="D49" s="583"/>
      <c r="E49" s="583"/>
      <c r="F49" s="583"/>
      <c r="G49" s="583"/>
      <c r="H49" s="583"/>
      <c r="I49" s="583"/>
    </row>
    <row r="50" spans="2:9" ht="15.75" x14ac:dyDescent="0.25">
      <c r="B50" s="582" t="s">
        <v>788</v>
      </c>
      <c r="C50" s="582"/>
      <c r="D50" s="583"/>
      <c r="E50" s="583"/>
      <c r="F50" s="583"/>
      <c r="G50" s="583"/>
      <c r="H50" s="583"/>
      <c r="I50" s="583"/>
    </row>
    <row r="51" spans="2:9" ht="15.75" x14ac:dyDescent="0.25">
      <c r="B51" s="582" t="s">
        <v>789</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790</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791</v>
      </c>
      <c r="C55" s="583"/>
      <c r="D55" s="583"/>
      <c r="E55" s="583"/>
      <c r="F55" s="583"/>
      <c r="G55" s="583"/>
      <c r="H55" s="583"/>
      <c r="I55" s="583"/>
    </row>
    <row r="56" spans="2:9" ht="15.75" x14ac:dyDescent="0.25">
      <c r="B56" s="582" t="s">
        <v>792</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793</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794</v>
      </c>
      <c r="C60" s="582"/>
      <c r="D60" s="582"/>
      <c r="E60" s="582"/>
      <c r="F60" s="582"/>
      <c r="G60" s="583"/>
      <c r="H60" s="583"/>
      <c r="I60" s="583"/>
    </row>
    <row r="61" spans="2:9" ht="15.75" x14ac:dyDescent="0.25">
      <c r="B61" s="582" t="s">
        <v>795</v>
      </c>
      <c r="C61" s="582"/>
      <c r="D61" s="582"/>
      <c r="E61" s="582"/>
      <c r="F61" s="582"/>
      <c r="G61" s="583"/>
      <c r="H61" s="583"/>
      <c r="I61" s="583"/>
    </row>
    <row r="62" spans="2:9" ht="15.75" x14ac:dyDescent="0.25">
      <c r="B62" s="582" t="s">
        <v>796</v>
      </c>
      <c r="C62" s="582"/>
      <c r="D62" s="582"/>
      <c r="E62" s="582"/>
      <c r="F62" s="582"/>
      <c r="G62" s="583"/>
      <c r="H62" s="583"/>
      <c r="I62" s="583"/>
    </row>
    <row r="63" spans="2:9" ht="15.75" x14ac:dyDescent="0.25">
      <c r="B63" s="582" t="s">
        <v>797</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798</v>
      </c>
      <c r="C65" s="585"/>
      <c r="D65" s="585"/>
      <c r="E65" s="585"/>
      <c r="F65" s="585"/>
      <c r="G65" s="583"/>
      <c r="H65" s="583"/>
      <c r="I65" s="583"/>
    </row>
    <row r="66" spans="2:9" ht="15.75" x14ac:dyDescent="0.25">
      <c r="B66" s="582" t="s">
        <v>799</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800</v>
      </c>
      <c r="C68" s="585"/>
      <c r="D68" s="585"/>
      <c r="E68" s="585"/>
      <c r="F68" s="585"/>
      <c r="G68" s="583"/>
      <c r="H68" s="583"/>
      <c r="I68" s="583"/>
    </row>
    <row r="69" spans="2:9" ht="15.75" x14ac:dyDescent="0.25">
      <c r="B69" s="582" t="s">
        <v>801</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802</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803</v>
      </c>
      <c r="C73" s="585"/>
      <c r="D73" s="585"/>
      <c r="E73" s="585"/>
      <c r="F73" s="585"/>
      <c r="G73" s="583"/>
      <c r="H73" s="583"/>
      <c r="I73" s="583"/>
    </row>
    <row r="74" spans="2:9" ht="15.75" x14ac:dyDescent="0.25">
      <c r="B74" s="582" t="s">
        <v>804</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805</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806</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391</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807</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808</v>
      </c>
      <c r="C86" s="585"/>
      <c r="D86" s="585"/>
      <c r="E86" s="585"/>
      <c r="F86" s="585"/>
      <c r="G86" s="583"/>
      <c r="H86" s="583"/>
      <c r="I86" s="583"/>
    </row>
    <row r="87" spans="2:9" ht="15.75" x14ac:dyDescent="0.25">
      <c r="B87" s="582" t="s">
        <v>809</v>
      </c>
      <c r="C87" s="585"/>
      <c r="D87" s="585"/>
      <c r="E87" s="585"/>
      <c r="F87" s="585"/>
      <c r="G87" s="583"/>
      <c r="H87" s="583"/>
      <c r="I87" s="583"/>
    </row>
    <row r="88" spans="2:9" ht="15.75" x14ac:dyDescent="0.25">
      <c r="B88" s="582" t="s">
        <v>810</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811</v>
      </c>
      <c r="C92" s="585"/>
      <c r="D92" s="585"/>
      <c r="E92" s="585"/>
      <c r="F92" s="585"/>
      <c r="G92" s="583"/>
      <c r="H92" s="583"/>
      <c r="I92" s="583"/>
    </row>
    <row r="93" spans="2:9" ht="15.75" x14ac:dyDescent="0.25">
      <c r="B93" s="582" t="s">
        <v>812</v>
      </c>
      <c r="C93" s="585"/>
      <c r="D93" s="585"/>
      <c r="E93" s="585"/>
      <c r="F93" s="585"/>
      <c r="G93" s="583"/>
      <c r="H93" s="583"/>
      <c r="I93" s="583"/>
    </row>
    <row r="94" spans="2:9" ht="15.75" x14ac:dyDescent="0.25">
      <c r="B94" s="582" t="s">
        <v>813</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814</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815</v>
      </c>
      <c r="C98" s="585"/>
      <c r="D98" s="585"/>
      <c r="E98" s="585"/>
      <c r="F98" s="585"/>
      <c r="G98" s="583"/>
      <c r="H98" s="583"/>
      <c r="I98" s="583"/>
    </row>
    <row r="99" spans="2:9" ht="15.75" x14ac:dyDescent="0.25">
      <c r="B99" s="582" t="s">
        <v>816</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817</v>
      </c>
      <c r="C101" s="585"/>
      <c r="D101" s="585"/>
      <c r="E101" s="585"/>
      <c r="F101" s="585"/>
      <c r="G101" s="583"/>
      <c r="H101" s="583"/>
      <c r="I101" s="583"/>
    </row>
    <row r="102" spans="2:9" ht="15.75" x14ac:dyDescent="0.25">
      <c r="B102" s="582" t="s">
        <v>818</v>
      </c>
      <c r="C102" s="585"/>
      <c r="D102" s="585"/>
      <c r="E102" s="585"/>
      <c r="F102" s="585"/>
      <c r="G102" s="583"/>
      <c r="H102" s="583"/>
      <c r="I102" s="583"/>
    </row>
    <row r="103" spans="2:9" ht="15.75" x14ac:dyDescent="0.25">
      <c r="B103" s="582" t="s">
        <v>819</v>
      </c>
      <c r="C103" s="585"/>
      <c r="D103" s="585"/>
      <c r="E103" s="585"/>
      <c r="F103" s="585"/>
      <c r="G103" s="583"/>
      <c r="H103" s="583"/>
      <c r="I103" s="583"/>
    </row>
    <row r="104" spans="2:9" ht="15.75" x14ac:dyDescent="0.25">
      <c r="B104" s="582" t="s">
        <v>820</v>
      </c>
      <c r="C104" s="585"/>
      <c r="D104" s="585"/>
      <c r="E104" s="585"/>
      <c r="F104" s="585"/>
      <c r="G104" s="583"/>
      <c r="H104" s="583"/>
      <c r="I104" s="583"/>
    </row>
    <row r="105" spans="2:9" ht="15.75" x14ac:dyDescent="0.25">
      <c r="B105" s="749" t="s">
        <v>928</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27" workbookViewId="0">
      <selection activeCell="D60" sqref="D60"/>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Penn Township</v>
      </c>
      <c r="C1" s="14"/>
      <c r="D1" s="14"/>
      <c r="E1" s="15">
        <f>inputPrYr!D5</f>
        <v>2013</v>
      </c>
    </row>
    <row r="2" spans="2:5" x14ac:dyDescent="0.25">
      <c r="B2" s="17"/>
      <c r="C2" s="14"/>
      <c r="D2" s="14"/>
      <c r="E2" s="18"/>
    </row>
    <row r="3" spans="2:5" x14ac:dyDescent="0.25">
      <c r="B3" s="541" t="s">
        <v>720</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322</v>
      </c>
      <c r="D6" s="390">
        <f>C51</f>
        <v>162</v>
      </c>
      <c r="E6" s="32">
        <f>D51</f>
        <v>248</v>
      </c>
    </row>
    <row r="7" spans="2:5" x14ac:dyDescent="0.25">
      <c r="B7" s="27" t="s">
        <v>120</v>
      </c>
      <c r="C7" s="390"/>
      <c r="D7" s="390"/>
      <c r="E7" s="33"/>
    </row>
    <row r="8" spans="2:5" x14ac:dyDescent="0.25">
      <c r="B8" s="27" t="s">
        <v>16</v>
      </c>
      <c r="C8" s="29"/>
      <c r="D8" s="390" t="s">
        <v>278</v>
      </c>
      <c r="E8" s="33" t="s">
        <v>290</v>
      </c>
    </row>
    <row r="9" spans="2:5" x14ac:dyDescent="0.25">
      <c r="B9" s="27" t="s">
        <v>17</v>
      </c>
      <c r="C9" s="29"/>
      <c r="D9" s="29"/>
      <c r="E9" s="34"/>
    </row>
    <row r="10" spans="2:5" x14ac:dyDescent="0.25">
      <c r="B10" s="27" t="s">
        <v>18</v>
      </c>
      <c r="C10" s="29"/>
      <c r="D10" s="29"/>
      <c r="E10" s="32">
        <f>mvalloc!G11</f>
        <v>0</v>
      </c>
    </row>
    <row r="11" spans="2:5" x14ac:dyDescent="0.25">
      <c r="B11" s="27" t="s">
        <v>19</v>
      </c>
      <c r="C11" s="29"/>
      <c r="D11" s="29"/>
      <c r="E11" s="32">
        <f>mvalloc!I11</f>
        <v>0</v>
      </c>
    </row>
    <row r="12" spans="2:5" x14ac:dyDescent="0.25">
      <c r="B12" s="35" t="s">
        <v>69</v>
      </c>
      <c r="C12" s="29"/>
      <c r="D12" s="29"/>
      <c r="E12" s="32">
        <f>mvalloc!J11</f>
        <v>0</v>
      </c>
    </row>
    <row r="13" spans="2:5" x14ac:dyDescent="0.25">
      <c r="B13" s="35" t="s">
        <v>161</v>
      </c>
      <c r="C13" s="29"/>
      <c r="D13" s="29"/>
      <c r="E13" s="32">
        <f>inputOth!E35</f>
        <v>0</v>
      </c>
    </row>
    <row r="14" spans="2:5" x14ac:dyDescent="0.25">
      <c r="B14" s="27" t="s">
        <v>20</v>
      </c>
      <c r="C14" s="29">
        <v>4755</v>
      </c>
      <c r="D14" s="29">
        <v>5500</v>
      </c>
      <c r="E14" s="32">
        <v>5500</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t="s">
        <v>940</v>
      </c>
    </row>
    <row r="23" spans="2:5" x14ac:dyDescent="0.25">
      <c r="B23" s="38" t="s">
        <v>22</v>
      </c>
      <c r="C23" s="29">
        <v>23</v>
      </c>
      <c r="D23" s="29">
        <v>100</v>
      </c>
      <c r="E23" s="34">
        <v>100</v>
      </c>
    </row>
    <row r="24" spans="2:5" x14ac:dyDescent="0.25">
      <c r="B24" s="39" t="s">
        <v>213</v>
      </c>
      <c r="C24" s="29"/>
      <c r="D24" s="29">
        <v>286</v>
      </c>
      <c r="E24" s="34">
        <v>100</v>
      </c>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4778</v>
      </c>
      <c r="D26" s="392">
        <f>SUM(D8:D24)</f>
        <v>5886</v>
      </c>
      <c r="E26" s="42">
        <f>SUM(E8:E24)</f>
        <v>5700</v>
      </c>
    </row>
    <row r="27" spans="2:5" x14ac:dyDescent="0.25">
      <c r="B27" s="43" t="s">
        <v>24</v>
      </c>
      <c r="C27" s="392">
        <f>C26+C6</f>
        <v>5100</v>
      </c>
      <c r="D27" s="392">
        <f>D26+D6</f>
        <v>6048</v>
      </c>
      <c r="E27" s="42">
        <f>E26+E6</f>
        <v>5948</v>
      </c>
    </row>
    <row r="28" spans="2:5" x14ac:dyDescent="0.25">
      <c r="B28" s="27" t="s">
        <v>25</v>
      </c>
      <c r="C28" s="390"/>
      <c r="D28" s="390"/>
      <c r="E28" s="32"/>
    </row>
    <row r="29" spans="2:5" x14ac:dyDescent="0.25">
      <c r="B29" s="37"/>
      <c r="C29" s="29"/>
      <c r="D29" s="29"/>
      <c r="E29" s="34"/>
    </row>
    <row r="30" spans="2:5" x14ac:dyDescent="0.25">
      <c r="B30" s="38" t="s">
        <v>101</v>
      </c>
      <c r="C30" s="29"/>
      <c r="D30" s="29"/>
      <c r="E30" s="34"/>
    </row>
    <row r="31" spans="2:5" x14ac:dyDescent="0.25">
      <c r="B31" s="38" t="s">
        <v>125</v>
      </c>
      <c r="C31" s="29"/>
      <c r="D31" s="29"/>
      <c r="E31" s="34"/>
    </row>
    <row r="32" spans="2:5" x14ac:dyDescent="0.25">
      <c r="B32" s="38" t="s">
        <v>102</v>
      </c>
      <c r="C32" s="29">
        <v>86</v>
      </c>
      <c r="D32" s="29" t="s">
        <v>278</v>
      </c>
      <c r="E32" s="34" t="s">
        <v>278</v>
      </c>
    </row>
    <row r="33" spans="2:10" x14ac:dyDescent="0.25">
      <c r="B33" s="38" t="s">
        <v>36</v>
      </c>
      <c r="C33" s="29">
        <v>77</v>
      </c>
      <c r="D33" s="29">
        <v>200</v>
      </c>
      <c r="E33" s="34">
        <v>200</v>
      </c>
    </row>
    <row r="34" spans="2:10" x14ac:dyDescent="0.25">
      <c r="B34" s="37" t="s">
        <v>103</v>
      </c>
      <c r="C34" s="29"/>
      <c r="D34" s="29" t="s">
        <v>278</v>
      </c>
      <c r="E34" s="34"/>
    </row>
    <row r="35" spans="2:10" x14ac:dyDescent="0.25">
      <c r="B35" s="37" t="s">
        <v>126</v>
      </c>
      <c r="C35" s="29"/>
      <c r="D35" s="29" t="s">
        <v>278</v>
      </c>
      <c r="E35" s="34"/>
    </row>
    <row r="36" spans="2:10" x14ac:dyDescent="0.25">
      <c r="B36" s="38" t="s">
        <v>128</v>
      </c>
      <c r="C36" s="29">
        <v>660</v>
      </c>
      <c r="D36" s="29">
        <v>1500</v>
      </c>
      <c r="E36" s="34">
        <v>1500</v>
      </c>
    </row>
    <row r="37" spans="2:10" x14ac:dyDescent="0.25">
      <c r="B37" s="38" t="s">
        <v>938</v>
      </c>
      <c r="C37" s="29">
        <v>75</v>
      </c>
      <c r="D37" s="29">
        <v>300</v>
      </c>
      <c r="E37" s="34">
        <v>300</v>
      </c>
    </row>
    <row r="38" spans="2:10" x14ac:dyDescent="0.25">
      <c r="B38" s="37" t="s">
        <v>939</v>
      </c>
      <c r="C38" s="29">
        <v>540</v>
      </c>
      <c r="D38" s="29">
        <v>600</v>
      </c>
      <c r="E38" s="34">
        <v>600</v>
      </c>
    </row>
    <row r="39" spans="2:10" x14ac:dyDescent="0.25">
      <c r="B39" s="38"/>
      <c r="C39" s="29"/>
      <c r="D39" s="29"/>
      <c r="E39" s="34"/>
    </row>
    <row r="40" spans="2:10" x14ac:dyDescent="0.25">
      <c r="B40" s="38"/>
      <c r="C40" s="29"/>
      <c r="D40" s="29"/>
      <c r="E40" s="34"/>
    </row>
    <row r="41" spans="2:10" x14ac:dyDescent="0.25">
      <c r="B41" s="37"/>
      <c r="C41" s="29"/>
      <c r="D41" s="29"/>
      <c r="E41" s="34"/>
      <c r="G41" s="809" t="str">
        <f>CONCATENATE("Desired Carryover Into ",E1+1,"")</f>
        <v>Desired Carryover Into 2014</v>
      </c>
      <c r="H41" s="810"/>
      <c r="I41" s="810"/>
      <c r="J41" s="811"/>
    </row>
    <row r="42" spans="2:10" x14ac:dyDescent="0.25">
      <c r="B42" s="38"/>
      <c r="C42" s="29"/>
      <c r="D42" s="29"/>
      <c r="E42" s="34"/>
      <c r="G42" s="501"/>
      <c r="H42" s="488"/>
      <c r="I42" s="493"/>
      <c r="J42" s="502"/>
    </row>
    <row r="43" spans="2:10" x14ac:dyDescent="0.25">
      <c r="B43" s="35" t="s">
        <v>268</v>
      </c>
      <c r="C43" s="29">
        <v>3500</v>
      </c>
      <c r="D43" s="29">
        <v>3100</v>
      </c>
      <c r="E43" s="34">
        <v>3100</v>
      </c>
      <c r="G43" s="503" t="s">
        <v>714</v>
      </c>
      <c r="H43" s="493"/>
      <c r="I43" s="493"/>
      <c r="J43" s="504">
        <v>0</v>
      </c>
    </row>
    <row r="44" spans="2:10" x14ac:dyDescent="0.25">
      <c r="B44" s="35" t="s">
        <v>265</v>
      </c>
      <c r="C44" s="386" t="str">
        <f>IF(AND($C$43&gt;0,$C$8&gt;0),"Not Authorized","")</f>
        <v/>
      </c>
      <c r="D44" s="386" t="s">
        <v>956</v>
      </c>
      <c r="E44" s="44" t="str">
        <f>IF(AND(cert!F21&gt;0,$E$43&gt;0),"Not Authorized","")</f>
        <v/>
      </c>
      <c r="G44" s="501" t="s">
        <v>715</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752</v>
      </c>
      <c r="C46" s="387" t="str">
        <f>IF(C27*0.25&lt;C45,"Exceeds 25%","")</f>
        <v/>
      </c>
      <c r="D46" s="387" t="str">
        <f>IF(D27*0.25&lt;D45,"Exceeds 25%","")</f>
        <v/>
      </c>
      <c r="E46" s="45" t="str">
        <f>IF(E27*0.25+E57&lt;E45,"Exceeds 25%","")</f>
        <v/>
      </c>
      <c r="G46" s="708" t="s">
        <v>824</v>
      </c>
      <c r="H46" s="709"/>
      <c r="I46" s="709"/>
      <c r="J46" s="710">
        <f>IF(J43&gt;0,J45-E54,0)</f>
        <v>0</v>
      </c>
    </row>
    <row r="47" spans="2:10" x14ac:dyDescent="0.25">
      <c r="B47" s="35" t="s">
        <v>215</v>
      </c>
      <c r="C47" s="29"/>
      <c r="D47" s="29"/>
      <c r="E47" s="46" t="str">
        <f>nhood!E6</f>
        <v/>
      </c>
    </row>
    <row r="48" spans="2:10" x14ac:dyDescent="0.25">
      <c r="B48" s="35" t="s">
        <v>213</v>
      </c>
      <c r="C48" s="29"/>
      <c r="D48" s="29">
        <v>100</v>
      </c>
      <c r="E48" s="34">
        <v>100</v>
      </c>
      <c r="G48" s="809" t="str">
        <f>CONCATENATE("Projected Carryover Into ",E1+1,"")</f>
        <v>Projected Carryover Into 2014</v>
      </c>
      <c r="H48" s="810"/>
      <c r="I48" s="810"/>
      <c r="J48" s="811"/>
    </row>
    <row r="49" spans="2:11" x14ac:dyDescent="0.25">
      <c r="B49" s="35" t="s">
        <v>621</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4938</v>
      </c>
      <c r="D50" s="384">
        <f>SUM(D29:D48)</f>
        <v>5800</v>
      </c>
      <c r="E50" s="47">
        <f>SUM(E29:E43,E45,E47:E48)</f>
        <v>5800</v>
      </c>
      <c r="G50" s="490">
        <f>D51</f>
        <v>248</v>
      </c>
      <c r="H50" s="491" t="str">
        <f>CONCATENATE("",E1-1," Ending Cash Balance (est.)")</f>
        <v>2012 Ending Cash Balance (est.)</v>
      </c>
      <c r="I50" s="492"/>
      <c r="J50" s="489"/>
    </row>
    <row r="51" spans="2:11" x14ac:dyDescent="0.25">
      <c r="B51" s="27" t="s">
        <v>119</v>
      </c>
      <c r="C51" s="385">
        <f>C27-C50</f>
        <v>162</v>
      </c>
      <c r="D51" s="385">
        <f>SUM(D27-D50)</f>
        <v>248</v>
      </c>
      <c r="E51" s="33" t="s">
        <v>290</v>
      </c>
      <c r="G51" s="490">
        <f>E26</f>
        <v>5700</v>
      </c>
      <c r="H51" s="493" t="str">
        <f>CONCATENATE("",E1," Non-AV Receipts (est.)")</f>
        <v>2013 Non-AV Receipts (est.)</v>
      </c>
      <c r="I51" s="492"/>
      <c r="J51" s="489"/>
    </row>
    <row r="52" spans="2:11" x14ac:dyDescent="0.2">
      <c r="B52" s="48" t="str">
        <f>CONCATENATE("",E1-2,"/",E1-1," Budget Authority Amount:")</f>
        <v>2011/2012 Budget Authority Amount:</v>
      </c>
      <c r="C52" s="132">
        <f>inputOth!B46</f>
        <v>5700</v>
      </c>
      <c r="D52" s="161">
        <f>inputPrYr!D16</f>
        <v>5800</v>
      </c>
      <c r="E52" s="33" t="s">
        <v>290</v>
      </c>
      <c r="F52" s="50"/>
      <c r="G52" s="494">
        <f>IF(D56&gt;0,E55,E57)</f>
        <v>0</v>
      </c>
      <c r="H52" s="493" t="str">
        <f>CONCATENATE("",E1," Ad Valorem Tax (est.)")</f>
        <v>2013 Ad Valorem Tax (est.)</v>
      </c>
      <c r="I52" s="492"/>
      <c r="J52" s="489"/>
      <c r="K52" s="711" t="str">
        <f>IF(G52=E57,"","Note: Does not include Delinquent Taxes")</f>
        <v/>
      </c>
    </row>
    <row r="53" spans="2:11" x14ac:dyDescent="0.25">
      <c r="B53" s="48"/>
      <c r="C53" s="805" t="s">
        <v>622</v>
      </c>
      <c r="D53" s="806"/>
      <c r="E53" s="34"/>
      <c r="F53" s="486" t="str">
        <f>IF(E50/0.95-E50&lt;E53,"Exceeds 5%","")</f>
        <v/>
      </c>
      <c r="G53" s="490">
        <f>SUM(G50:G52)</f>
        <v>5948</v>
      </c>
      <c r="H53" s="493" t="str">
        <f>CONCATENATE("Total ",E1," Resources Available")</f>
        <v>Total 2013 Resources Available</v>
      </c>
      <c r="I53" s="492"/>
      <c r="J53" s="489"/>
    </row>
    <row r="54" spans="2:11" x14ac:dyDescent="0.25">
      <c r="B54" s="399" t="str">
        <f>CONCATENATE(C72,"     ",D72)</f>
        <v xml:space="preserve">     </v>
      </c>
      <c r="C54" s="807" t="s">
        <v>623</v>
      </c>
      <c r="D54" s="808"/>
      <c r="E54" s="32">
        <f>E50+E53</f>
        <v>5800</v>
      </c>
      <c r="G54" s="495"/>
      <c r="H54" s="493"/>
      <c r="I54" s="493"/>
      <c r="J54" s="489"/>
    </row>
    <row r="55" spans="2:11" x14ac:dyDescent="0.25">
      <c r="B55" s="399" t="str">
        <f>CONCATENATE(C73,"     ",D73)</f>
        <v xml:space="preserve">     </v>
      </c>
      <c r="C55" s="60"/>
      <c r="D55" s="52" t="s">
        <v>28</v>
      </c>
      <c r="E55" s="46">
        <f>IF(E54-E27&gt;0,E54-E27,0)</f>
        <v>0</v>
      </c>
      <c r="G55" s="494">
        <f>ROUND(C50*0.05+C50,0)</f>
        <v>5185</v>
      </c>
      <c r="H55" s="493" t="str">
        <f>CONCATENATE("Less ",E1-2," Expenditures + 5%")</f>
        <v>Less 2011 Expenditures + 5%</v>
      </c>
      <c r="I55" s="492"/>
      <c r="J55" s="489"/>
    </row>
    <row r="56" spans="2:11" x14ac:dyDescent="0.25">
      <c r="B56" s="52"/>
      <c r="C56" s="403" t="s">
        <v>624</v>
      </c>
      <c r="D56" s="698">
        <f>inputOth!$E$40</f>
        <v>1.2999999999999999E-2</v>
      </c>
      <c r="E56" s="32">
        <f>ROUND(IF(D56&gt;0,(E55*D56),0),0)</f>
        <v>0</v>
      </c>
      <c r="G56" s="496">
        <f>G53-G55</f>
        <v>763</v>
      </c>
      <c r="H56" s="497" t="str">
        <f>CONCATENATE("Projected ",E1+1," Carryover (est.)")</f>
        <v>Projected 2014 Carryover (est.)</v>
      </c>
      <c r="I56" s="498"/>
      <c r="J56" s="499"/>
    </row>
    <row r="57" spans="2:11" x14ac:dyDescent="0.25">
      <c r="B57" s="14"/>
      <c r="C57" s="803" t="str">
        <f>CONCATENATE("Amount of  ",$E$1-1," Ad Valorem Tax")</f>
        <v>Amount of  2012 Ad Valorem Tax</v>
      </c>
      <c r="D57" s="804"/>
      <c r="E57" s="46">
        <f>E55+E56</f>
        <v>0</v>
      </c>
    </row>
    <row r="58" spans="2:11" x14ac:dyDescent="0.2">
      <c r="B58" s="14"/>
      <c r="C58" s="14"/>
      <c r="D58" s="14"/>
      <c r="E58" s="14"/>
      <c r="G58" s="812" t="s">
        <v>825</v>
      </c>
      <c r="H58" s="813"/>
      <c r="I58" s="813"/>
      <c r="J58" s="814"/>
    </row>
    <row r="59" spans="2:11" s="54" customFormat="1" x14ac:dyDescent="0.25">
      <c r="B59" s="19"/>
      <c r="C59" s="19"/>
      <c r="D59" s="53"/>
      <c r="E59" s="19"/>
      <c r="G59" s="712"/>
      <c r="H59" s="491"/>
      <c r="I59" s="700"/>
      <c r="J59" s="713"/>
      <c r="K59" s="16"/>
    </row>
    <row r="60" spans="2:11" s="56" customFormat="1" x14ac:dyDescent="0.25">
      <c r="B60" s="14"/>
      <c r="C60" s="14"/>
      <c r="D60" s="55"/>
      <c r="E60" s="14"/>
      <c r="G60" s="714" t="str">
        <f>summ!I18</f>
        <v xml:space="preserve"> </v>
      </c>
      <c r="H60" s="491" t="str">
        <f>CONCATENATE("",E1," Fund Mill Rate")</f>
        <v>2013 Fund Mill Rate</v>
      </c>
      <c r="I60" s="700"/>
      <c r="J60" s="713"/>
      <c r="K60" s="16"/>
    </row>
    <row r="61" spans="2:11" x14ac:dyDescent="0.25">
      <c r="B61" s="52" t="s">
        <v>9</v>
      </c>
      <c r="C61" s="405">
        <f>IF(inputPrYr!D18&gt;0,7,6)</f>
        <v>6</v>
      </c>
      <c r="D61" s="14"/>
      <c r="E61" s="55"/>
      <c r="G61" s="715" t="str">
        <f>summ!F18</f>
        <v xml:space="preserve"> </v>
      </c>
      <c r="H61" s="491" t="str">
        <f>CONCATENATE("",E1-1," Fund Mill Rate")</f>
        <v>2012 Fund Mill Rate</v>
      </c>
      <c r="I61" s="700"/>
      <c r="J61" s="713"/>
    </row>
    <row r="62" spans="2:11" x14ac:dyDescent="0.25">
      <c r="G62" s="716">
        <f>summ!I32</f>
        <v>11.120000000000001</v>
      </c>
      <c r="H62" s="491" t="str">
        <f>CONCATENATE("Total ",E1," Mill Rate")</f>
        <v>Total 2013 Mill Rate</v>
      </c>
      <c r="I62" s="700"/>
      <c r="J62" s="713"/>
    </row>
    <row r="63" spans="2:11" x14ac:dyDescent="0.25">
      <c r="B63" s="12"/>
      <c r="G63" s="715">
        <f>summ!F32</f>
        <v>11.457999999999998</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Penn Township</v>
      </c>
      <c r="C1" s="588"/>
      <c r="D1" s="589"/>
      <c r="E1" s="590">
        <f>inputPrYr!D5</f>
        <v>2013</v>
      </c>
    </row>
    <row r="2" spans="2:5" x14ac:dyDescent="0.25">
      <c r="B2" s="589"/>
      <c r="C2" s="589"/>
      <c r="D2" s="589"/>
      <c r="E2" s="592"/>
    </row>
    <row r="3" spans="2:5" x14ac:dyDescent="0.25">
      <c r="B3" s="541" t="s">
        <v>720</v>
      </c>
      <c r="C3" s="541"/>
      <c r="D3" s="593"/>
      <c r="E3" s="594"/>
    </row>
    <row r="4" spans="2:5" x14ac:dyDescent="0.25">
      <c r="B4" s="595" t="s">
        <v>10</v>
      </c>
      <c r="C4" s="596" t="s">
        <v>821</v>
      </c>
      <c r="D4" s="597" t="s">
        <v>822</v>
      </c>
      <c r="E4" s="598" t="s">
        <v>823</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827</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15" t="str">
        <f>CONCATENATE("Desired Carryover Into ",E1+1,"")</f>
        <v>Desired Carryover Into 2014</v>
      </c>
      <c r="H24" s="816"/>
      <c r="I24" s="816"/>
      <c r="J24" s="817"/>
    </row>
    <row r="25" spans="2:10" x14ac:dyDescent="0.25">
      <c r="B25" s="613"/>
      <c r="C25" s="610"/>
      <c r="D25" s="610"/>
      <c r="E25" s="611"/>
      <c r="G25" s="622"/>
      <c r="H25" s="623"/>
      <c r="I25" s="624"/>
      <c r="J25" s="625"/>
    </row>
    <row r="26" spans="2:10" x14ac:dyDescent="0.25">
      <c r="B26" s="613"/>
      <c r="C26" s="608"/>
      <c r="D26" s="610"/>
      <c r="E26" s="611"/>
      <c r="G26" s="626" t="s">
        <v>714</v>
      </c>
      <c r="H26" s="624"/>
      <c r="I26" s="624"/>
      <c r="J26" s="627">
        <v>0</v>
      </c>
    </row>
    <row r="27" spans="2:10" x14ac:dyDescent="0.25">
      <c r="B27" s="613"/>
      <c r="C27" s="608"/>
      <c r="D27" s="610"/>
      <c r="E27" s="611"/>
      <c r="G27" s="622" t="s">
        <v>715</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824</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15" t="str">
        <f>CONCATENATE("Projected Carryover Into ",E1+1,"")</f>
        <v>Projected Carryover Into 2014</v>
      </c>
      <c r="H31" s="825"/>
      <c r="I31" s="825"/>
      <c r="J31" s="819"/>
    </row>
    <row r="32" spans="2:10" x14ac:dyDescent="0.25">
      <c r="B32" s="636" t="s">
        <v>621</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5" t="s">
        <v>622</v>
      </c>
      <c r="D36" s="806"/>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07" t="s">
        <v>623</v>
      </c>
      <c r="D37" s="808"/>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624</v>
      </c>
      <c r="D39" s="656">
        <f>inputOth!E40</f>
        <v>1.2999999999999999E-2</v>
      </c>
      <c r="E39" s="606">
        <f>ROUND(IF(D39&gt;0,(E38*D39),0),0)</f>
        <v>0</v>
      </c>
      <c r="F39" s="644"/>
      <c r="G39" s="657">
        <f>G36-G38</f>
        <v>0</v>
      </c>
      <c r="H39" s="658" t="str">
        <f>CONCATENATE("Projected ",E1+1," carryover (est.)")</f>
        <v>Projected 2014 carryover (est.)</v>
      </c>
      <c r="I39" s="659"/>
      <c r="J39" s="660"/>
    </row>
    <row r="40" spans="2:11" ht="16.5" thickBot="1" x14ac:dyDescent="0.3">
      <c r="B40" s="589"/>
      <c r="C40" s="820" t="str">
        <f>CONCATENATE("Amount of  ",E1-1," Ad Valorem Tax")</f>
        <v>Amount of  2012 Ad Valorem Tax</v>
      </c>
      <c r="D40" s="821"/>
      <c r="E40" s="662">
        <f>SUM(E38:E39)</f>
        <v>0</v>
      </c>
      <c r="F40" s="644"/>
    </row>
    <row r="41" spans="2:11" ht="16.5" thickTop="1" x14ac:dyDescent="0.25">
      <c r="B41" s="589"/>
      <c r="C41" s="820"/>
      <c r="D41" s="821"/>
      <c r="E41" s="663"/>
      <c r="F41" s="644"/>
      <c r="G41" s="822" t="s">
        <v>825</v>
      </c>
      <c r="H41" s="823"/>
      <c r="I41" s="823"/>
      <c r="J41" s="824"/>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821</v>
      </c>
      <c r="D44" s="597" t="s">
        <v>822</v>
      </c>
      <c r="E44" s="598" t="s">
        <v>823</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11.120000000000001</v>
      </c>
      <c r="H45" s="641" t="str">
        <f>CONCATENATE("Total ",E1," Mill Rate")</f>
        <v>Total 2013 Mill Rate</v>
      </c>
      <c r="I45" s="665"/>
      <c r="J45" s="666"/>
    </row>
    <row r="46" spans="2:11" x14ac:dyDescent="0.25">
      <c r="B46" s="603" t="s">
        <v>144</v>
      </c>
      <c r="C46" s="608">
        <v>0</v>
      </c>
      <c r="D46" s="605">
        <f>C74</f>
        <v>0</v>
      </c>
      <c r="E46" s="606">
        <f>D74</f>
        <v>0</v>
      </c>
      <c r="F46" s="644"/>
      <c r="G46" s="668">
        <f>summ!F32</f>
        <v>11.457999999999998</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827</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15" t="str">
        <f>CONCATENATE("Desired Carryover Into ",E1+1,"")</f>
        <v>Desired Carryover Into 2014</v>
      </c>
      <c r="H64" s="816"/>
      <c r="I64" s="816"/>
      <c r="J64" s="817"/>
    </row>
    <row r="65" spans="2:11" x14ac:dyDescent="0.25">
      <c r="B65" s="613"/>
      <c r="C65" s="608"/>
      <c r="D65" s="610"/>
      <c r="E65" s="611"/>
      <c r="G65" s="622"/>
      <c r="H65" s="623"/>
      <c r="I65" s="624"/>
      <c r="J65" s="625"/>
    </row>
    <row r="66" spans="2:11" x14ac:dyDescent="0.25">
      <c r="B66" s="613"/>
      <c r="C66" s="608"/>
      <c r="D66" s="610"/>
      <c r="E66" s="611"/>
      <c r="G66" s="626" t="s">
        <v>714</v>
      </c>
      <c r="H66" s="624"/>
      <c r="I66" s="624"/>
      <c r="J66" s="627">
        <v>0</v>
      </c>
    </row>
    <row r="67" spans="2:11" x14ac:dyDescent="0.25">
      <c r="B67" s="613"/>
      <c r="C67" s="608"/>
      <c r="D67" s="610"/>
      <c r="E67" s="611"/>
      <c r="G67" s="622" t="s">
        <v>715</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824</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15" t="str">
        <f>CONCATENATE("Projected Carryover Into ",E1+1,"")</f>
        <v>Projected Carryover Into 2014</v>
      </c>
      <c r="H71" s="818"/>
      <c r="I71" s="818"/>
      <c r="J71" s="819"/>
    </row>
    <row r="72" spans="2:11" x14ac:dyDescent="0.25">
      <c r="B72" s="612" t="s">
        <v>621</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t="str">
        <f>inputOth!B48</f>
        <v xml:space="preserve"> </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5" t="s">
        <v>622</v>
      </c>
      <c r="D76" s="806"/>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07" t="s">
        <v>623</v>
      </c>
      <c r="D77" s="808"/>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624</v>
      </c>
      <c r="D79" s="656">
        <f>inputOth!E40</f>
        <v>1.2999999999999999E-2</v>
      </c>
      <c r="E79" s="606">
        <f>ROUND(IF(E78&gt;0,(E78*D79),0),0)</f>
        <v>0</v>
      </c>
      <c r="F79" s="644"/>
      <c r="G79" s="657">
        <f>G76-G78</f>
        <v>0</v>
      </c>
      <c r="H79" s="658" t="str">
        <f>CONCATENATE("Projected ",E1+1," carryover (est.)")</f>
        <v>Projected 2014 carryover (est.)</v>
      </c>
      <c r="I79" s="683"/>
      <c r="J79" s="684"/>
    </row>
    <row r="80" spans="2:11" ht="16.5" thickBot="1" x14ac:dyDescent="0.3">
      <c r="B80" s="589"/>
      <c r="C80" s="820" t="str">
        <f>CONCATENATE("Amount of  ",E1-1," Ad Valorem Tax")</f>
        <v>Amount of  2012 Ad Valorem Tax</v>
      </c>
      <c r="D80" s="821"/>
      <c r="E80" s="662">
        <f>E78+E79</f>
        <v>0</v>
      </c>
      <c r="F80" s="685" t="e">
        <f>IF('Library Grant'!F33="","",IF('Library Grant'!F33="Qualify","Qualifies for State Library Grant","See 'Library Grant' tab"))</f>
        <v>#VALUE!</v>
      </c>
    </row>
    <row r="81" spans="2:10" ht="16.5" thickTop="1" x14ac:dyDescent="0.25">
      <c r="B81" s="592"/>
      <c r="C81" s="820"/>
      <c r="D81" s="821"/>
      <c r="E81" s="663"/>
      <c r="F81" s="644"/>
      <c r="G81" s="822" t="s">
        <v>825</v>
      </c>
      <c r="H81" s="823"/>
      <c r="I81" s="823"/>
      <c r="J81" s="824"/>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11.120000000000001</v>
      </c>
      <c r="H85" s="641" t="str">
        <f>CONCATENATE("Total ",E1," Mill Rate")</f>
        <v>Total 2013 Mill Rate</v>
      </c>
      <c r="I85" s="665"/>
      <c r="J85" s="666"/>
    </row>
    <row r="86" spans="2:10" x14ac:dyDescent="0.25">
      <c r="G86" s="668">
        <f>summ!F32</f>
        <v>11.457999999999998</v>
      </c>
      <c r="H86" s="671" t="str">
        <f>CONCATENATE("Total ",E1-1," Mill Rate")</f>
        <v>Total 2012 Mill Rate</v>
      </c>
      <c r="I86" s="672"/>
      <c r="J86" s="673"/>
    </row>
    <row r="87" spans="2:10" x14ac:dyDescent="0.25">
      <c r="G87" s="687"/>
      <c r="H87" s="687"/>
      <c r="I87" s="687"/>
      <c r="J87" s="687"/>
    </row>
    <row r="88" spans="2:10" x14ac:dyDescent="0.25">
      <c r="C88" s="688" t="s">
        <v>826</v>
      </c>
      <c r="D88" s="688" t="s">
        <v>826</v>
      </c>
    </row>
    <row r="89" spans="2:10" x14ac:dyDescent="0.25">
      <c r="C89" s="688" t="s">
        <v>826</v>
      </c>
      <c r="D89" s="688" t="s">
        <v>826</v>
      </c>
    </row>
    <row r="91" spans="2:10" x14ac:dyDescent="0.25">
      <c r="C91" s="688" t="s">
        <v>826</v>
      </c>
      <c r="D91" s="688" t="s">
        <v>826</v>
      </c>
    </row>
    <row r="92" spans="2:10" x14ac:dyDescent="0.25">
      <c r="C92" s="688" t="s">
        <v>826</v>
      </c>
      <c r="D92" s="688" t="s">
        <v>826</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81:D81"/>
    <mergeCell ref="G81:J81"/>
    <mergeCell ref="G24:J24"/>
    <mergeCell ref="G31:J31"/>
    <mergeCell ref="C36:D36"/>
    <mergeCell ref="C37:D37"/>
    <mergeCell ref="C40:D40"/>
    <mergeCell ref="C41:D41"/>
    <mergeCell ref="G41:J41"/>
    <mergeCell ref="G64:J64"/>
    <mergeCell ref="G71:J71"/>
    <mergeCell ref="C76:D76"/>
    <mergeCell ref="C77:D77"/>
    <mergeCell ref="C80:D8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16" zoomScaleNormal="100" workbookViewId="0">
      <selection activeCell="E30" sqref="E30"/>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Penn Township</v>
      </c>
      <c r="C1" s="14"/>
      <c r="D1" s="14"/>
      <c r="E1" s="15">
        <f>inputPrYr!D5</f>
        <v>2013</v>
      </c>
    </row>
    <row r="2" spans="2:5" x14ac:dyDescent="0.25">
      <c r="B2" s="17"/>
      <c r="C2" s="14"/>
      <c r="D2" s="61"/>
      <c r="E2" s="62"/>
    </row>
    <row r="3" spans="2:5" x14ac:dyDescent="0.25">
      <c r="B3" s="541" t="s">
        <v>720</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416</v>
      </c>
      <c r="D6" s="390">
        <f>C44</f>
        <v>41</v>
      </c>
      <c r="E6" s="32">
        <f>D44</f>
        <v>235</v>
      </c>
    </row>
    <row r="7" spans="2:5" x14ac:dyDescent="0.25">
      <c r="B7" s="27" t="s">
        <v>120</v>
      </c>
      <c r="C7" s="390"/>
      <c r="D7" s="390"/>
      <c r="E7" s="33"/>
    </row>
    <row r="8" spans="2:5" x14ac:dyDescent="0.25">
      <c r="B8" s="27" t="s">
        <v>16</v>
      </c>
      <c r="C8" s="29">
        <v>17218</v>
      </c>
      <c r="D8" s="390">
        <f>IF(inputPrYr!H15&gt;0,inputPrYr!G19,inputPrYr!E19)</f>
        <v>17849</v>
      </c>
      <c r="E8" s="33" t="s">
        <v>290</v>
      </c>
    </row>
    <row r="9" spans="2:5" x14ac:dyDescent="0.25">
      <c r="B9" s="27" t="s">
        <v>17</v>
      </c>
      <c r="C9" s="29">
        <v>96</v>
      </c>
      <c r="D9" s="29" t="s">
        <v>278</v>
      </c>
      <c r="E9" s="34"/>
    </row>
    <row r="10" spans="2:5" x14ac:dyDescent="0.25">
      <c r="B10" s="27" t="s">
        <v>18</v>
      </c>
      <c r="C10" s="29">
        <v>1605</v>
      </c>
      <c r="D10" s="29">
        <v>1565</v>
      </c>
      <c r="E10" s="32">
        <f>mvalloc!G14</f>
        <v>1682</v>
      </c>
    </row>
    <row r="11" spans="2:5" x14ac:dyDescent="0.25">
      <c r="B11" s="27" t="s">
        <v>19</v>
      </c>
      <c r="C11" s="29">
        <v>41</v>
      </c>
      <c r="D11" s="29">
        <v>30</v>
      </c>
      <c r="E11" s="32">
        <f>mvalloc!I14</f>
        <v>40</v>
      </c>
    </row>
    <row r="12" spans="2:5" x14ac:dyDescent="0.25">
      <c r="B12" s="27" t="s">
        <v>99</v>
      </c>
      <c r="C12" s="29">
        <v>446</v>
      </c>
      <c r="D12" s="29">
        <v>450</v>
      </c>
      <c r="E12" s="32">
        <f>mvalloc!J14</f>
        <v>431</v>
      </c>
    </row>
    <row r="13" spans="2:5" x14ac:dyDescent="0.25">
      <c r="B13" s="27" t="s">
        <v>100</v>
      </c>
      <c r="C13" s="29">
        <v>1324</v>
      </c>
      <c r="D13" s="29">
        <v>1500</v>
      </c>
      <c r="E13" s="32">
        <v>1800</v>
      </c>
    </row>
    <row r="14" spans="2:5" x14ac:dyDescent="0.25">
      <c r="B14" s="38" t="s">
        <v>941</v>
      </c>
      <c r="C14" s="29">
        <v>1</v>
      </c>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v>108</v>
      </c>
      <c r="D21" s="29">
        <v>700</v>
      </c>
      <c r="E21" s="34">
        <v>575</v>
      </c>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20839</v>
      </c>
      <c r="D23" s="392">
        <f>SUM(D8:D21)</f>
        <v>22094</v>
      </c>
      <c r="E23" s="42">
        <f>SUM(E8:E21)</f>
        <v>4528</v>
      </c>
    </row>
    <row r="24" spans="2:5" x14ac:dyDescent="0.25">
      <c r="B24" s="43" t="s">
        <v>24</v>
      </c>
      <c r="C24" s="392">
        <f>C23+C6</f>
        <v>21255</v>
      </c>
      <c r="D24" s="392">
        <f>D23+D6</f>
        <v>22135</v>
      </c>
      <c r="E24" s="42">
        <f>E23+E6</f>
        <v>4763</v>
      </c>
    </row>
    <row r="25" spans="2:5" x14ac:dyDescent="0.25">
      <c r="B25" s="27" t="s">
        <v>25</v>
      </c>
      <c r="C25" s="390"/>
      <c r="D25" s="390"/>
      <c r="E25" s="32"/>
    </row>
    <row r="26" spans="2:5" x14ac:dyDescent="0.25">
      <c r="B26" s="38" t="s">
        <v>125</v>
      </c>
      <c r="C26" s="29">
        <v>4560</v>
      </c>
      <c r="D26" s="29">
        <v>8000</v>
      </c>
      <c r="E26" s="34">
        <v>8000</v>
      </c>
    </row>
    <row r="27" spans="2:5" x14ac:dyDescent="0.25">
      <c r="B27" s="37" t="s">
        <v>102</v>
      </c>
      <c r="C27" s="29">
        <v>349</v>
      </c>
      <c r="D27" s="29">
        <v>1000</v>
      </c>
      <c r="E27" s="34">
        <v>1000</v>
      </c>
    </row>
    <row r="28" spans="2:5" x14ac:dyDescent="0.25">
      <c r="B28" s="38" t="s">
        <v>127</v>
      </c>
      <c r="C28" s="29">
        <v>9205</v>
      </c>
      <c r="D28" s="29">
        <v>5500</v>
      </c>
      <c r="E28" s="34">
        <v>5700</v>
      </c>
    </row>
    <row r="29" spans="2:5" x14ac:dyDescent="0.25">
      <c r="B29" s="38" t="s">
        <v>105</v>
      </c>
      <c r="C29" s="29">
        <v>6000</v>
      </c>
      <c r="D29" s="29">
        <v>7400</v>
      </c>
      <c r="E29" s="34">
        <v>7485</v>
      </c>
    </row>
    <row r="30" spans="2:5" x14ac:dyDescent="0.25">
      <c r="B30" s="38" t="s">
        <v>103</v>
      </c>
      <c r="C30" s="29"/>
      <c r="D30" s="29"/>
      <c r="E30" s="34"/>
    </row>
    <row r="31" spans="2:5" x14ac:dyDescent="0.25">
      <c r="B31" s="38"/>
      <c r="C31" s="29"/>
      <c r="D31" s="29"/>
      <c r="E31" s="34"/>
    </row>
    <row r="32" spans="2:5" x14ac:dyDescent="0.25">
      <c r="B32" s="38"/>
      <c r="C32" s="29"/>
      <c r="D32" s="29"/>
      <c r="E32" s="34"/>
    </row>
    <row r="33" spans="2:11" x14ac:dyDescent="0.25">
      <c r="B33" s="38"/>
      <c r="C33" s="29"/>
      <c r="D33" s="29"/>
      <c r="E33" s="34"/>
    </row>
    <row r="34" spans="2:11" x14ac:dyDescent="0.25">
      <c r="B34" s="37"/>
      <c r="C34" s="29"/>
      <c r="D34" s="29"/>
      <c r="E34" s="34"/>
      <c r="G34" s="809" t="str">
        <f>CONCATENATE("Desired Carryover Into ",E1+1,"")</f>
        <v>Desired Carryover Into 2014</v>
      </c>
      <c r="H34" s="810"/>
      <c r="I34" s="810"/>
      <c r="J34" s="811"/>
    </row>
    <row r="35" spans="2:11" x14ac:dyDescent="0.25">
      <c r="B35" s="37"/>
      <c r="C35" s="29"/>
      <c r="D35" s="29"/>
      <c r="E35" s="34"/>
      <c r="G35" s="501"/>
      <c r="H35" s="488"/>
      <c r="I35" s="493"/>
      <c r="J35" s="502"/>
    </row>
    <row r="36" spans="2:11" x14ac:dyDescent="0.25">
      <c r="B36" s="38"/>
      <c r="C36" s="29"/>
      <c r="D36" s="29"/>
      <c r="E36" s="34"/>
      <c r="G36" s="503" t="s">
        <v>714</v>
      </c>
      <c r="H36" s="493"/>
      <c r="I36" s="493"/>
      <c r="J36" s="504">
        <v>0</v>
      </c>
    </row>
    <row r="37" spans="2:11" x14ac:dyDescent="0.25">
      <c r="B37" s="38"/>
      <c r="C37" s="29"/>
      <c r="D37" s="29"/>
      <c r="E37" s="34"/>
      <c r="G37" s="501" t="s">
        <v>715</v>
      </c>
      <c r="H37" s="488"/>
      <c r="I37" s="488"/>
      <c r="J37" s="705" t="str">
        <f>IF(J36=0,"",ROUND((J36+E50-G49)/inputOth!E7*1000,3)-G54)</f>
        <v/>
      </c>
    </row>
    <row r="38" spans="2:11" x14ac:dyDescent="0.25">
      <c r="B38" s="27" t="s">
        <v>104</v>
      </c>
      <c r="C38" s="29">
        <v>1100</v>
      </c>
      <c r="D38" s="29"/>
      <c r="E38" s="34">
        <v>1100</v>
      </c>
      <c r="G38" s="706" t="str">
        <f>CONCATENATE("",E1," Tot Exp/Non-Appr Must Be:")</f>
        <v>2013 Tot Exp/Non-Appr Must Be:</v>
      </c>
      <c r="H38" s="587"/>
      <c r="I38" s="699"/>
      <c r="J38" s="707">
        <f>IF(J36&gt;0,IF(E47&lt;E16,IF(J36=G49,E47,((J36-G49)*(1-D49))+E16),E47+(J36-G49)),0)</f>
        <v>0</v>
      </c>
    </row>
    <row r="39" spans="2:11" x14ac:dyDescent="0.25">
      <c r="B39" s="27" t="s">
        <v>625</v>
      </c>
      <c r="C39" s="393" t="str">
        <f>IF(C24*0.25&lt;C38,"Not Authorized","")</f>
        <v/>
      </c>
      <c r="D39" s="393" t="str">
        <f>IF(D24*0.25&lt;D38,"Not Authorized","")</f>
        <v/>
      </c>
      <c r="E39" s="67" t="str">
        <f>IF(E24*0.25+E50&lt;E38,"Not Authorized","")</f>
        <v/>
      </c>
      <c r="G39" s="708" t="s">
        <v>824</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09" t="str">
        <f>CONCATENATE("Projected Carryover Into ",E1+1,"")</f>
        <v>Projected Carryover Into 2014</v>
      </c>
      <c r="H41" s="810"/>
      <c r="I41" s="810"/>
      <c r="J41" s="811"/>
    </row>
    <row r="42" spans="2:11" x14ac:dyDescent="0.25">
      <c r="B42" s="35" t="s">
        <v>621</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21214</v>
      </c>
      <c r="D43" s="392">
        <f>SUM(D26:D38,D40:D41)</f>
        <v>21900</v>
      </c>
      <c r="E43" s="42">
        <f>SUM(E26:E38,E40:E41)</f>
        <v>23285</v>
      </c>
      <c r="G43" s="490">
        <f>D44</f>
        <v>235</v>
      </c>
      <c r="H43" s="491" t="str">
        <f>CONCATENATE("",E1-1," Ending Cash Balance (est.)")</f>
        <v>2012 Ending Cash Balance (est.)</v>
      </c>
      <c r="I43" s="492"/>
      <c r="J43" s="489"/>
    </row>
    <row r="44" spans="2:11" x14ac:dyDescent="0.25">
      <c r="B44" s="27" t="s">
        <v>119</v>
      </c>
      <c r="C44" s="385">
        <f>C24-C43</f>
        <v>41</v>
      </c>
      <c r="D44" s="385">
        <f>D24-D43</f>
        <v>235</v>
      </c>
      <c r="E44" s="33" t="s">
        <v>290</v>
      </c>
      <c r="G44" s="490">
        <f>E23</f>
        <v>4528</v>
      </c>
      <c r="H44" s="493" t="str">
        <f>CONCATENATE("",E1," Non-AV Receipts (est.)")</f>
        <v>2013 Non-AV Receipts (est.)</v>
      </c>
      <c r="I44" s="492"/>
      <c r="J44" s="489"/>
    </row>
    <row r="45" spans="2:11" x14ac:dyDescent="0.2">
      <c r="B45" s="48" t="str">
        <f>CONCATENATE("",E1-2,"/",E1-1," Budget Authority Amount:")</f>
        <v>2011/2012 Budget Authority Amount:</v>
      </c>
      <c r="C45" s="132">
        <f>inputOth!B49</f>
        <v>21594</v>
      </c>
      <c r="D45" s="161">
        <f>inputPrYr!D19</f>
        <v>21900</v>
      </c>
      <c r="E45" s="33" t="s">
        <v>290</v>
      </c>
      <c r="F45" s="50"/>
      <c r="G45" s="494">
        <f>IF(D49&gt;0,E48,E50)</f>
        <v>18522</v>
      </c>
      <c r="H45" s="493" t="str">
        <f>CONCATENATE("",E1," Ad Valorem Tax (est.)")</f>
        <v>2013 Ad Valorem Tax (est.)</v>
      </c>
      <c r="I45" s="492"/>
      <c r="J45" s="489"/>
      <c r="K45" s="711" t="str">
        <f>IF(G45=E50,"","Note: Does not include Delinquent Taxes")</f>
        <v>Note: Does not include Delinquent Taxes</v>
      </c>
    </row>
    <row r="46" spans="2:11" x14ac:dyDescent="0.25">
      <c r="B46" s="48"/>
      <c r="C46" s="805" t="s">
        <v>622</v>
      </c>
      <c r="D46" s="806"/>
      <c r="E46" s="34"/>
      <c r="F46" s="486" t="str">
        <f>IF(E43/0.95-E43&lt;E46,"Exceeds 5%","")</f>
        <v/>
      </c>
      <c r="G46" s="490">
        <f>SUM(G43:G45)</f>
        <v>23285</v>
      </c>
      <c r="H46" s="493" t="str">
        <f>CONCATENATE("Total ",E1," Resources Available")</f>
        <v>Total 2013 Resources Available</v>
      </c>
      <c r="I46" s="492"/>
      <c r="J46" s="489"/>
    </row>
    <row r="47" spans="2:11" x14ac:dyDescent="0.25">
      <c r="B47" s="399" t="str">
        <f>CONCATENATE(C74,"     ",D74)</f>
        <v xml:space="preserve">     </v>
      </c>
      <c r="C47" s="807" t="s">
        <v>623</v>
      </c>
      <c r="D47" s="808"/>
      <c r="E47" s="32">
        <f>E43+E46</f>
        <v>23285</v>
      </c>
      <c r="G47" s="495"/>
      <c r="H47" s="493"/>
      <c r="I47" s="493"/>
      <c r="J47" s="489"/>
    </row>
    <row r="48" spans="2:11" x14ac:dyDescent="0.25">
      <c r="B48" s="399" t="str">
        <f>CONCATENATE(C75,"     ",D75)</f>
        <v xml:space="preserve">     </v>
      </c>
      <c r="C48" s="60"/>
      <c r="D48" s="52" t="s">
        <v>28</v>
      </c>
      <c r="E48" s="46">
        <f>IF(E47-E24&gt;0,E47-E24,0)</f>
        <v>18522</v>
      </c>
      <c r="G48" s="494">
        <f>ROUND(C43*0.05+C43,0)</f>
        <v>22275</v>
      </c>
      <c r="H48" s="493" t="str">
        <f>CONCATENATE("Less ",E1-2," Expenditures + 5%")</f>
        <v>Less 2011 Expenditures + 5%</v>
      </c>
      <c r="I48" s="492"/>
      <c r="J48" s="489"/>
    </row>
    <row r="49" spans="2:10" x14ac:dyDescent="0.25">
      <c r="B49" s="52"/>
      <c r="C49" s="403" t="s">
        <v>624</v>
      </c>
      <c r="D49" s="698">
        <f>inputOth!$E$40</f>
        <v>1.2999999999999999E-2</v>
      </c>
      <c r="E49" s="32">
        <f>ROUND(IF(D49&gt;0,(E48*D49),0),0)</f>
        <v>241</v>
      </c>
      <c r="G49" s="496">
        <f>G46-G48</f>
        <v>1010</v>
      </c>
      <c r="H49" s="497" t="str">
        <f>CONCATENATE("Projected ",E1+1," Carryover (est.)")</f>
        <v>Projected 2014 Carryover (est.)</v>
      </c>
      <c r="I49" s="498"/>
      <c r="J49" s="499"/>
    </row>
    <row r="50" spans="2:10" x14ac:dyDescent="0.25">
      <c r="B50" s="14"/>
      <c r="C50" s="803" t="str">
        <f>CONCATENATE("Amount of  ",$E$1-1," Ad Valorem Tax")</f>
        <v>Amount of  2012 Ad Valorem Tax</v>
      </c>
      <c r="D50" s="804"/>
      <c r="E50" s="46">
        <f>E48+E49</f>
        <v>18763</v>
      </c>
    </row>
    <row r="51" spans="2:10" x14ac:dyDescent="0.2">
      <c r="B51" s="14"/>
      <c r="C51" s="14"/>
      <c r="D51" s="14"/>
      <c r="E51" s="14"/>
      <c r="G51" s="812" t="s">
        <v>825</v>
      </c>
      <c r="H51" s="813"/>
      <c r="I51" s="813"/>
      <c r="J51" s="814"/>
    </row>
    <row r="52" spans="2:10" x14ac:dyDescent="0.25">
      <c r="B52" s="14"/>
      <c r="C52" s="14"/>
      <c r="D52" s="14"/>
      <c r="E52" s="14"/>
      <c r="G52" s="712"/>
      <c r="H52" s="491"/>
      <c r="I52" s="700"/>
      <c r="J52" s="713"/>
    </row>
    <row r="53" spans="2:10" x14ac:dyDescent="0.25">
      <c r="B53" s="68" t="s">
        <v>30</v>
      </c>
      <c r="C53" s="70"/>
      <c r="D53" s="14"/>
      <c r="E53" s="14"/>
      <c r="G53" s="714">
        <f>summ!I21</f>
        <v>10.492000000000001</v>
      </c>
      <c r="H53" s="491" t="str">
        <f>CONCATENATE("",E1," Fund Mill Rate")</f>
        <v>2013 Fund Mill Rate</v>
      </c>
      <c r="I53" s="700"/>
      <c r="J53" s="713"/>
    </row>
    <row r="54" spans="2:10" x14ac:dyDescent="0.25">
      <c r="B54" s="71" t="s">
        <v>31</v>
      </c>
      <c r="C54" s="404" t="str">
        <f>CONCATENATE("",E1-2," Actual Year")</f>
        <v>2011 Actual Year</v>
      </c>
      <c r="D54" s="14"/>
      <c r="E54" s="14"/>
      <c r="G54" s="715">
        <f>summ!F21</f>
        <v>10.500999999999999</v>
      </c>
      <c r="H54" s="491" t="str">
        <f>CONCATENATE("",E1-1," Fund Mill Rate")</f>
        <v>2012 Fund Mill Rate</v>
      </c>
      <c r="I54" s="700"/>
      <c r="J54" s="713"/>
    </row>
    <row r="55" spans="2:10" x14ac:dyDescent="0.25">
      <c r="B55" s="72" t="s">
        <v>14</v>
      </c>
      <c r="C55" s="538">
        <v>47080</v>
      </c>
      <c r="D55" s="14"/>
      <c r="E55" s="14"/>
      <c r="G55" s="716">
        <f>summ!I32</f>
        <v>11.120000000000001</v>
      </c>
      <c r="H55" s="491" t="str">
        <f>CONCATENATE("Total ",E1," Mill Rate")</f>
        <v>Total 2013 Mill Rate</v>
      </c>
      <c r="I55" s="700"/>
      <c r="J55" s="713"/>
    </row>
    <row r="56" spans="2:10" x14ac:dyDescent="0.25">
      <c r="B56" s="72" t="s">
        <v>33</v>
      </c>
      <c r="C56" s="132"/>
      <c r="D56" s="14"/>
      <c r="E56" s="14"/>
      <c r="G56" s="715">
        <f>summ!F32</f>
        <v>11.457999999999998</v>
      </c>
      <c r="H56" s="717" t="str">
        <f>CONCATENATE("Total ",E1-1," Mill Rate")</f>
        <v>Total 2012 Mill Rate</v>
      </c>
      <c r="I56" s="718"/>
      <c r="J56" s="719"/>
    </row>
    <row r="57" spans="2:10" x14ac:dyDescent="0.25">
      <c r="B57" s="72" t="s">
        <v>34</v>
      </c>
      <c r="C57" s="402">
        <f>C38</f>
        <v>1100</v>
      </c>
      <c r="D57" s="74"/>
      <c r="E57" s="14"/>
    </row>
    <row r="58" spans="2:10" x14ac:dyDescent="0.25">
      <c r="B58" s="72" t="s">
        <v>247</v>
      </c>
      <c r="C58" s="402">
        <f>gen!C43</f>
        <v>3500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c r="D61" s="14"/>
      <c r="E61" s="14"/>
    </row>
    <row r="62" spans="2:10" x14ac:dyDescent="0.25">
      <c r="B62" s="76" t="s">
        <v>21</v>
      </c>
      <c r="C62" s="538"/>
      <c r="D62" s="14"/>
      <c r="E62" s="14"/>
    </row>
    <row r="63" spans="2:10" x14ac:dyDescent="0.25">
      <c r="B63" s="77" t="s">
        <v>24</v>
      </c>
      <c r="C63" s="132">
        <f>SUM(C55:C62)</f>
        <v>51680</v>
      </c>
      <c r="D63" s="14"/>
      <c r="E63" s="14"/>
    </row>
    <row r="64" spans="2:10" x14ac:dyDescent="0.25">
      <c r="B64" s="77" t="s">
        <v>26</v>
      </c>
      <c r="C64" s="538">
        <v>15785</v>
      </c>
      <c r="D64" s="14"/>
      <c r="E64" s="14"/>
    </row>
    <row r="65" spans="2:5" x14ac:dyDescent="0.25">
      <c r="B65" s="77" t="s">
        <v>27</v>
      </c>
      <c r="C65" s="401">
        <f>SUM(C63-C64)</f>
        <v>35895</v>
      </c>
      <c r="D65" s="14"/>
      <c r="E65" s="14"/>
    </row>
    <row r="66" spans="2:5" x14ac:dyDescent="0.25">
      <c r="B66" s="14"/>
      <c r="C66" s="14"/>
      <c r="D66" s="14"/>
      <c r="E66" s="14"/>
    </row>
    <row r="67" spans="2:5" x14ac:dyDescent="0.25">
      <c r="B67" s="52" t="s">
        <v>9</v>
      </c>
      <c r="C67" s="539">
        <v>7</v>
      </c>
      <c r="D67" s="14"/>
      <c r="E67" s="14"/>
    </row>
    <row r="69" spans="2:5" x14ac:dyDescent="0.25">
      <c r="B69" s="12"/>
    </row>
    <row r="74" spans="2:5" hidden="1" x14ac:dyDescent="0.25">
      <c r="C74" s="16" t="str">
        <f>IF(C43&gt;C45,"See Tab A","")</f>
        <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B40" sqref="B40"/>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Penn Township</v>
      </c>
      <c r="C1" s="22" t="s">
        <v>35</v>
      </c>
      <c r="D1" s="14"/>
      <c r="E1" s="15">
        <f>inputPrYr!D5</f>
        <v>2013</v>
      </c>
    </row>
    <row r="2" spans="2:5" x14ac:dyDescent="0.25">
      <c r="B2" s="17"/>
      <c r="C2" s="14"/>
      <c r="D2" s="14"/>
      <c r="E2" s="78"/>
    </row>
    <row r="3" spans="2:5" x14ac:dyDescent="0.25">
      <c r="B3" s="541" t="s">
        <v>720</v>
      </c>
      <c r="C3" s="66"/>
      <c r="D3" s="66"/>
      <c r="E3" s="14"/>
    </row>
    <row r="4" spans="2:5" x14ac:dyDescent="0.25">
      <c r="B4" s="22" t="s">
        <v>10</v>
      </c>
      <c r="C4" s="388" t="s">
        <v>11</v>
      </c>
      <c r="D4" s="391" t="s">
        <v>12</v>
      </c>
      <c r="E4" s="23" t="s">
        <v>13</v>
      </c>
    </row>
    <row r="5" spans="2:5" x14ac:dyDescent="0.25">
      <c r="B5" s="400" t="s">
        <v>942</v>
      </c>
      <c r="C5" s="389" t="str">
        <f>gen!C5</f>
        <v>Actual for 2011</v>
      </c>
      <c r="D5" s="389" t="str">
        <f>gen!D5</f>
        <v>Estimate for 2012</v>
      </c>
      <c r="E5" s="26" t="str">
        <f>gen!E5</f>
        <v>Year for 2013</v>
      </c>
    </row>
    <row r="6" spans="2:5" x14ac:dyDescent="0.25">
      <c r="B6" s="27" t="s">
        <v>118</v>
      </c>
      <c r="C6" s="29">
        <v>997</v>
      </c>
      <c r="D6" s="390">
        <f>C34</f>
        <v>1261</v>
      </c>
      <c r="E6" s="32">
        <f>D34</f>
        <v>909</v>
      </c>
    </row>
    <row r="7" spans="2:5" x14ac:dyDescent="0.25">
      <c r="B7" s="27" t="s">
        <v>120</v>
      </c>
      <c r="C7" s="390"/>
      <c r="D7" s="390"/>
      <c r="E7" s="33"/>
    </row>
    <row r="8" spans="2:5" x14ac:dyDescent="0.25">
      <c r="B8" s="27" t="s">
        <v>16</v>
      </c>
      <c r="C8" s="29">
        <v>753</v>
      </c>
      <c r="D8" s="390">
        <v>1058</v>
      </c>
      <c r="E8" s="33" t="s">
        <v>290</v>
      </c>
    </row>
    <row r="9" spans="2:5" x14ac:dyDescent="0.25">
      <c r="B9" s="27" t="s">
        <v>17</v>
      </c>
      <c r="C9" s="29">
        <v>4</v>
      </c>
      <c r="D9" s="29" t="s">
        <v>278</v>
      </c>
      <c r="E9" s="34"/>
    </row>
    <row r="10" spans="2:5" x14ac:dyDescent="0.25">
      <c r="B10" s="27" t="s">
        <v>18</v>
      </c>
      <c r="C10" s="29">
        <v>72</v>
      </c>
      <c r="D10" s="29">
        <v>69</v>
      </c>
      <c r="E10" s="32">
        <f>mvalloc!G15</f>
        <v>101</v>
      </c>
    </row>
    <row r="11" spans="2:5" x14ac:dyDescent="0.25">
      <c r="B11" s="27" t="s">
        <v>19</v>
      </c>
      <c r="C11" s="29">
        <v>2</v>
      </c>
      <c r="D11" s="29">
        <v>1</v>
      </c>
      <c r="E11" s="32">
        <f>mvalloc!I15</f>
        <v>2</v>
      </c>
    </row>
    <row r="12" spans="2:5" x14ac:dyDescent="0.25">
      <c r="B12" s="35" t="s">
        <v>69</v>
      </c>
      <c r="C12" s="29">
        <v>19</v>
      </c>
      <c r="D12" s="29">
        <v>20</v>
      </c>
      <c r="E12" s="32">
        <f>mvalloc!J15</f>
        <v>19</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850</v>
      </c>
      <c r="D20" s="392">
        <f>SUM(D8:D18)</f>
        <v>1148</v>
      </c>
      <c r="E20" s="42">
        <f>SUM(E8:E18)</f>
        <v>122</v>
      </c>
    </row>
    <row r="21" spans="2:11" x14ac:dyDescent="0.25">
      <c r="B21" s="43" t="s">
        <v>24</v>
      </c>
      <c r="C21" s="392">
        <f>C20+C6</f>
        <v>1847</v>
      </c>
      <c r="D21" s="392">
        <f>D20+D6</f>
        <v>2409</v>
      </c>
      <c r="E21" s="42">
        <f>E20+E6</f>
        <v>1031</v>
      </c>
    </row>
    <row r="22" spans="2:11" x14ac:dyDescent="0.25">
      <c r="B22" s="27" t="s">
        <v>25</v>
      </c>
      <c r="C22" s="390"/>
      <c r="D22" s="390"/>
      <c r="E22" s="32"/>
    </row>
    <row r="23" spans="2:11" x14ac:dyDescent="0.25">
      <c r="B23" s="38" t="s">
        <v>944</v>
      </c>
      <c r="C23" s="29">
        <v>586</v>
      </c>
      <c r="D23" s="29">
        <v>1500</v>
      </c>
      <c r="E23" s="34">
        <v>1500</v>
      </c>
    </row>
    <row r="24" spans="2:11" x14ac:dyDescent="0.25">
      <c r="B24" s="38"/>
      <c r="C24" s="29"/>
      <c r="D24" s="29"/>
      <c r="E24" s="34"/>
      <c r="G24" s="815" t="str">
        <f>CONCATENATE("Desired Carryover Into ",E1+1,"")</f>
        <v>Desired Carryover Into 2014</v>
      </c>
      <c r="H24" s="816"/>
      <c r="I24" s="816"/>
      <c r="J24" s="817"/>
      <c r="K24" s="591"/>
    </row>
    <row r="25" spans="2:11" x14ac:dyDescent="0.25">
      <c r="B25" s="38"/>
      <c r="C25" s="29"/>
      <c r="D25" s="29"/>
      <c r="E25" s="34"/>
      <c r="G25" s="622"/>
      <c r="H25" s="623"/>
      <c r="I25" s="624"/>
      <c r="J25" s="625"/>
      <c r="K25" s="591"/>
    </row>
    <row r="26" spans="2:11" x14ac:dyDescent="0.25">
      <c r="B26" s="38"/>
      <c r="C26" s="29"/>
      <c r="D26" s="29"/>
      <c r="E26" s="34"/>
      <c r="G26" s="626" t="s">
        <v>714</v>
      </c>
      <c r="H26" s="624"/>
      <c r="I26" s="624"/>
      <c r="J26" s="627">
        <v>0</v>
      </c>
      <c r="K26" s="591"/>
    </row>
    <row r="27" spans="2:11" x14ac:dyDescent="0.25">
      <c r="B27" s="38"/>
      <c r="C27" s="29"/>
      <c r="D27" s="29"/>
      <c r="E27" s="34"/>
      <c r="G27" s="622" t="s">
        <v>715</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824</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15" t="str">
        <f>CONCATENATE("Projected Carryover Into ",E1+1,"")</f>
        <v>Projected Carryover Into 2014</v>
      </c>
      <c r="H31" s="825"/>
      <c r="I31" s="825"/>
      <c r="J31" s="819"/>
      <c r="K31" s="591"/>
    </row>
    <row r="32" spans="2:11" x14ac:dyDescent="0.25">
      <c r="B32" s="35" t="s">
        <v>621</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586</v>
      </c>
      <c r="D33" s="392">
        <f>SUM(D23:D31)</f>
        <v>1500</v>
      </c>
      <c r="E33" s="42">
        <f>SUM(E23:E31)</f>
        <v>1500</v>
      </c>
      <c r="G33" s="640">
        <f>D34</f>
        <v>909</v>
      </c>
      <c r="H33" s="641" t="str">
        <f>CONCATENATE("",E1-1," Ending Cash Balance (est.)")</f>
        <v>2012 Ending Cash Balance (est.)</v>
      </c>
      <c r="I33" s="642"/>
      <c r="J33" s="637"/>
      <c r="K33" s="591"/>
    </row>
    <row r="34" spans="2:11" x14ac:dyDescent="0.25">
      <c r="B34" s="27" t="s">
        <v>119</v>
      </c>
      <c r="C34" s="385">
        <f>C21-C33</f>
        <v>1261</v>
      </c>
      <c r="D34" s="385">
        <f>D21-D33</f>
        <v>909</v>
      </c>
      <c r="E34" s="33" t="s">
        <v>290</v>
      </c>
      <c r="G34" s="640">
        <f>E20</f>
        <v>122</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1500</v>
      </c>
      <c r="D35" s="161">
        <f>inputPrYr!D20</f>
        <v>1500</v>
      </c>
      <c r="E35" s="33" t="s">
        <v>290</v>
      </c>
      <c r="F35" s="50"/>
      <c r="G35" s="649">
        <f>IF(E39&gt;0,E38,E40)</f>
        <v>469</v>
      </c>
      <c r="H35" s="624" t="str">
        <f>CONCATENATE("",E1," Ad Valorem Tax (est.)")</f>
        <v>2013 Ad Valorem Tax (est.)</v>
      </c>
      <c r="I35" s="642"/>
      <c r="J35" s="637"/>
      <c r="K35" s="650" t="str">
        <f>IF(G35=E40,"","Note: Does not include Delinquent Taxes")</f>
        <v>Note: Does not include Delinquent Taxes</v>
      </c>
    </row>
    <row r="36" spans="2:11" x14ac:dyDescent="0.25">
      <c r="B36" s="48"/>
      <c r="C36" s="805" t="s">
        <v>622</v>
      </c>
      <c r="D36" s="806"/>
      <c r="E36" s="34"/>
      <c r="F36" s="486" t="str">
        <f>IF(E33/0.95-E33&lt;E36,"Exceeds 5%","")</f>
        <v/>
      </c>
      <c r="G36" s="640">
        <f>SUM(G33:G35)</f>
        <v>1500</v>
      </c>
      <c r="H36" s="624" t="str">
        <f>CONCATENATE("Total ",E1," Resources Available")</f>
        <v>Total 2013 Resources Available</v>
      </c>
      <c r="I36" s="642"/>
      <c r="J36" s="637"/>
      <c r="K36" s="591"/>
    </row>
    <row r="37" spans="2:11" x14ac:dyDescent="0.25">
      <c r="B37" s="399" t="str">
        <f>CONCATENATE(C92,"     ",D92)</f>
        <v xml:space="preserve">     </v>
      </c>
      <c r="C37" s="807" t="s">
        <v>623</v>
      </c>
      <c r="D37" s="808"/>
      <c r="E37" s="32">
        <f>E33+E36</f>
        <v>1500</v>
      </c>
      <c r="G37" s="653"/>
      <c r="H37" s="624"/>
      <c r="I37" s="624"/>
      <c r="J37" s="637"/>
      <c r="K37" s="591"/>
    </row>
    <row r="38" spans="2:11" x14ac:dyDescent="0.25">
      <c r="B38" s="399" t="str">
        <f>CONCATENATE(C93,"     ",D93)</f>
        <v xml:space="preserve">     </v>
      </c>
      <c r="C38" s="60"/>
      <c r="D38" s="52" t="s">
        <v>28</v>
      </c>
      <c r="E38" s="46">
        <f>IF(E37-E21&gt;0,E37-E21,0)</f>
        <v>469</v>
      </c>
      <c r="G38" s="649">
        <f>C33*0.05+C33</f>
        <v>615.29999999999995</v>
      </c>
      <c r="H38" s="624" t="str">
        <f>CONCATENATE("Less ",E1-2," Expenditures + 5%")</f>
        <v>Less 2011 Expenditures + 5%</v>
      </c>
      <c r="I38" s="624"/>
      <c r="J38" s="637"/>
      <c r="K38" s="591"/>
    </row>
    <row r="39" spans="2:11" x14ac:dyDescent="0.25">
      <c r="B39" s="52"/>
      <c r="C39" s="403" t="s">
        <v>624</v>
      </c>
      <c r="D39" s="698">
        <f>inputOth!$E$40</f>
        <v>1.2999999999999999E-2</v>
      </c>
      <c r="E39" s="32">
        <f>ROUND(IF(D39&gt;0,(E38*D39),0),0)</f>
        <v>6</v>
      </c>
      <c r="G39" s="657">
        <f>G36-G38</f>
        <v>884.7</v>
      </c>
      <c r="H39" s="658" t="str">
        <f>CONCATENATE("Projected ",E1+1," carryover (est.)")</f>
        <v>Projected 2014 carryover (est.)</v>
      </c>
      <c r="I39" s="659"/>
      <c r="J39" s="660"/>
      <c r="K39" s="591"/>
    </row>
    <row r="40" spans="2:11" x14ac:dyDescent="0.25">
      <c r="B40" s="14"/>
      <c r="C40" s="803" t="str">
        <f>CONCATENATE("Amount of  ",$E$1-1," Ad Valorem Tax")</f>
        <v>Amount of  2012 Ad Valorem Tax</v>
      </c>
      <c r="D40" s="804"/>
      <c r="E40" s="46">
        <f>E38+E39</f>
        <v>475</v>
      </c>
      <c r="G40" s="591"/>
      <c r="H40" s="591"/>
      <c r="I40" s="591"/>
      <c r="J40" s="591"/>
      <c r="K40" s="591"/>
    </row>
    <row r="41" spans="2:11" x14ac:dyDescent="0.25">
      <c r="B41" s="14"/>
      <c r="C41" s="548"/>
      <c r="D41" s="14"/>
      <c r="E41" s="14"/>
      <c r="G41" s="822" t="s">
        <v>825</v>
      </c>
      <c r="H41" s="823"/>
      <c r="I41" s="823"/>
      <c r="J41" s="824"/>
      <c r="K41" s="591"/>
    </row>
    <row r="42" spans="2:11" x14ac:dyDescent="0.25">
      <c r="B42" s="14"/>
      <c r="C42" s="548"/>
      <c r="D42" s="14"/>
      <c r="E42" s="14"/>
      <c r="G42" s="664"/>
      <c r="H42" s="641"/>
      <c r="I42" s="665"/>
      <c r="J42" s="666"/>
      <c r="K42" s="591"/>
    </row>
    <row r="43" spans="2:11" x14ac:dyDescent="0.25">
      <c r="B43" s="22" t="s">
        <v>10</v>
      </c>
      <c r="C43" s="66"/>
      <c r="D43" s="66"/>
      <c r="E43" s="66"/>
      <c r="G43" s="667">
        <f>summ!I22</f>
        <v>0.26600000000000001</v>
      </c>
      <c r="H43" s="641" t="str">
        <f>CONCATENATE("",E1," Fund Mill Rate")</f>
        <v>2013 Fund Mill Rate</v>
      </c>
      <c r="I43" s="665"/>
      <c r="J43" s="666"/>
      <c r="K43" s="591"/>
    </row>
    <row r="44" spans="2:11" x14ac:dyDescent="0.25">
      <c r="B44" s="14"/>
      <c r="C44" s="388" t="s">
        <v>11</v>
      </c>
      <c r="D44" s="391" t="s">
        <v>12</v>
      </c>
      <c r="E44" s="23" t="s">
        <v>13</v>
      </c>
      <c r="G44" s="668">
        <f>summ!F22</f>
        <v>0.629</v>
      </c>
      <c r="H44" s="641" t="str">
        <f>CONCATENATE("",E1-1," Fund Mill Rate")</f>
        <v>2012 Fund Mill Rate</v>
      </c>
      <c r="I44" s="665"/>
      <c r="J44" s="666"/>
      <c r="K44" s="591"/>
    </row>
    <row r="45" spans="2:11" x14ac:dyDescent="0.25">
      <c r="B45" s="481" t="s">
        <v>943</v>
      </c>
      <c r="C45" s="389" t="str">
        <f>C5</f>
        <v>Actual for 2011</v>
      </c>
      <c r="D45" s="389" t="str">
        <f>D5</f>
        <v>Estimate for 2012</v>
      </c>
      <c r="E45" s="26" t="str">
        <f>E5</f>
        <v>Year for 2013</v>
      </c>
      <c r="G45" s="670">
        <f>summ!I32</f>
        <v>11.120000000000001</v>
      </c>
      <c r="H45" s="641" t="str">
        <f>CONCATENATE("Total ",E1," Mill Rate")</f>
        <v>Total 2013 Mill Rate</v>
      </c>
      <c r="I45" s="665"/>
      <c r="J45" s="666"/>
      <c r="K45" s="591"/>
    </row>
    <row r="46" spans="2:11" x14ac:dyDescent="0.25">
      <c r="B46" s="27" t="s">
        <v>118</v>
      </c>
      <c r="C46" s="29">
        <v>3373</v>
      </c>
      <c r="D46" s="390">
        <f>C74</f>
        <v>3320</v>
      </c>
      <c r="E46" s="32">
        <f>D74</f>
        <v>1483</v>
      </c>
      <c r="G46" s="668">
        <f>summ!F32</f>
        <v>11.457999999999998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v>944</v>
      </c>
      <c r="D48" s="390">
        <v>550</v>
      </c>
      <c r="E48" s="33" t="s">
        <v>290</v>
      </c>
      <c r="G48" s="591"/>
      <c r="H48" s="591"/>
      <c r="I48" s="591"/>
      <c r="J48" s="591"/>
      <c r="K48" s="591"/>
    </row>
    <row r="49" spans="2:11" x14ac:dyDescent="0.25">
      <c r="B49" s="27" t="s">
        <v>17</v>
      </c>
      <c r="C49" s="29">
        <v>3</v>
      </c>
      <c r="D49" s="29"/>
      <c r="E49" s="34"/>
      <c r="G49" s="591"/>
      <c r="H49" s="591"/>
      <c r="I49" s="591"/>
      <c r="J49" s="591"/>
      <c r="K49" s="591"/>
    </row>
    <row r="50" spans="2:11" x14ac:dyDescent="0.25">
      <c r="B50" s="27" t="s">
        <v>18</v>
      </c>
      <c r="C50" s="29"/>
      <c r="D50" s="29">
        <v>86</v>
      </c>
      <c r="E50" s="32">
        <f>mvalloc!G16</f>
        <v>53</v>
      </c>
      <c r="G50" s="591"/>
      <c r="H50" s="591"/>
      <c r="I50" s="591"/>
      <c r="J50" s="591"/>
      <c r="K50" s="591"/>
    </row>
    <row r="51" spans="2:11" x14ac:dyDescent="0.25">
      <c r="B51" s="27" t="s">
        <v>19</v>
      </c>
      <c r="C51" s="29"/>
      <c r="D51" s="29">
        <v>2</v>
      </c>
      <c r="E51" s="32">
        <f>mvalloc!I16</f>
        <v>1</v>
      </c>
      <c r="G51" s="591"/>
      <c r="H51" s="591"/>
      <c r="I51" s="591"/>
      <c r="J51" s="591"/>
      <c r="K51" s="591"/>
    </row>
    <row r="52" spans="2:11" x14ac:dyDescent="0.25">
      <c r="B52" s="27" t="s">
        <v>99</v>
      </c>
      <c r="C52" s="29"/>
      <c r="D52" s="29">
        <v>25</v>
      </c>
      <c r="E52" s="32">
        <f>mvalloc!J16</f>
        <v>24</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947</v>
      </c>
      <c r="D60" s="392">
        <f>SUM(D48:D58)</f>
        <v>663</v>
      </c>
      <c r="E60" s="42">
        <f>SUM(E48:E58)</f>
        <v>78</v>
      </c>
      <c r="G60" s="591"/>
      <c r="H60" s="591"/>
      <c r="I60" s="591"/>
      <c r="J60" s="591"/>
      <c r="K60" s="591"/>
    </row>
    <row r="61" spans="2:11" x14ac:dyDescent="0.25">
      <c r="B61" s="43" t="s">
        <v>24</v>
      </c>
      <c r="C61" s="392">
        <f>C60+C46</f>
        <v>4320</v>
      </c>
      <c r="D61" s="392">
        <f>D60+D46</f>
        <v>3983</v>
      </c>
      <c r="E61" s="42">
        <f>E60+E46</f>
        <v>1561</v>
      </c>
      <c r="G61" s="591"/>
      <c r="H61" s="591"/>
      <c r="I61" s="591"/>
      <c r="J61" s="591"/>
      <c r="K61" s="591"/>
    </row>
    <row r="62" spans="2:11" x14ac:dyDescent="0.25">
      <c r="B62" s="27" t="s">
        <v>25</v>
      </c>
      <c r="C62" s="390"/>
      <c r="D62" s="390"/>
      <c r="E62" s="32"/>
      <c r="G62" s="591"/>
      <c r="H62" s="591"/>
      <c r="I62" s="591"/>
      <c r="J62" s="591"/>
      <c r="K62" s="591"/>
    </row>
    <row r="63" spans="2:11" x14ac:dyDescent="0.25">
      <c r="B63" s="38" t="s">
        <v>945</v>
      </c>
      <c r="C63" s="29">
        <v>1000</v>
      </c>
      <c r="D63" s="29">
        <v>2500</v>
      </c>
      <c r="E63" s="34">
        <v>2200</v>
      </c>
      <c r="G63" s="591"/>
      <c r="H63" s="591"/>
      <c r="I63" s="591"/>
      <c r="J63" s="591"/>
      <c r="K63" s="591"/>
    </row>
    <row r="64" spans="2:11" x14ac:dyDescent="0.25">
      <c r="B64" s="38"/>
      <c r="C64" s="29"/>
      <c r="D64" s="29"/>
      <c r="E64" s="34"/>
      <c r="G64" s="815" t="str">
        <f>CONCATENATE("Desired Carryover Into ",E1+1,"")</f>
        <v>Desired Carryover Into 2014</v>
      </c>
      <c r="H64" s="816"/>
      <c r="I64" s="816"/>
      <c r="J64" s="817"/>
      <c r="K64" s="591"/>
    </row>
    <row r="65" spans="2:11" x14ac:dyDescent="0.25">
      <c r="B65" s="38"/>
      <c r="C65" s="29"/>
      <c r="D65" s="29"/>
      <c r="E65" s="34"/>
      <c r="G65" s="622"/>
      <c r="H65" s="623"/>
      <c r="I65" s="624"/>
      <c r="J65" s="625"/>
      <c r="K65" s="591"/>
    </row>
    <row r="66" spans="2:11" x14ac:dyDescent="0.25">
      <c r="B66" s="38"/>
      <c r="C66" s="29"/>
      <c r="D66" s="29"/>
      <c r="E66" s="34"/>
      <c r="G66" s="626" t="s">
        <v>714</v>
      </c>
      <c r="H66" s="624"/>
      <c r="I66" s="624"/>
      <c r="J66" s="627">
        <v>0</v>
      </c>
      <c r="K66" s="591"/>
    </row>
    <row r="67" spans="2:11" x14ac:dyDescent="0.25">
      <c r="B67" s="38"/>
      <c r="C67" s="29"/>
      <c r="D67" s="29"/>
      <c r="E67" s="34"/>
      <c r="G67" s="622" t="s">
        <v>715</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824</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15" t="str">
        <f>CONCATENATE("Projected Carryover Into ",E1+1,"")</f>
        <v>Projected Carryover Into 2014</v>
      </c>
      <c r="H71" s="818"/>
      <c r="I71" s="818"/>
      <c r="J71" s="819"/>
      <c r="K71" s="591"/>
    </row>
    <row r="72" spans="2:11" x14ac:dyDescent="0.25">
      <c r="B72" s="35" t="s">
        <v>621</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1000</v>
      </c>
      <c r="D73" s="392">
        <f>SUM(D63:D71)</f>
        <v>2500</v>
      </c>
      <c r="E73" s="42">
        <f>SUM(E63:E71)</f>
        <v>2200</v>
      </c>
      <c r="G73" s="640">
        <f>D74</f>
        <v>1483</v>
      </c>
      <c r="H73" s="641" t="str">
        <f>CONCATENATE("",E1-1," Ending Cash Balance (est.)")</f>
        <v>2012 Ending Cash Balance (est.)</v>
      </c>
      <c r="I73" s="642"/>
      <c r="J73" s="677"/>
      <c r="K73" s="591"/>
    </row>
    <row r="74" spans="2:11" x14ac:dyDescent="0.25">
      <c r="B74" s="27" t="s">
        <v>119</v>
      </c>
      <c r="C74" s="385">
        <f>C61-C73</f>
        <v>3320</v>
      </c>
      <c r="D74" s="385">
        <f>D61-D73</f>
        <v>1483</v>
      </c>
      <c r="E74" s="33" t="s">
        <v>290</v>
      </c>
      <c r="G74" s="640">
        <f>E60</f>
        <v>78</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2500</v>
      </c>
      <c r="D75" s="161">
        <f>inputPrYr!D21</f>
        <v>2500</v>
      </c>
      <c r="E75" s="33" t="s">
        <v>290</v>
      </c>
      <c r="F75" s="50"/>
      <c r="G75" s="649">
        <f>IF(E79&gt;0,E78,E80)</f>
        <v>639</v>
      </c>
      <c r="H75" s="624" t="str">
        <f>CONCATENATE("",E1," Ad Valorem Tax (est.)")</f>
        <v>2013 Ad Valorem Tax (est.)</v>
      </c>
      <c r="I75" s="642"/>
      <c r="J75" s="677"/>
      <c r="K75" s="650" t="str">
        <f>IF(G75=E80,"","Note: Does not include Delinquent Taxes")</f>
        <v>Note: Does not include Delinquent Taxes</v>
      </c>
    </row>
    <row r="76" spans="2:11" x14ac:dyDescent="0.25">
      <c r="B76" s="48"/>
      <c r="C76" s="805" t="s">
        <v>622</v>
      </c>
      <c r="D76" s="806"/>
      <c r="E76" s="34"/>
      <c r="F76" s="486" t="str">
        <f>IF(E73/0.95-E73&lt;E76,"Exceeds 5%","")</f>
        <v/>
      </c>
      <c r="G76" s="679">
        <f>SUM(G73:G75)</f>
        <v>2200</v>
      </c>
      <c r="H76" s="624" t="str">
        <f>CONCATENATE("Total ",E1," Resources Available")</f>
        <v>Total 2013 Resources Available</v>
      </c>
      <c r="I76" s="680"/>
      <c r="J76" s="677"/>
      <c r="K76" s="591"/>
    </row>
    <row r="77" spans="2:11" x14ac:dyDescent="0.25">
      <c r="B77" s="399" t="str">
        <f>CONCATENATE(C94,"     ",D94)</f>
        <v xml:space="preserve">     </v>
      </c>
      <c r="C77" s="807" t="s">
        <v>623</v>
      </c>
      <c r="D77" s="808"/>
      <c r="E77" s="32">
        <f>E73+E76</f>
        <v>2200</v>
      </c>
      <c r="G77" s="681"/>
      <c r="H77" s="682"/>
      <c r="I77" s="623"/>
      <c r="J77" s="677"/>
      <c r="K77" s="591"/>
    </row>
    <row r="78" spans="2:11" x14ac:dyDescent="0.25">
      <c r="B78" s="399" t="str">
        <f>CONCATENATE(C95,"     ",D95)</f>
        <v xml:space="preserve">     </v>
      </c>
      <c r="C78" s="60"/>
      <c r="D78" s="52" t="s">
        <v>28</v>
      </c>
      <c r="E78" s="46">
        <f>IF(E77-E61&gt;0,E77-E61,0)</f>
        <v>639</v>
      </c>
      <c r="G78" s="649">
        <f>ROUND(C73*0.05+C73,0)</f>
        <v>1050</v>
      </c>
      <c r="H78" s="624" t="str">
        <f>CONCATENATE("Less ",E1-2," Expenditures + 5%")</f>
        <v>Less 2011 Expenditures + 5%</v>
      </c>
      <c r="I78" s="680"/>
      <c r="J78" s="677"/>
      <c r="K78" s="591"/>
    </row>
    <row r="79" spans="2:11" x14ac:dyDescent="0.25">
      <c r="B79" s="52"/>
      <c r="C79" s="403" t="s">
        <v>624</v>
      </c>
      <c r="D79" s="698">
        <f>inputOth!$E$40</f>
        <v>1.2999999999999999E-2</v>
      </c>
      <c r="E79" s="32">
        <f>ROUND(IF(D79&gt;0,(E78*D79),0),0)</f>
        <v>8</v>
      </c>
      <c r="G79" s="657">
        <f>G76-G78</f>
        <v>1150</v>
      </c>
      <c r="H79" s="658" t="str">
        <f>CONCATENATE("Projected ",E1+1," carryover (est.)")</f>
        <v>Projected 2014 carryover (est.)</v>
      </c>
      <c r="I79" s="683"/>
      <c r="J79" s="684"/>
      <c r="K79" s="591"/>
    </row>
    <row r="80" spans="2:11" x14ac:dyDescent="0.25">
      <c r="B80" s="14"/>
      <c r="C80" s="803" t="str">
        <f>CONCATENATE("Amount of  ",$E$1-1," Ad Valorem Tax")</f>
        <v>Amount of  2012 Ad Valorem Tax</v>
      </c>
      <c r="D80" s="804"/>
      <c r="E80" s="46">
        <f>E78+E79</f>
        <v>647</v>
      </c>
      <c r="G80" s="591"/>
      <c r="H80" s="591"/>
      <c r="I80" s="591"/>
      <c r="J80" s="591"/>
      <c r="K80" s="591"/>
    </row>
    <row r="81" spans="2:11" x14ac:dyDescent="0.25">
      <c r="B81" s="52" t="s">
        <v>9</v>
      </c>
      <c r="C81" s="539">
        <v>8</v>
      </c>
      <c r="D81" s="14"/>
      <c r="E81" s="14"/>
      <c r="G81" s="822" t="s">
        <v>825</v>
      </c>
      <c r="H81" s="823"/>
      <c r="I81" s="823"/>
      <c r="J81" s="824"/>
      <c r="K81" s="591"/>
    </row>
    <row r="82" spans="2:11" x14ac:dyDescent="0.25">
      <c r="B82" s="80"/>
      <c r="G82" s="664"/>
      <c r="H82" s="641"/>
      <c r="I82" s="665"/>
      <c r="J82" s="666"/>
      <c r="K82" s="591"/>
    </row>
    <row r="83" spans="2:11" x14ac:dyDescent="0.25">
      <c r="G83" s="667">
        <f>summ!I23</f>
        <v>0.36199999999999999</v>
      </c>
      <c r="H83" s="641" t="str">
        <f>CONCATENATE("",E1," Fund Mill Rate")</f>
        <v>2013 Fund Mill Rate</v>
      </c>
      <c r="I83" s="665"/>
      <c r="J83" s="666"/>
      <c r="K83" s="591"/>
    </row>
    <row r="84" spans="2:11" x14ac:dyDescent="0.25">
      <c r="G84" s="668">
        <f>summ!F23</f>
        <v>0.32800000000000001</v>
      </c>
      <c r="H84" s="641" t="str">
        <f>CONCATENATE("",E1-1," Fund Mill Rate")</f>
        <v>2012 Fund Mill Rate</v>
      </c>
      <c r="I84" s="665"/>
      <c r="J84" s="666"/>
      <c r="K84" s="591"/>
    </row>
    <row r="85" spans="2:11" x14ac:dyDescent="0.25">
      <c r="G85" s="670">
        <f>summ!I32</f>
        <v>11.120000000000001</v>
      </c>
      <c r="H85" s="641" t="str">
        <f>CONCATENATE("Total ",E1," Mill Rate")</f>
        <v>Total 2013 Mill Rate</v>
      </c>
      <c r="I85" s="665"/>
      <c r="J85" s="666"/>
      <c r="K85" s="591"/>
    </row>
    <row r="86" spans="2:11" x14ac:dyDescent="0.25">
      <c r="G86" s="668">
        <f>summ!F32</f>
        <v>11.457999999999998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1200" verticalDpi="1200"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Penn Township</v>
      </c>
      <c r="C1" s="14"/>
      <c r="D1" s="14"/>
      <c r="E1" s="15">
        <f>inputPrYr!D5</f>
        <v>2013</v>
      </c>
    </row>
    <row r="2" spans="2:5" x14ac:dyDescent="0.25">
      <c r="B2" s="17"/>
      <c r="C2" s="14"/>
      <c r="D2" s="61"/>
      <c r="E2" s="82"/>
    </row>
    <row r="3" spans="2:5" x14ac:dyDescent="0.25">
      <c r="B3" s="541" t="s">
        <v>720</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15" t="str">
        <f>CONCATENATE("Desired Carryover Into ",E1+1,"")</f>
        <v>Desired Carryover Into 2014</v>
      </c>
      <c r="H24" s="816"/>
      <c r="I24" s="816"/>
      <c r="J24" s="817"/>
      <c r="K24" s="591"/>
    </row>
    <row r="25" spans="2:11" x14ac:dyDescent="0.25">
      <c r="B25" s="38"/>
      <c r="C25" s="29"/>
      <c r="D25" s="29"/>
      <c r="E25" s="34"/>
      <c r="G25" s="622"/>
      <c r="H25" s="623"/>
      <c r="I25" s="624"/>
      <c r="J25" s="625"/>
      <c r="K25" s="591"/>
    </row>
    <row r="26" spans="2:11" x14ac:dyDescent="0.25">
      <c r="B26" s="38"/>
      <c r="C26" s="29"/>
      <c r="D26" s="29"/>
      <c r="E26" s="34"/>
      <c r="G26" s="626" t="s">
        <v>714</v>
      </c>
      <c r="H26" s="624"/>
      <c r="I26" s="624"/>
      <c r="J26" s="627">
        <v>0</v>
      </c>
      <c r="K26" s="591"/>
    </row>
    <row r="27" spans="2:11" x14ac:dyDescent="0.25">
      <c r="B27" s="38"/>
      <c r="C27" s="29"/>
      <c r="D27" s="29"/>
      <c r="E27" s="34"/>
      <c r="G27" s="622" t="s">
        <v>715</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824</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15" t="str">
        <f>CONCATENATE("Projected Carryover Into ",E1+1,"")</f>
        <v>Projected Carryover Into 2014</v>
      </c>
      <c r="H31" s="825"/>
      <c r="I31" s="825"/>
      <c r="J31" s="819"/>
      <c r="K31" s="591"/>
    </row>
    <row r="32" spans="2:11" x14ac:dyDescent="0.25">
      <c r="B32" s="35" t="s">
        <v>621</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5" t="s">
        <v>622</v>
      </c>
      <c r="D36" s="806"/>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07" t="s">
        <v>623</v>
      </c>
      <c r="D37" s="808"/>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624</v>
      </c>
      <c r="D39" s="698">
        <f>inputOth!$E$40</f>
        <v>1.2999999999999999E-2</v>
      </c>
      <c r="E39" s="32">
        <f>ROUND(IF(D39&gt;0,(E38*D39),0),0)</f>
        <v>0</v>
      </c>
      <c r="G39" s="657">
        <f>G36-G38</f>
        <v>0</v>
      </c>
      <c r="H39" s="658" t="str">
        <f>CONCATENATE("Projected ",E1+1," carryover (est.)")</f>
        <v>Projected 2014 carryover (est.)</v>
      </c>
      <c r="I39" s="659"/>
      <c r="J39" s="660"/>
      <c r="K39" s="591"/>
    </row>
    <row r="40" spans="2:11" x14ac:dyDescent="0.25">
      <c r="B40" s="14"/>
      <c r="C40" s="803" t="str">
        <f>CONCATENATE("Amount of  ",$E$1-1," Ad Valorem Tax")</f>
        <v>Amount of  2012 Ad Valorem Tax</v>
      </c>
      <c r="D40" s="804"/>
      <c r="E40" s="46">
        <f>E38+E39</f>
        <v>0</v>
      </c>
      <c r="G40" s="591"/>
      <c r="H40" s="591"/>
      <c r="I40" s="591"/>
      <c r="J40" s="591"/>
      <c r="K40" s="591"/>
    </row>
    <row r="41" spans="2:11" x14ac:dyDescent="0.25">
      <c r="B41" s="14"/>
      <c r="C41" s="548"/>
      <c r="D41" s="14"/>
      <c r="E41" s="14"/>
      <c r="G41" s="822" t="s">
        <v>825</v>
      </c>
      <c r="H41" s="823"/>
      <c r="I41" s="823"/>
      <c r="J41" s="824"/>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11.120000000000001</v>
      </c>
      <c r="H45" s="641" t="str">
        <f>CONCATENATE("Total ",E1," Mill Rate")</f>
        <v>Total 2013 Mill Rate</v>
      </c>
      <c r="I45" s="665"/>
      <c r="J45" s="666"/>
      <c r="K45" s="591"/>
    </row>
    <row r="46" spans="2:11" x14ac:dyDescent="0.25">
      <c r="B46" s="27" t="s">
        <v>118</v>
      </c>
      <c r="C46" s="29"/>
      <c r="D46" s="390">
        <f>C74</f>
        <v>0</v>
      </c>
      <c r="E46" s="32">
        <f>D74</f>
        <v>0</v>
      </c>
      <c r="G46" s="668">
        <f>summ!F32</f>
        <v>11.457999999999998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15" t="str">
        <f>CONCATENATE("Desired Carryover Into ",E1+1,"")</f>
        <v>Desired Carryover Into 2014</v>
      </c>
      <c r="H64" s="816"/>
      <c r="I64" s="816"/>
      <c r="J64" s="817"/>
      <c r="K64" s="591"/>
    </row>
    <row r="65" spans="2:11" x14ac:dyDescent="0.25">
      <c r="B65" s="38"/>
      <c r="C65" s="29"/>
      <c r="D65" s="29"/>
      <c r="E65" s="34"/>
      <c r="G65" s="622"/>
      <c r="H65" s="623"/>
      <c r="I65" s="624"/>
      <c r="J65" s="625"/>
      <c r="K65" s="591"/>
    </row>
    <row r="66" spans="2:11" x14ac:dyDescent="0.25">
      <c r="B66" s="38"/>
      <c r="C66" s="29"/>
      <c r="D66" s="29"/>
      <c r="E66" s="34"/>
      <c r="G66" s="626" t="s">
        <v>714</v>
      </c>
      <c r="H66" s="624"/>
      <c r="I66" s="624"/>
      <c r="J66" s="627">
        <v>0</v>
      </c>
      <c r="K66" s="591"/>
    </row>
    <row r="67" spans="2:11" x14ac:dyDescent="0.25">
      <c r="B67" s="38"/>
      <c r="C67" s="29"/>
      <c r="D67" s="29"/>
      <c r="E67" s="34"/>
      <c r="G67" s="622" t="s">
        <v>715</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824</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15" t="str">
        <f>CONCATENATE("Projected Carryover Into ",E1+1,"")</f>
        <v>Projected Carryover Into 2014</v>
      </c>
      <c r="H71" s="818"/>
      <c r="I71" s="818"/>
      <c r="J71" s="819"/>
      <c r="K71" s="591"/>
    </row>
    <row r="72" spans="2:11" x14ac:dyDescent="0.25">
      <c r="B72" s="35" t="s">
        <v>621</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5" t="s">
        <v>622</v>
      </c>
      <c r="D76" s="806"/>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07" t="s">
        <v>623</v>
      </c>
      <c r="D77" s="808"/>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624</v>
      </c>
      <c r="D79" s="698">
        <f>inputOth!$E$40</f>
        <v>1.2999999999999999E-2</v>
      </c>
      <c r="E79" s="32">
        <f>ROUND(IF(D79&gt;0,(E78*D79),0),0)</f>
        <v>0</v>
      </c>
      <c r="G79" s="657">
        <f>G76-G78</f>
        <v>0</v>
      </c>
      <c r="H79" s="658" t="str">
        <f>CONCATENATE("Projected ",E1+1," carryover (est.)")</f>
        <v>Projected 2014 carryover (est.)</v>
      </c>
      <c r="I79" s="683"/>
      <c r="J79" s="684"/>
      <c r="K79" s="591"/>
    </row>
    <row r="80" spans="2:11" x14ac:dyDescent="0.25">
      <c r="B80" s="14"/>
      <c r="C80" s="803" t="str">
        <f>CONCATENATE("Amount of  ",$E$1-1," Ad Valorem Tax")</f>
        <v>Amount of  2012 Ad Valorem Tax</v>
      </c>
      <c r="D80" s="804"/>
      <c r="E80" s="46">
        <f>E78+E79</f>
        <v>0</v>
      </c>
      <c r="G80" s="591"/>
      <c r="H80" s="591"/>
      <c r="I80" s="591"/>
      <c r="J80" s="591"/>
      <c r="K80" s="591"/>
    </row>
    <row r="81" spans="2:11" x14ac:dyDescent="0.25">
      <c r="B81" s="52" t="s">
        <v>9</v>
      </c>
      <c r="C81" s="539"/>
      <c r="D81" s="14"/>
      <c r="E81" s="14"/>
      <c r="G81" s="822" t="s">
        <v>825</v>
      </c>
      <c r="H81" s="823"/>
      <c r="I81" s="823"/>
      <c r="J81" s="824"/>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11.120000000000001</v>
      </c>
      <c r="H85" s="641" t="str">
        <f>CONCATENATE("Total ",E1," Mill Rate")</f>
        <v>Total 2013 Mill Rate</v>
      </c>
      <c r="I85" s="665"/>
      <c r="J85" s="666"/>
      <c r="K85" s="591"/>
    </row>
    <row r="86" spans="2:11" x14ac:dyDescent="0.25">
      <c r="G86" s="668">
        <f>summ!F32</f>
        <v>11.457999999999998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Penn Township</v>
      </c>
      <c r="C1" s="14"/>
      <c r="D1" s="14"/>
      <c r="E1" s="15">
        <f>inputPrYr!D5</f>
        <v>2013</v>
      </c>
    </row>
    <row r="2" spans="2:5" x14ac:dyDescent="0.25">
      <c r="B2" s="17"/>
      <c r="C2" s="14"/>
      <c r="D2" s="61"/>
      <c r="E2" s="62"/>
    </row>
    <row r="3" spans="2:5" x14ac:dyDescent="0.25">
      <c r="B3" s="541" t="s">
        <v>720</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15" t="str">
        <f>CONCATENATE("Desired Carryover Into ",E1+1,"")</f>
        <v>Desired Carryover Into 2014</v>
      </c>
      <c r="H24" s="816"/>
      <c r="I24" s="816"/>
      <c r="J24" s="817"/>
      <c r="K24" s="591"/>
    </row>
    <row r="25" spans="2:11" x14ac:dyDescent="0.25">
      <c r="B25" s="38"/>
      <c r="C25" s="29"/>
      <c r="D25" s="29"/>
      <c r="E25" s="34"/>
      <c r="G25" s="622"/>
      <c r="H25" s="623"/>
      <c r="I25" s="624"/>
      <c r="J25" s="625"/>
      <c r="K25" s="591"/>
    </row>
    <row r="26" spans="2:11" x14ac:dyDescent="0.25">
      <c r="B26" s="29"/>
      <c r="C26" s="29"/>
      <c r="D26" s="29"/>
      <c r="E26" s="34"/>
      <c r="G26" s="626" t="s">
        <v>714</v>
      </c>
      <c r="H26" s="624"/>
      <c r="I26" s="624"/>
      <c r="J26" s="627">
        <v>0</v>
      </c>
      <c r="K26" s="591"/>
    </row>
    <row r="27" spans="2:11" x14ac:dyDescent="0.25">
      <c r="B27" s="29"/>
      <c r="C27" s="29"/>
      <c r="D27" s="29"/>
      <c r="E27" s="34"/>
      <c r="G27" s="622" t="s">
        <v>715</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824</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15" t="str">
        <f>CONCATENATE("Projected Carryover Into ",E1+1,"")</f>
        <v>Projected Carryover Into 2014</v>
      </c>
      <c r="H31" s="825"/>
      <c r="I31" s="825"/>
      <c r="J31" s="819"/>
      <c r="K31" s="591"/>
    </row>
    <row r="32" spans="2:11" x14ac:dyDescent="0.25">
      <c r="B32" s="35" t="s">
        <v>621</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5" t="s">
        <v>622</v>
      </c>
      <c r="D36" s="806"/>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07" t="s">
        <v>623</v>
      </c>
      <c r="D37" s="808"/>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624</v>
      </c>
      <c r="D39" s="698">
        <f>inputOth!$E$40</f>
        <v>1.2999999999999999E-2</v>
      </c>
      <c r="E39" s="32">
        <f>ROUND(IF(D39&gt;0,(E38*D39),0),0)</f>
        <v>0</v>
      </c>
      <c r="G39" s="657">
        <f>G36-G38</f>
        <v>0</v>
      </c>
      <c r="H39" s="658" t="str">
        <f>CONCATENATE("Projected ",E1+1," carryover (est.)")</f>
        <v>Projected 2014 carryover (est.)</v>
      </c>
      <c r="I39" s="659"/>
      <c r="J39" s="660"/>
      <c r="K39" s="591"/>
    </row>
    <row r="40" spans="2:11" x14ac:dyDescent="0.25">
      <c r="B40" s="14"/>
      <c r="C40" s="803" t="str">
        <f>CONCATENATE("Amount of  ",$E$1-1," Ad Valorem Tax")</f>
        <v>Amount of  2012 Ad Valorem Tax</v>
      </c>
      <c r="D40" s="804"/>
      <c r="E40" s="46">
        <f>E38+E39</f>
        <v>0</v>
      </c>
      <c r="G40" s="591"/>
      <c r="H40" s="591"/>
      <c r="I40" s="591"/>
      <c r="J40" s="591"/>
      <c r="K40" s="591"/>
    </row>
    <row r="41" spans="2:11" x14ac:dyDescent="0.25">
      <c r="B41" s="14"/>
      <c r="C41" s="548"/>
      <c r="D41" s="14"/>
      <c r="E41" s="14"/>
      <c r="G41" s="822" t="s">
        <v>825</v>
      </c>
      <c r="H41" s="823"/>
      <c r="I41" s="823"/>
      <c r="J41" s="824"/>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11.120000000000001</v>
      </c>
      <c r="H45" s="641" t="str">
        <f>CONCATENATE("Total ",E1," Mill Rate")</f>
        <v>Total 2013 Mill Rate</v>
      </c>
      <c r="I45" s="665"/>
      <c r="J45" s="666"/>
      <c r="K45" s="591"/>
    </row>
    <row r="46" spans="2:11" x14ac:dyDescent="0.25">
      <c r="B46" s="27" t="s">
        <v>118</v>
      </c>
      <c r="C46" s="29"/>
      <c r="D46" s="390">
        <f>C74</f>
        <v>0</v>
      </c>
      <c r="E46" s="32">
        <f>D74</f>
        <v>0</v>
      </c>
      <c r="G46" s="668">
        <f>summ!F32</f>
        <v>11.457999999999998</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15" t="str">
        <f>CONCATENATE("Desired Carryover Into ",E1+1,"")</f>
        <v>Desired Carryover Into 2014</v>
      </c>
      <c r="H64" s="816"/>
      <c r="I64" s="816"/>
      <c r="J64" s="817"/>
      <c r="K64" s="591"/>
    </row>
    <row r="65" spans="2:11" x14ac:dyDescent="0.25">
      <c r="B65" s="38"/>
      <c r="C65" s="29"/>
      <c r="D65" s="29"/>
      <c r="E65" s="34"/>
      <c r="G65" s="622"/>
      <c r="H65" s="623"/>
      <c r="I65" s="624"/>
      <c r="J65" s="625"/>
      <c r="K65" s="591"/>
    </row>
    <row r="66" spans="2:11" x14ac:dyDescent="0.25">
      <c r="B66" s="38"/>
      <c r="C66" s="29"/>
      <c r="D66" s="29"/>
      <c r="E66" s="34"/>
      <c r="G66" s="626" t="s">
        <v>714</v>
      </c>
      <c r="H66" s="624"/>
      <c r="I66" s="624"/>
      <c r="J66" s="627">
        <v>0</v>
      </c>
      <c r="K66" s="591"/>
    </row>
    <row r="67" spans="2:11" x14ac:dyDescent="0.25">
      <c r="B67" s="38"/>
      <c r="C67" s="29"/>
      <c r="D67" s="29"/>
      <c r="E67" s="34"/>
      <c r="G67" s="622" t="s">
        <v>715</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824</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15" t="str">
        <f>CONCATENATE("Projected Carryover Into ",E1+1,"")</f>
        <v>Projected Carryover Into 2014</v>
      </c>
      <c r="H71" s="818"/>
      <c r="I71" s="818"/>
      <c r="J71" s="819"/>
      <c r="K71" s="591"/>
    </row>
    <row r="72" spans="2:11" x14ac:dyDescent="0.25">
      <c r="B72" s="35" t="s">
        <v>621</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5" t="s">
        <v>622</v>
      </c>
      <c r="D76" s="806"/>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07" t="s">
        <v>623</v>
      </c>
      <c r="D77" s="808"/>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624</v>
      </c>
      <c r="D79" s="698">
        <f>inputOth!$E$40</f>
        <v>1.2999999999999999E-2</v>
      </c>
      <c r="E79" s="32">
        <f>ROUND(IF(D79&gt;0,(E78*D79),0),0)</f>
        <v>0</v>
      </c>
      <c r="G79" s="657">
        <f>G76-G78</f>
        <v>0</v>
      </c>
      <c r="H79" s="658" t="str">
        <f>CONCATENATE("Projected ",E1+1," carryover (est.)")</f>
        <v>Projected 2014 carryover (est.)</v>
      </c>
      <c r="I79" s="683"/>
      <c r="J79" s="684"/>
      <c r="K79" s="591"/>
    </row>
    <row r="80" spans="2:11" x14ac:dyDescent="0.25">
      <c r="B80" s="14"/>
      <c r="C80" s="803" t="str">
        <f>CONCATENATE("Amount of  ",$E$1-1," Ad Valorem Tax")</f>
        <v>Amount of  2012 Ad Valorem Tax</v>
      </c>
      <c r="D80" s="804"/>
      <c r="E80" s="46">
        <f>E78+E79</f>
        <v>0</v>
      </c>
      <c r="G80" s="591"/>
      <c r="H80" s="591"/>
      <c r="I80" s="591"/>
      <c r="J80" s="591"/>
      <c r="K80" s="591"/>
    </row>
    <row r="81" spans="2:11" x14ac:dyDescent="0.25">
      <c r="B81" s="52" t="s">
        <v>9</v>
      </c>
      <c r="C81" s="539"/>
      <c r="D81" s="14"/>
      <c r="E81" s="14"/>
      <c r="G81" s="822" t="s">
        <v>825</v>
      </c>
      <c r="H81" s="823"/>
      <c r="I81" s="823"/>
      <c r="J81" s="824"/>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11.120000000000001</v>
      </c>
      <c r="H85" s="641" t="str">
        <f>CONCATENATE("Total ",E1," Mill Rate")</f>
        <v>Total 2013 Mill Rate</v>
      </c>
      <c r="I85" s="665"/>
      <c r="J85" s="666"/>
      <c r="K85" s="591"/>
    </row>
    <row r="86" spans="2:11" x14ac:dyDescent="0.25">
      <c r="G86" s="668">
        <f>summ!F32</f>
        <v>11.457999999999998</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G24:J24"/>
    <mergeCell ref="G31:J31"/>
    <mergeCell ref="G41:J41"/>
    <mergeCell ref="G64:J64"/>
    <mergeCell ref="G71:J71"/>
    <mergeCell ref="C80:D80"/>
    <mergeCell ref="C40:D40"/>
    <mergeCell ref="C76:D76"/>
    <mergeCell ref="C77:D77"/>
    <mergeCell ref="C36:D36"/>
    <mergeCell ref="C37:D3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Penn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621</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621</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Penn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workbookViewId="0">
      <selection activeCell="E25" sqref="E25"/>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950</v>
      </c>
      <c r="E2" s="19"/>
    </row>
    <row r="3" spans="1:8" x14ac:dyDescent="0.25">
      <c r="A3" s="68" t="s">
        <v>226</v>
      </c>
      <c r="B3" s="14"/>
      <c r="C3" s="14"/>
      <c r="D3" s="381" t="s">
        <v>951</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757</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758</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5800</v>
      </c>
      <c r="E16" s="187">
        <v>0</v>
      </c>
      <c r="G16" s="32">
        <f>IF(H15&gt;0,ROUND(E16-(E16*H15),0),0)</f>
        <v>0</v>
      </c>
    </row>
    <row r="17" spans="1:7" x14ac:dyDescent="0.25">
      <c r="A17" s="14"/>
      <c r="B17" s="72" t="s">
        <v>300</v>
      </c>
      <c r="C17" s="161" t="s">
        <v>153</v>
      </c>
      <c r="D17" s="187"/>
      <c r="E17" s="187"/>
      <c r="G17" s="32">
        <f>IF(H15&gt;0,ROUND(E17-(E17*H15),0),0)</f>
        <v>0</v>
      </c>
    </row>
    <row r="18" spans="1:7" x14ac:dyDescent="0.25">
      <c r="A18" s="14"/>
      <c r="B18" s="72" t="s">
        <v>828</v>
      </c>
      <c r="C18" s="691" t="s">
        <v>829</v>
      </c>
      <c r="D18" s="187"/>
      <c r="E18" s="187"/>
      <c r="G18" s="32">
        <f>IF(H15&gt;0,ROUND(E18-(E18*H15),0),0)</f>
        <v>0</v>
      </c>
    </row>
    <row r="19" spans="1:7" x14ac:dyDescent="0.25">
      <c r="A19" s="14"/>
      <c r="B19" s="72" t="s">
        <v>275</v>
      </c>
      <c r="C19" s="179" t="s">
        <v>315</v>
      </c>
      <c r="D19" s="187">
        <v>21900</v>
      </c>
      <c r="E19" s="187">
        <v>17849</v>
      </c>
      <c r="G19" s="32">
        <f>IF(H15&gt;0,ROUND(E19-(E19*H15),0),0)</f>
        <v>0</v>
      </c>
    </row>
    <row r="20" spans="1:7" x14ac:dyDescent="0.25">
      <c r="A20" s="14"/>
      <c r="B20" s="382" t="s">
        <v>933</v>
      </c>
      <c r="C20" s="383"/>
      <c r="D20" s="187">
        <v>1500</v>
      </c>
      <c r="E20" s="187">
        <v>1069</v>
      </c>
      <c r="G20" s="32">
        <f>IF(H15&gt;0,ROUND(E20-(E20*H15),0),0)</f>
        <v>0</v>
      </c>
    </row>
    <row r="21" spans="1:7" x14ac:dyDescent="0.25">
      <c r="A21" s="14"/>
      <c r="B21" s="187" t="s">
        <v>934</v>
      </c>
      <c r="C21" s="395"/>
      <c r="D21" s="187">
        <v>2500</v>
      </c>
      <c r="E21" s="187">
        <v>556</v>
      </c>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19474</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31700</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10.492000000000001</v>
      </c>
      <c r="E45" s="14"/>
    </row>
    <row r="46" spans="1:5" x14ac:dyDescent="0.25">
      <c r="A46" s="14"/>
      <c r="B46" s="72" t="str">
        <f t="shared" si="0"/>
        <v>Cemetery</v>
      </c>
      <c r="C46" s="14"/>
      <c r="D46" s="322">
        <v>0.45900000000000002</v>
      </c>
      <c r="E46" s="14"/>
    </row>
    <row r="47" spans="1:5" x14ac:dyDescent="0.25">
      <c r="A47" s="14"/>
      <c r="B47" s="72" t="str">
        <f t="shared" si="0"/>
        <v>Noxious Weed</v>
      </c>
      <c r="C47" s="14"/>
      <c r="D47" s="322">
        <v>0.57799999999999996</v>
      </c>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11.529</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19229</v>
      </c>
    </row>
    <row r="55" spans="1:5" x14ac:dyDescent="0.25">
      <c r="A55" s="327" t="str">
        <f>CONCATENATE("Assessed Valuation (",D5-2," budget column)")</f>
        <v>Assessed Valuation (2011 budget column)</v>
      </c>
      <c r="B55" s="328"/>
      <c r="C55" s="267"/>
      <c r="D55" s="28"/>
      <c r="E55" s="187">
        <v>1665976</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713</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A4" zoomScaleNormal="100" workbookViewId="0">
      <selection activeCell="D49" sqref="D49"/>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72"/>
      <c r="D2" s="772"/>
      <c r="E2" s="772"/>
      <c r="F2" s="772"/>
      <c r="G2" s="772"/>
      <c r="H2" s="772"/>
      <c r="I2" s="772"/>
    </row>
    <row r="3" spans="2:10" x14ac:dyDescent="0.25">
      <c r="B3" s="14"/>
      <c r="C3" s="14"/>
      <c r="D3" s="14"/>
      <c r="E3" s="14"/>
      <c r="F3" s="14"/>
      <c r="G3" s="22" t="s">
        <v>37</v>
      </c>
      <c r="H3" s="22" t="s">
        <v>38</v>
      </c>
      <c r="I3" s="14"/>
    </row>
    <row r="4" spans="2:10" x14ac:dyDescent="0.25">
      <c r="B4" s="768" t="s">
        <v>39</v>
      </c>
      <c r="C4" s="768"/>
      <c r="D4" s="768"/>
      <c r="E4" s="768"/>
      <c r="F4" s="768"/>
      <c r="G4" s="768"/>
      <c r="H4" s="768"/>
      <c r="I4" s="768"/>
    </row>
    <row r="5" spans="2:10" x14ac:dyDescent="0.25">
      <c r="B5" s="770" t="str">
        <f>inputPrYr!D2</f>
        <v>Penn Township</v>
      </c>
      <c r="C5" s="770"/>
      <c r="D5" s="770"/>
      <c r="E5" s="770"/>
      <c r="F5" s="770"/>
      <c r="G5" s="770"/>
      <c r="H5" s="770"/>
      <c r="I5" s="770"/>
    </row>
    <row r="6" spans="2:10" x14ac:dyDescent="0.25">
      <c r="B6" s="770" t="str">
        <f>inputPrYr!D3</f>
        <v>Osborne County</v>
      </c>
      <c r="C6" s="770"/>
      <c r="D6" s="770"/>
      <c r="E6" s="770"/>
      <c r="F6" s="770"/>
      <c r="G6" s="770"/>
      <c r="H6" s="770"/>
      <c r="I6" s="770"/>
    </row>
    <row r="7" spans="2:10" x14ac:dyDescent="0.25">
      <c r="B7" s="844" t="str">
        <f>CONCATENATE("will meet on ",inputBudSum!B8," at ",inputBudSum!B10," at ",inputBudSum!B12," for the purpose of hearing and")</f>
        <v>will meet on August 9, 2012 at 8:00 p.m. at Wayne Noffsinger residence, 951 W. 100th Drive, Osborne, KS for the purpose of hearing and</v>
      </c>
      <c r="C7" s="844"/>
      <c r="D7" s="844"/>
      <c r="E7" s="844"/>
      <c r="F7" s="844"/>
      <c r="G7" s="844"/>
      <c r="H7" s="844"/>
      <c r="I7" s="844"/>
    </row>
    <row r="8" spans="2:10" x14ac:dyDescent="0.25">
      <c r="B8" s="147" t="s">
        <v>602</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4"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719</v>
      </c>
      <c r="H17" s="843"/>
      <c r="I17" s="26" t="s">
        <v>43</v>
      </c>
      <c r="J17" s="149"/>
    </row>
    <row r="18" spans="2:14" x14ac:dyDescent="0.25">
      <c r="B18" s="85" t="str">
        <f>inputPrYr!B16</f>
        <v>General</v>
      </c>
      <c r="C18" s="63">
        <f>IF(gen!$C$50&lt;&gt;0,gen!$C$50,"  ")</f>
        <v>4938</v>
      </c>
      <c r="D18" s="530" t="str">
        <f>IF(inputPrYr!D42&gt;0,inputPrYr!D42,"  ")</f>
        <v xml:space="preserve">  </v>
      </c>
      <c r="E18" s="32">
        <f>IF(gen!$D$50&lt;&gt;0,gen!$D$50,"  ")</f>
        <v>5800</v>
      </c>
      <c r="F18" s="235" t="str">
        <f>IF(inputOth!D17&gt;0,inputOth!D17,"  ")</f>
        <v xml:space="preserve"> </v>
      </c>
      <c r="G18" s="32">
        <f>IF(gen!$E$50&lt;&gt;0,gen!$E$50,"  ")</f>
        <v>5800</v>
      </c>
      <c r="H18" s="32" t="str">
        <f>IF(gen!$E$57&lt;&gt;0,gen!$E$57," ")</f>
        <v xml:space="preserve"> </v>
      </c>
      <c r="I18" s="532" t="str">
        <f>IF(gen!E57&gt;0,ROUND(H18/$G$37*1000,3)," ")</f>
        <v xml:space="preserve"> </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21214</v>
      </c>
      <c r="D21" s="530">
        <f>IF(inputPrYr!D45&gt;0,inputPrYr!D45,"  ")</f>
        <v>10.492000000000001</v>
      </c>
      <c r="E21" s="32">
        <f>IF(road!$D$43&lt;&gt;0,road!$D$43,"  ")</f>
        <v>21900</v>
      </c>
      <c r="F21" s="235">
        <f>IF(inputOth!D20&gt;0,inputOth!D20,"  ")</f>
        <v>10.500999999999999</v>
      </c>
      <c r="G21" s="32">
        <f>IF(road!$E$43&lt;&gt;0,road!$E$43,"  ")</f>
        <v>23285</v>
      </c>
      <c r="H21" s="32">
        <f>IF(road!$E$50&lt;&gt;0,road!$E$50,"  ")</f>
        <v>18763</v>
      </c>
      <c r="I21" s="532">
        <f>IF(road!E50&gt;0,ROUND(H21/$G$37*1000,3)," ")</f>
        <v>10.492000000000001</v>
      </c>
      <c r="K21" s="835" t="str">
        <f>CONCATENATE("Estimated Value Of One Mill For ",I1,"")</f>
        <v>Estimated Value Of One Mill For 2013</v>
      </c>
      <c r="L21" s="840"/>
      <c r="M21" s="840"/>
      <c r="N21" s="841"/>
    </row>
    <row r="22" spans="2:14" x14ac:dyDescent="0.25">
      <c r="B22" s="85" t="str">
        <f>IF(inputPrYr!$B20&gt;"  ",inputPrYr!$B20,"  ")</f>
        <v>Cemetery</v>
      </c>
      <c r="C22" s="32">
        <f>IF(levypage9!$C$33&lt;&gt;0,levypage9!$C$33,"  ")</f>
        <v>586</v>
      </c>
      <c r="D22" s="530">
        <f>IF(inputPrYr!D46&gt;0,inputPrYr!D46,"  ")</f>
        <v>0.45900000000000002</v>
      </c>
      <c r="E22" s="32">
        <f>IF(levypage9!$D$33&lt;&gt;0,levypage9!$D$33,"  ")</f>
        <v>1500</v>
      </c>
      <c r="F22" s="235">
        <f>IF(inputOth!D21&gt;0,inputOth!D21,"  ")</f>
        <v>0.629</v>
      </c>
      <c r="G22" s="32">
        <f>IF(levypage9!$E$33&lt;&gt;0,levypage9!$E$33,"  ")</f>
        <v>1500</v>
      </c>
      <c r="H22" s="32">
        <f>IF(levypage9!$E$40&lt;&gt;0,levypage9!$E$40,"  ")</f>
        <v>475</v>
      </c>
      <c r="I22" s="532">
        <f>IF(levypage9!E40&gt;0,ROUND(H22/$G$37*1000,3)," ")</f>
        <v>0.26600000000000001</v>
      </c>
      <c r="K22" s="506"/>
      <c r="L22" s="507"/>
      <c r="M22" s="507"/>
      <c r="N22" s="508"/>
    </row>
    <row r="23" spans="2:14" x14ac:dyDescent="0.25">
      <c r="B23" s="85" t="str">
        <f>IF(inputPrYr!$B21&gt;"  ",inputPrYr!$B21,"  ")</f>
        <v>Noxious Weed</v>
      </c>
      <c r="C23" s="32">
        <f>IF(levypage9!$C$73&lt;&gt;0,levypage9!$C$73,"  ")</f>
        <v>1000</v>
      </c>
      <c r="D23" s="530">
        <f>IF(inputPrYr!D47&gt;0,inputPrYr!D47,"  ")</f>
        <v>0.57799999999999996</v>
      </c>
      <c r="E23" s="32">
        <f>IF(levypage9!$D$73&lt;&gt;0,levypage9!$D$73,"  ")</f>
        <v>2500</v>
      </c>
      <c r="F23" s="235">
        <f>IF(inputOth!D22&gt;0,inputOth!D22,"  ")</f>
        <v>0.32800000000000001</v>
      </c>
      <c r="G23" s="32">
        <f>IF(levypage9!$E$73&lt;&gt;0,levypage9!$E$73,"  ")</f>
        <v>2200</v>
      </c>
      <c r="H23" s="32">
        <f>IF(levypage9!$E$80&lt;&gt;0,levypage9!$E$80,"  ")</f>
        <v>647</v>
      </c>
      <c r="I23" s="532">
        <f>IF(levypage9!E80&gt;0,ROUND(H23/$G$37*1000,3)," ")</f>
        <v>0.36199999999999999</v>
      </c>
      <c r="K23" s="509" t="s">
        <v>716</v>
      </c>
      <c r="L23" s="510"/>
      <c r="M23" s="510"/>
      <c r="N23" s="511">
        <f>ROUND(G37/1000,0)</f>
        <v>1788</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11.457999999999998</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606</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f>IF(road!C64&lt;&gt;0,road!C64,"  ")</f>
        <v>15785</v>
      </c>
      <c r="D31" s="484"/>
      <c r="E31" s="531"/>
      <c r="F31" s="484"/>
      <c r="G31" s="531"/>
      <c r="H31" s="531"/>
      <c r="I31" s="484"/>
      <c r="K31" s="520"/>
      <c r="L31" s="520"/>
      <c r="M31" s="520"/>
      <c r="N31" s="520"/>
    </row>
    <row r="32" spans="2:14" x14ac:dyDescent="0.25">
      <c r="B32" s="72" t="s">
        <v>289</v>
      </c>
      <c r="C32" s="533">
        <f t="shared" ref="C32:I32" si="0">SUM(C18:C31)</f>
        <v>43523</v>
      </c>
      <c r="D32" s="482">
        <f t="shared" si="0"/>
        <v>11.529</v>
      </c>
      <c r="E32" s="533">
        <f t="shared" si="0"/>
        <v>31700</v>
      </c>
      <c r="F32" s="482">
        <f t="shared" si="0"/>
        <v>11.457999999999998</v>
      </c>
      <c r="G32" s="533">
        <f t="shared" si="0"/>
        <v>32785</v>
      </c>
      <c r="H32" s="533">
        <f t="shared" si="0"/>
        <v>19885</v>
      </c>
      <c r="I32" s="536">
        <f t="shared" si="0"/>
        <v>11.120000000000001</v>
      </c>
      <c r="K32" s="835" t="str">
        <f>CONCATENATE("Impact On Keeping The Same Mill Rate As For ",I1-1,"")</f>
        <v>Impact On Keeping The Same Mill Rate As For 2012</v>
      </c>
      <c r="L32" s="836"/>
      <c r="M32" s="836"/>
      <c r="N32" s="837"/>
    </row>
    <row r="33" spans="2:14" x14ac:dyDescent="0.25">
      <c r="B33" s="274" t="s">
        <v>44</v>
      </c>
      <c r="C33" s="32">
        <f>transfer!C29</f>
        <v>4600</v>
      </c>
      <c r="D33" s="14"/>
      <c r="E33" s="32">
        <f>transfer!D29</f>
        <v>3100</v>
      </c>
      <c r="F33" s="61"/>
      <c r="G33" s="32">
        <f>transfer!E29</f>
        <v>4200</v>
      </c>
      <c r="H33" s="14"/>
      <c r="I33" s="14"/>
      <c r="K33" s="513"/>
      <c r="L33" s="507"/>
      <c r="M33" s="507"/>
      <c r="N33" s="514"/>
    </row>
    <row r="34" spans="2:14" ht="16.5" thickBot="1" x14ac:dyDescent="0.3">
      <c r="B34" s="274" t="s">
        <v>45</v>
      </c>
      <c r="C34" s="534">
        <f>C32-C33</f>
        <v>38923</v>
      </c>
      <c r="D34" s="14"/>
      <c r="E34" s="534">
        <f>E32-E33</f>
        <v>28600</v>
      </c>
      <c r="F34" s="14"/>
      <c r="G34" s="534">
        <f>G32-G33</f>
        <v>28585</v>
      </c>
      <c r="H34" s="14"/>
      <c r="I34" s="14"/>
      <c r="K34" s="513" t="str">
        <f>CONCATENATE("",I1," Ad Valorem Tax Revenue:")</f>
        <v>2013 Ad Valorem Tax Revenue:</v>
      </c>
      <c r="L34" s="507"/>
      <c r="M34" s="507"/>
      <c r="N34" s="508">
        <f>H32</f>
        <v>19885</v>
      </c>
    </row>
    <row r="35" spans="2:14" ht="16.5" thickTop="1" x14ac:dyDescent="0.25">
      <c r="B35" s="274" t="s">
        <v>46</v>
      </c>
      <c r="C35" s="535">
        <f>inputPrYr!E54</f>
        <v>19229</v>
      </c>
      <c r="D35" s="61"/>
      <c r="E35" s="535">
        <f>inputPrYr!E26</f>
        <v>19474</v>
      </c>
      <c r="F35" s="14"/>
      <c r="G35" s="526" t="s">
        <v>290</v>
      </c>
      <c r="H35" s="14"/>
      <c r="I35" s="14"/>
      <c r="K35" s="513" t="str">
        <f>CONCATENATE("",I1-1," Ad Valorem Tax Revenue:")</f>
        <v>2012 Ad Valorem Tax Revenue:</v>
      </c>
      <c r="L35" s="507"/>
      <c r="M35" s="507"/>
      <c r="N35" s="521">
        <f>ROUND(G37*N27/1000,0)</f>
        <v>20491</v>
      </c>
    </row>
    <row r="36" spans="2:14" x14ac:dyDescent="0.25">
      <c r="B36" s="274" t="s">
        <v>47</v>
      </c>
      <c r="C36" s="55"/>
      <c r="D36" s="61"/>
      <c r="E36" s="55"/>
      <c r="F36" s="61"/>
      <c r="G36" s="14"/>
      <c r="H36" s="14"/>
      <c r="I36" s="14"/>
      <c r="K36" s="518" t="s">
        <v>717</v>
      </c>
      <c r="L36" s="519"/>
      <c r="M36" s="519"/>
      <c r="N36" s="511">
        <f>N34-N35</f>
        <v>-606</v>
      </c>
    </row>
    <row r="37" spans="2:14" x14ac:dyDescent="0.25">
      <c r="B37" s="274" t="s">
        <v>48</v>
      </c>
      <c r="C37" s="32">
        <f>inputPrYr!E55</f>
        <v>1665976</v>
      </c>
      <c r="D37" s="14"/>
      <c r="E37" s="32">
        <f>inputOth!E29</f>
        <v>1699807</v>
      </c>
      <c r="F37" s="14"/>
      <c r="G37" s="32">
        <f>inputOth!E7</f>
        <v>1788368</v>
      </c>
      <c r="H37" s="14"/>
      <c r="I37" s="14"/>
      <c r="K37" s="512"/>
      <c r="L37" s="512"/>
      <c r="M37" s="512"/>
      <c r="N37" s="520"/>
    </row>
    <row r="38" spans="2:14" x14ac:dyDescent="0.25">
      <c r="B38" s="22" t="s">
        <v>49</v>
      </c>
      <c r="C38" s="14"/>
      <c r="D38" s="14"/>
      <c r="E38" s="14"/>
      <c r="F38" s="14"/>
      <c r="G38" s="14"/>
      <c r="H38" s="14"/>
      <c r="I38" s="14"/>
      <c r="K38" s="835" t="s">
        <v>718</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11.120000000000001</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744</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t="str">
        <f>inputBudSum!B4</f>
        <v>Wayne Noffsinger</v>
      </c>
      <c r="C46" s="834"/>
      <c r="D46" s="14"/>
      <c r="E46" s="14"/>
      <c r="F46" s="14"/>
      <c r="G46" s="14"/>
      <c r="H46" s="14"/>
      <c r="I46" s="14"/>
    </row>
    <row r="47" spans="2:14" x14ac:dyDescent="0.25">
      <c r="B47" s="832" t="str">
        <f>inputBudSum!B6</f>
        <v>Treasurer</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v>9</v>
      </c>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I4"/>
    <mergeCell ref="H15:H17"/>
    <mergeCell ref="B7:I7"/>
    <mergeCell ref="B6:I6"/>
    <mergeCell ref="B5:I5"/>
    <mergeCell ref="B47:C47"/>
    <mergeCell ref="B46:C46"/>
    <mergeCell ref="K32:N32"/>
    <mergeCell ref="K38:N38"/>
    <mergeCell ref="K21:N21"/>
    <mergeCell ref="K25:N2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Penn Township</v>
      </c>
      <c r="B1" s="14"/>
      <c r="C1" s="14"/>
      <c r="D1" s="14"/>
      <c r="E1" s="14"/>
      <c r="F1" s="14">
        <f>inputPrYr!D5</f>
        <v>2013</v>
      </c>
    </row>
    <row r="2" spans="1:6" x14ac:dyDescent="0.25">
      <c r="A2" s="14"/>
      <c r="B2" s="14"/>
      <c r="C2" s="14"/>
      <c r="D2" s="14"/>
      <c r="E2" s="14"/>
      <c r="F2" s="14"/>
    </row>
    <row r="3" spans="1:6" x14ac:dyDescent="0.25">
      <c r="A3" s="14"/>
      <c r="B3" s="773" t="str">
        <f>CONCATENATE("",F1," Neighborhood Revitalization Rebate")</f>
        <v>2013 Neighborhood Revitalization Rebate</v>
      </c>
      <c r="C3" s="781"/>
      <c r="D3" s="781"/>
      <c r="E3" s="781"/>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t="str">
        <f>inputPrYr!B20</f>
        <v>Cemetery</v>
      </c>
      <c r="C10" s="130"/>
      <c r="D10" s="131" t="str">
        <f t="shared" si="0"/>
        <v/>
      </c>
      <c r="E10" s="132" t="str">
        <f t="shared" si="1"/>
        <v/>
      </c>
      <c r="F10" s="129"/>
    </row>
    <row r="11" spans="1:6" x14ac:dyDescent="0.25">
      <c r="A11" s="14"/>
      <c r="B11" s="72" t="str">
        <f>inputPrYr!B21</f>
        <v>Noxious Weed</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1788368</v>
      </c>
      <c r="E19" s="14"/>
      <c r="F19" s="129"/>
    </row>
    <row r="20" spans="1:6" x14ac:dyDescent="0.25">
      <c r="A20" s="14"/>
      <c r="B20" s="14"/>
      <c r="C20" s="14"/>
      <c r="D20" s="14"/>
      <c r="E20" s="14"/>
      <c r="F20" s="129"/>
    </row>
    <row r="21" spans="1:6" x14ac:dyDescent="0.25">
      <c r="A21" s="14"/>
      <c r="B21" s="847" t="s">
        <v>366</v>
      </c>
      <c r="C21" s="847"/>
      <c r="D21" s="137">
        <f>IF(D19&gt;0,(D19*0.001),"")</f>
        <v>1788.3679999999999</v>
      </c>
      <c r="E21" s="14"/>
      <c r="F21" s="129"/>
    </row>
    <row r="22" spans="1:6" x14ac:dyDescent="0.25">
      <c r="A22" s="14"/>
      <c r="B22" s="48"/>
      <c r="C22" s="48"/>
      <c r="D22" s="138"/>
      <c r="E22" s="14"/>
      <c r="F22" s="129"/>
    </row>
    <row r="23" spans="1:6" x14ac:dyDescent="0.25">
      <c r="A23" s="845" t="s">
        <v>368</v>
      </c>
      <c r="B23" s="772"/>
      <c r="C23" s="772"/>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603</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1" t="s">
        <v>129</v>
      </c>
      <c r="B1" s="851"/>
      <c r="C1" s="851"/>
      <c r="D1" s="851"/>
      <c r="E1" s="851"/>
      <c r="F1" s="851"/>
      <c r="G1" s="851"/>
    </row>
    <row r="2" spans="1:9" x14ac:dyDescent="0.25">
      <c r="A2" s="1"/>
    </row>
    <row r="3" spans="1:9" x14ac:dyDescent="0.25">
      <c r="A3" s="852" t="s">
        <v>130</v>
      </c>
      <c r="B3" s="852"/>
      <c r="C3" s="852"/>
      <c r="D3" s="852"/>
      <c r="E3" s="852"/>
      <c r="F3" s="852"/>
      <c r="G3" s="852"/>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Penn Township </v>
      </c>
      <c r="I6" t="str">
        <f>CONCATENATE(I7)</f>
        <v/>
      </c>
    </row>
    <row r="7" spans="1:9" x14ac:dyDescent="0.25">
      <c r="A7" s="853" t="str">
        <f>CONCATENATE("   with respect to financing the ",inputPrYr!D5," annual budget for ",(inputPrYr!D2)," , ",(inputPrYr!D3)," , Kansas.")</f>
        <v xml:space="preserve">   with respect to financing the 2013 annual budget for Penn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Penn Township budget exceed the amount levied to finance the 2012</v>
      </c>
    </row>
    <row r="12" spans="1:9" x14ac:dyDescent="0.25">
      <c r="A12" s="848" t="str">
        <f>CONCATENATE((inputPrYr!D2)," Township budget, except with regard to revenue produced and attributable to the taxation of 1) new improvements to real property; 2) increased personal property valuation, other than increased")</f>
        <v>Penn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48" t="s">
        <v>136</v>
      </c>
      <c r="B14" s="849"/>
      <c r="C14" s="849"/>
      <c r="D14" s="849"/>
      <c r="E14" s="849"/>
      <c r="F14" s="849"/>
      <c r="G14" s="849"/>
    </row>
    <row r="15" spans="1:9" x14ac:dyDescent="0.25">
      <c r="A15" s="849"/>
      <c r="B15" s="849"/>
      <c r="C15" s="849"/>
      <c r="D15" s="849"/>
      <c r="E15" s="849"/>
      <c r="F15" s="849"/>
      <c r="G15" s="849"/>
    </row>
    <row r="16" spans="1:9" x14ac:dyDescent="0.25">
      <c r="A16" s="850"/>
      <c r="B16" s="850"/>
      <c r="C16" s="850"/>
      <c r="D16" s="850"/>
      <c r="E16" s="850"/>
      <c r="F16" s="850"/>
      <c r="G16" s="850"/>
    </row>
    <row r="17" spans="1:7" x14ac:dyDescent="0.25">
      <c r="A17" s="2"/>
    </row>
    <row r="18" spans="1:7" x14ac:dyDescent="0.25">
      <c r="A18" s="854"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54" t="str">
        <f>CONCATENATE("Whereas, ",(inputPrYr!D2)," provides essential services to protect the safety and well being of the citizens of the township; and")</f>
        <v>Whereas, Penn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54" t="str">
        <f>CONCATENATE("NOW, THEREFORE, BE IT RESOLVED by the Board of ",(inputPrYr!D2)," of ",(inputPrYr!D3),", Kansas that is our desire to notify the public of increased property taxes to finance the ",inputPrYr!D5," ",(inputPrYr!D2),"  budget as defined above.")</f>
        <v>NOW, THEREFORE, BE IT RESOLVED by the Board of Penn Township of Osborne County, Kansas that is our desire to notify the public of increased property taxes to finance the 2013 Penn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Penn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5" t="str">
        <f>CONCATENATE((inputPrYr!D2)," Board")</f>
        <v>Penn Township Board</v>
      </c>
      <c r="E33" s="855"/>
      <c r="F33" s="855"/>
      <c r="G33" s="855"/>
    </row>
    <row r="35" spans="1:7" x14ac:dyDescent="0.25">
      <c r="D35" s="856" t="s">
        <v>134</v>
      </c>
      <c r="E35" s="856"/>
      <c r="F35" s="856"/>
      <c r="G35" s="856"/>
    </row>
    <row r="36" spans="1:7" x14ac:dyDescent="0.25">
      <c r="A36" s="5"/>
      <c r="D36" s="856" t="s">
        <v>138</v>
      </c>
      <c r="E36" s="856"/>
      <c r="F36" s="856"/>
      <c r="G36" s="856"/>
    </row>
    <row r="37" spans="1:7" x14ac:dyDescent="0.25">
      <c r="D37" s="856"/>
      <c r="E37" s="856"/>
      <c r="F37" s="856"/>
      <c r="G37" s="856"/>
    </row>
    <row r="38" spans="1:7" x14ac:dyDescent="0.25">
      <c r="D38" s="856" t="s">
        <v>134</v>
      </c>
      <c r="E38" s="856"/>
      <c r="F38" s="856"/>
      <c r="G38" s="856"/>
    </row>
    <row r="39" spans="1:7" x14ac:dyDescent="0.25">
      <c r="A39" s="4"/>
      <c r="D39" s="856" t="s">
        <v>139</v>
      </c>
      <c r="E39" s="856"/>
      <c r="F39" s="856"/>
      <c r="G39" s="856"/>
    </row>
    <row r="40" spans="1:7" x14ac:dyDescent="0.25">
      <c r="D40" s="856"/>
      <c r="E40" s="856"/>
      <c r="F40" s="856"/>
      <c r="G40" s="856"/>
    </row>
    <row r="41" spans="1:7" x14ac:dyDescent="0.25">
      <c r="D41" s="856" t="s">
        <v>137</v>
      </c>
      <c r="E41" s="856"/>
      <c r="F41" s="856"/>
      <c r="G41" s="856"/>
    </row>
    <row r="42" spans="1:7" x14ac:dyDescent="0.25">
      <c r="A42" s="4"/>
      <c r="D42" s="856" t="s">
        <v>140</v>
      </c>
      <c r="E42" s="856"/>
      <c r="F42" s="856"/>
      <c r="G42" s="856"/>
    </row>
    <row r="43" spans="1:7" x14ac:dyDescent="0.25">
      <c r="A43" s="6"/>
    </row>
    <row r="44" spans="1:7" x14ac:dyDescent="0.25">
      <c r="A44" s="6"/>
    </row>
    <row r="45" spans="1:7" x14ac:dyDescent="0.25">
      <c r="A45" s="6" t="s">
        <v>135</v>
      </c>
    </row>
    <row r="50" spans="3:4" x14ac:dyDescent="0.25">
      <c r="C50" s="10" t="s">
        <v>9</v>
      </c>
      <c r="D50" s="11"/>
    </row>
  </sheetData>
  <mergeCells count="18">
    <mergeCell ref="D39:G39"/>
    <mergeCell ref="A30:G31"/>
    <mergeCell ref="D42:G42"/>
    <mergeCell ref="D37:G37"/>
    <mergeCell ref="D38:G38"/>
    <mergeCell ref="D40:G40"/>
    <mergeCell ref="D41:G41"/>
    <mergeCell ref="D35:G35"/>
    <mergeCell ref="A18:G19"/>
    <mergeCell ref="A21:G22"/>
    <mergeCell ref="A26:G28"/>
    <mergeCell ref="D33:G33"/>
    <mergeCell ref="D36:G36"/>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topLeftCell="A10" workbookViewId="0">
      <selection activeCell="B3" sqref="B3"/>
    </sheetView>
  </sheetViews>
  <sheetFormatPr defaultRowHeight="15.75" x14ac:dyDescent="0.25"/>
  <cols>
    <col min="1" max="1" width="64.19921875" customWidth="1"/>
  </cols>
  <sheetData>
    <row r="3" spans="1:12" x14ac:dyDescent="0.25">
      <c r="A3" s="353" t="s">
        <v>381</v>
      </c>
      <c r="B3" s="353"/>
      <c r="C3" s="353"/>
      <c r="D3" s="353"/>
      <c r="E3" s="353"/>
      <c r="F3" s="353"/>
      <c r="G3" s="353"/>
      <c r="H3" s="353"/>
      <c r="I3" s="353"/>
      <c r="J3" s="353"/>
      <c r="K3" s="353"/>
      <c r="L3" s="353"/>
    </row>
    <row r="5" spans="1:12" x14ac:dyDescent="0.25">
      <c r="A5" s="352" t="s">
        <v>382</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383</v>
      </c>
    </row>
    <row r="9" spans="1:12" x14ac:dyDescent="0.25">
      <c r="A9" s="352" t="s">
        <v>384</v>
      </c>
    </row>
    <row r="10" spans="1:12" x14ac:dyDescent="0.25">
      <c r="A10" s="352" t="s">
        <v>385</v>
      </c>
    </row>
    <row r="11" spans="1:12" x14ac:dyDescent="0.25">
      <c r="A11" s="352"/>
    </row>
    <row r="12" spans="1:12" x14ac:dyDescent="0.25">
      <c r="A12" s="352"/>
    </row>
    <row r="13" spans="1:12" x14ac:dyDescent="0.25">
      <c r="A13" s="351" t="s">
        <v>386</v>
      </c>
    </row>
    <row r="15" spans="1:12" x14ac:dyDescent="0.25">
      <c r="A15" s="352" t="s">
        <v>387</v>
      </c>
    </row>
    <row r="16" spans="1:12" x14ac:dyDescent="0.25">
      <c r="A16" s="352" t="str">
        <f>CONCATENATE("(i.e. an audit has not been completed, or the ",inputPrYr!D5," adopted")</f>
        <v>(i.e. an audit has not been completed, or the 2013 adopted</v>
      </c>
    </row>
    <row r="17" spans="1:1" x14ac:dyDescent="0.25">
      <c r="A17" s="352" t="s">
        <v>388</v>
      </c>
    </row>
    <row r="18" spans="1:1" x14ac:dyDescent="0.25">
      <c r="A18" s="352" t="s">
        <v>389</v>
      </c>
    </row>
    <row r="19" spans="1:1" x14ac:dyDescent="0.25">
      <c r="A19" s="352" t="s">
        <v>390</v>
      </c>
    </row>
    <row r="21" spans="1:1" x14ac:dyDescent="0.25">
      <c r="A21" s="351" t="s">
        <v>391</v>
      </c>
    </row>
    <row r="22" spans="1:1" x14ac:dyDescent="0.25">
      <c r="A22" s="351"/>
    </row>
    <row r="23" spans="1:1" x14ac:dyDescent="0.25">
      <c r="A23" s="352" t="s">
        <v>392</v>
      </c>
    </row>
    <row r="24" spans="1:1" x14ac:dyDescent="0.25">
      <c r="A24" s="352" t="s">
        <v>393</v>
      </c>
    </row>
    <row r="25" spans="1:1" x14ac:dyDescent="0.25">
      <c r="A25" s="352" t="str">
        <f>CONCATENATE("particular fund.  If your ",inputPrYr!D5-2," budget was amended, did you")</f>
        <v>particular fund.  If your 2011 budget was amended, did you</v>
      </c>
    </row>
    <row r="26" spans="1:1" x14ac:dyDescent="0.25">
      <c r="A26" s="352" t="s">
        <v>394</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395</v>
      </c>
    </row>
    <row r="30" spans="1:1" x14ac:dyDescent="0.25">
      <c r="A30" s="352" t="s">
        <v>396</v>
      </c>
    </row>
    <row r="31" spans="1:1" x14ac:dyDescent="0.25">
      <c r="A31" s="352" t="s">
        <v>397</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398</v>
      </c>
    </row>
    <row r="35" spans="1:1" x14ac:dyDescent="0.25">
      <c r="A35" s="352" t="s">
        <v>399</v>
      </c>
    </row>
    <row r="36" spans="1:1" x14ac:dyDescent="0.25">
      <c r="A36" s="352"/>
    </row>
    <row r="37" spans="1:1" x14ac:dyDescent="0.25">
      <c r="A37" s="352" t="s">
        <v>400</v>
      </c>
    </row>
    <row r="38" spans="1:1" x14ac:dyDescent="0.25">
      <c r="A38" s="352" t="s">
        <v>586</v>
      </c>
    </row>
    <row r="39" spans="1:1" x14ac:dyDescent="0.25">
      <c r="A39" s="352" t="s">
        <v>587</v>
      </c>
    </row>
    <row r="40" spans="1:1" x14ac:dyDescent="0.25">
      <c r="A40" s="352" t="s">
        <v>401</v>
      </c>
    </row>
    <row r="41" spans="1:1" x14ac:dyDescent="0.25">
      <c r="A41" s="352" t="s">
        <v>402</v>
      </c>
    </row>
    <row r="42" spans="1:1" x14ac:dyDescent="0.25">
      <c r="A42" s="352" t="s">
        <v>403</v>
      </c>
    </row>
    <row r="43" spans="1:1" x14ac:dyDescent="0.25">
      <c r="A43" s="352" t="s">
        <v>404</v>
      </c>
    </row>
    <row r="44" spans="1:1" x14ac:dyDescent="0.25">
      <c r="A44" s="352" t="s">
        <v>405</v>
      </c>
    </row>
    <row r="45" spans="1:1" x14ac:dyDescent="0.25">
      <c r="A45" s="352"/>
    </row>
    <row r="46" spans="1:1" x14ac:dyDescent="0.25">
      <c r="A46" s="352" t="s">
        <v>406</v>
      </c>
    </row>
    <row r="47" spans="1:1" x14ac:dyDescent="0.25">
      <c r="A47" s="352" t="s">
        <v>407</v>
      </c>
    </row>
    <row r="48" spans="1:1" x14ac:dyDescent="0.25">
      <c r="A48" s="352" t="s">
        <v>408</v>
      </c>
    </row>
    <row r="49" spans="1:1" x14ac:dyDescent="0.25">
      <c r="A49" s="352"/>
    </row>
    <row r="50" spans="1:1" x14ac:dyDescent="0.25">
      <c r="A50" s="352" t="s">
        <v>409</v>
      </c>
    </row>
    <row r="51" spans="1:1" x14ac:dyDescent="0.25">
      <c r="A51" s="352" t="s">
        <v>410</v>
      </c>
    </row>
    <row r="52" spans="1:1" x14ac:dyDescent="0.25">
      <c r="A52" s="352" t="s">
        <v>411</v>
      </c>
    </row>
    <row r="53" spans="1:1" x14ac:dyDescent="0.25">
      <c r="A53" s="352"/>
    </row>
    <row r="54" spans="1:1" x14ac:dyDescent="0.25">
      <c r="A54" s="351" t="s">
        <v>412</v>
      </c>
    </row>
    <row r="55" spans="1:1" x14ac:dyDescent="0.25">
      <c r="A55" s="352"/>
    </row>
    <row r="56" spans="1:1" x14ac:dyDescent="0.25">
      <c r="A56" s="352" t="s">
        <v>413</v>
      </c>
    </row>
    <row r="57" spans="1:1" x14ac:dyDescent="0.25">
      <c r="A57" s="352" t="s">
        <v>414</v>
      </c>
    </row>
    <row r="58" spans="1:1" x14ac:dyDescent="0.25">
      <c r="A58" s="352" t="s">
        <v>415</v>
      </c>
    </row>
    <row r="59" spans="1:1" x14ac:dyDescent="0.25">
      <c r="A59" s="352" t="s">
        <v>416</v>
      </c>
    </row>
    <row r="60" spans="1:1" x14ac:dyDescent="0.25">
      <c r="A60" s="352" t="s">
        <v>417</v>
      </c>
    </row>
    <row r="61" spans="1:1" x14ac:dyDescent="0.25">
      <c r="A61" s="352" t="s">
        <v>418</v>
      </c>
    </row>
    <row r="62" spans="1:1" x14ac:dyDescent="0.25">
      <c r="A62" s="352" t="s">
        <v>419</v>
      </c>
    </row>
    <row r="63" spans="1:1" x14ac:dyDescent="0.25">
      <c r="A63" s="352" t="s">
        <v>420</v>
      </c>
    </row>
    <row r="64" spans="1:1" x14ac:dyDescent="0.25">
      <c r="A64" s="352" t="s">
        <v>421</v>
      </c>
    </row>
    <row r="65" spans="1:1" x14ac:dyDescent="0.25">
      <c r="A65" s="352" t="s">
        <v>422</v>
      </c>
    </row>
    <row r="66" spans="1:1" x14ac:dyDescent="0.25">
      <c r="A66" s="352" t="s">
        <v>423</v>
      </c>
    </row>
    <row r="67" spans="1:1" x14ac:dyDescent="0.25">
      <c r="A67" s="352" t="s">
        <v>424</v>
      </c>
    </row>
    <row r="68" spans="1:1" x14ac:dyDescent="0.25">
      <c r="A68" s="352" t="s">
        <v>425</v>
      </c>
    </row>
    <row r="69" spans="1:1" x14ac:dyDescent="0.25">
      <c r="A69" s="352"/>
    </row>
    <row r="70" spans="1:1" x14ac:dyDescent="0.25">
      <c r="A70" s="352" t="s">
        <v>426</v>
      </c>
    </row>
    <row r="71" spans="1:1" x14ac:dyDescent="0.25">
      <c r="A71" s="352" t="s">
        <v>427</v>
      </c>
    </row>
    <row r="72" spans="1:1" x14ac:dyDescent="0.25">
      <c r="A72" s="352" t="s">
        <v>428</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429</v>
      </c>
    </row>
    <row r="77" spans="1:1" x14ac:dyDescent="0.25">
      <c r="A77" s="352" t="str">
        <f>CONCATENATE("(i.e. an audit for ",inputPrYr!D5-2," has been completed, or the ",inputPrYr!D5)</f>
        <v>(i.e. an audit for 2011 has been completed, or the 2013</v>
      </c>
    </row>
    <row r="78" spans="1:1" x14ac:dyDescent="0.25">
      <c r="A78" s="352" t="s">
        <v>430</v>
      </c>
    </row>
    <row r="79" spans="1:1" x14ac:dyDescent="0.25">
      <c r="A79" s="352" t="s">
        <v>431</v>
      </c>
    </row>
    <row r="80" spans="1:1" x14ac:dyDescent="0.25">
      <c r="A80" s="352"/>
    </row>
    <row r="81" spans="1:1" x14ac:dyDescent="0.25">
      <c r="A81" s="352" t="s">
        <v>432</v>
      </c>
    </row>
    <row r="82" spans="1:1" x14ac:dyDescent="0.25">
      <c r="A82" s="352" t="s">
        <v>433</v>
      </c>
    </row>
    <row r="83" spans="1:1" x14ac:dyDescent="0.25">
      <c r="A83" s="352" t="s">
        <v>434</v>
      </c>
    </row>
    <row r="84" spans="1:1" x14ac:dyDescent="0.25">
      <c r="A84" s="352"/>
    </row>
    <row r="85" spans="1:1" x14ac:dyDescent="0.25">
      <c r="A85" s="352" t="s">
        <v>435</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436</v>
      </c>
      <c r="B3" s="353"/>
      <c r="C3" s="353"/>
      <c r="D3" s="353"/>
      <c r="E3" s="353"/>
      <c r="F3" s="353"/>
      <c r="G3" s="353"/>
      <c r="H3" s="350"/>
      <c r="I3" s="350"/>
      <c r="J3" s="350"/>
    </row>
    <row r="5" spans="1:10" x14ac:dyDescent="0.25">
      <c r="A5" s="352" t="s">
        <v>437</v>
      </c>
    </row>
    <row r="6" spans="1:10" x14ac:dyDescent="0.25">
      <c r="A6" t="str">
        <f>CONCATENATE(inputPrYr!D5-2," expenditures show that you finished the year with a ")</f>
        <v xml:space="preserve">2011 expenditures show that you finished the year with a </v>
      </c>
    </row>
    <row r="7" spans="1:10" x14ac:dyDescent="0.25">
      <c r="A7" t="s">
        <v>438</v>
      </c>
    </row>
    <row r="9" spans="1:10" x14ac:dyDescent="0.25">
      <c r="A9" t="s">
        <v>439</v>
      </c>
    </row>
    <row r="10" spans="1:10" x14ac:dyDescent="0.25">
      <c r="A10" t="s">
        <v>440</v>
      </c>
    </row>
    <row r="11" spans="1:10" x14ac:dyDescent="0.25">
      <c r="A11" t="s">
        <v>441</v>
      </c>
    </row>
    <row r="13" spans="1:10" x14ac:dyDescent="0.25">
      <c r="A13" s="351" t="s">
        <v>442</v>
      </c>
    </row>
    <row r="14" spans="1:10" x14ac:dyDescent="0.25">
      <c r="A14" s="351"/>
    </row>
    <row r="15" spans="1:10" x14ac:dyDescent="0.25">
      <c r="A15" s="352" t="s">
        <v>443</v>
      </c>
    </row>
    <row r="16" spans="1:10" x14ac:dyDescent="0.25">
      <c r="A16" s="352" t="s">
        <v>444</v>
      </c>
    </row>
    <row r="17" spans="1:1" x14ac:dyDescent="0.25">
      <c r="A17" s="352" t="s">
        <v>445</v>
      </c>
    </row>
    <row r="18" spans="1:1" x14ac:dyDescent="0.25">
      <c r="A18" s="352"/>
    </row>
    <row r="19" spans="1:1" x14ac:dyDescent="0.25">
      <c r="A19" s="351" t="s">
        <v>446</v>
      </c>
    </row>
    <row r="20" spans="1:1" x14ac:dyDescent="0.25">
      <c r="A20" s="351"/>
    </row>
    <row r="21" spans="1:1" x14ac:dyDescent="0.25">
      <c r="A21" s="352" t="s">
        <v>447</v>
      </c>
    </row>
    <row r="22" spans="1:1" x14ac:dyDescent="0.25">
      <c r="A22" s="352" t="s">
        <v>448</v>
      </c>
    </row>
    <row r="23" spans="1:1" x14ac:dyDescent="0.25">
      <c r="A23" s="352" t="s">
        <v>449</v>
      </c>
    </row>
    <row r="24" spans="1:1" x14ac:dyDescent="0.25">
      <c r="A24" s="352"/>
    </row>
    <row r="25" spans="1:1" x14ac:dyDescent="0.25">
      <c r="A25" s="351" t="s">
        <v>450</v>
      </c>
    </row>
    <row r="26" spans="1:1" x14ac:dyDescent="0.25">
      <c r="A26" s="351"/>
    </row>
    <row r="27" spans="1:1" x14ac:dyDescent="0.25">
      <c r="A27" s="352" t="s">
        <v>451</v>
      </c>
    </row>
    <row r="28" spans="1:1" x14ac:dyDescent="0.25">
      <c r="A28" s="352" t="s">
        <v>452</v>
      </c>
    </row>
    <row r="29" spans="1:1" x14ac:dyDescent="0.25">
      <c r="A29" s="352" t="s">
        <v>453</v>
      </c>
    </row>
    <row r="30" spans="1:1" x14ac:dyDescent="0.25">
      <c r="A30" s="352"/>
    </row>
    <row r="31" spans="1:1" x14ac:dyDescent="0.25">
      <c r="A31" s="351" t="s">
        <v>454</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455</v>
      </c>
      <c r="B35" s="352"/>
      <c r="C35" s="352"/>
      <c r="D35" s="352"/>
      <c r="E35" s="352"/>
      <c r="F35" s="352"/>
      <c r="G35" s="352"/>
      <c r="H35" s="352"/>
    </row>
    <row r="36" spans="1:8" x14ac:dyDescent="0.25">
      <c r="A36" s="352" t="s">
        <v>456</v>
      </c>
      <c r="B36" s="352"/>
      <c r="C36" s="352"/>
      <c r="D36" s="352"/>
      <c r="E36" s="352"/>
      <c r="F36" s="352"/>
      <c r="G36" s="352"/>
      <c r="H36" s="352"/>
    </row>
    <row r="37" spans="1:8" x14ac:dyDescent="0.25">
      <c r="A37" s="352" t="s">
        <v>457</v>
      </c>
      <c r="B37" s="352"/>
      <c r="C37" s="352"/>
      <c r="D37" s="352"/>
      <c r="E37" s="352"/>
      <c r="F37" s="352"/>
      <c r="G37" s="352"/>
      <c r="H37" s="352"/>
    </row>
    <row r="38" spans="1:8" x14ac:dyDescent="0.25">
      <c r="A38" s="352" t="s">
        <v>458</v>
      </c>
      <c r="B38" s="352"/>
      <c r="C38" s="352"/>
      <c r="D38" s="352"/>
      <c r="E38" s="352"/>
      <c r="F38" s="352"/>
      <c r="G38" s="352"/>
      <c r="H38" s="352"/>
    </row>
    <row r="39" spans="1:8" x14ac:dyDescent="0.25">
      <c r="A39" s="352" t="s">
        <v>459</v>
      </c>
      <c r="B39" s="352"/>
      <c r="C39" s="352"/>
      <c r="D39" s="352"/>
      <c r="E39" s="352"/>
      <c r="F39" s="352"/>
      <c r="G39" s="352"/>
      <c r="H39" s="352"/>
    </row>
    <row r="40" spans="1:8" x14ac:dyDescent="0.25">
      <c r="A40" s="352"/>
      <c r="B40" s="352"/>
      <c r="C40" s="352"/>
      <c r="D40" s="352"/>
      <c r="E40" s="352"/>
      <c r="F40" s="352"/>
      <c r="G40" s="352"/>
      <c r="H40" s="352"/>
    </row>
    <row r="41" spans="1:8" x14ac:dyDescent="0.25">
      <c r="A41" s="352" t="s">
        <v>460</v>
      </c>
      <c r="B41" s="352"/>
      <c r="C41" s="352"/>
      <c r="D41" s="352"/>
      <c r="E41" s="352"/>
      <c r="F41" s="352"/>
      <c r="G41" s="352"/>
      <c r="H41" s="352"/>
    </row>
    <row r="42" spans="1:8" x14ac:dyDescent="0.25">
      <c r="A42" s="352" t="s">
        <v>461</v>
      </c>
      <c r="B42" s="352"/>
      <c r="C42" s="352"/>
      <c r="D42" s="352"/>
      <c r="E42" s="352"/>
      <c r="F42" s="352"/>
      <c r="G42" s="352"/>
      <c r="H42" s="352"/>
    </row>
    <row r="43" spans="1:8" x14ac:dyDescent="0.25">
      <c r="A43" s="352" t="s">
        <v>462</v>
      </c>
      <c r="B43" s="352"/>
      <c r="C43" s="352"/>
      <c r="D43" s="352"/>
      <c r="E43" s="352"/>
      <c r="F43" s="352"/>
      <c r="G43" s="352"/>
      <c r="H43" s="352"/>
    </row>
    <row r="44" spans="1:8" x14ac:dyDescent="0.25">
      <c r="A44" s="352" t="s">
        <v>463</v>
      </c>
      <c r="B44" s="352"/>
      <c r="C44" s="352"/>
      <c r="D44" s="352"/>
      <c r="E44" s="352"/>
      <c r="F44" s="352"/>
      <c r="G44" s="352"/>
      <c r="H44" s="352"/>
    </row>
    <row r="45" spans="1:8" x14ac:dyDescent="0.25">
      <c r="A45" s="352"/>
      <c r="B45" s="352"/>
      <c r="C45" s="352"/>
      <c r="D45" s="352"/>
      <c r="E45" s="352"/>
      <c r="F45" s="352"/>
      <c r="G45" s="352"/>
      <c r="H45" s="352"/>
    </row>
    <row r="46" spans="1:8" x14ac:dyDescent="0.25">
      <c r="A46" s="352" t="s">
        <v>464</v>
      </c>
      <c r="B46" s="352"/>
      <c r="C46" s="352"/>
      <c r="D46" s="352"/>
      <c r="E46" s="352"/>
      <c r="F46" s="352"/>
      <c r="G46" s="352"/>
      <c r="H46" s="352"/>
    </row>
    <row r="47" spans="1:8" x14ac:dyDescent="0.25">
      <c r="A47" s="352" t="s">
        <v>465</v>
      </c>
      <c r="B47" s="352"/>
      <c r="C47" s="352"/>
      <c r="D47" s="352"/>
      <c r="E47" s="352"/>
      <c r="F47" s="352"/>
      <c r="G47" s="352"/>
      <c r="H47" s="352"/>
    </row>
    <row r="48" spans="1:8" x14ac:dyDescent="0.25">
      <c r="A48" s="352" t="s">
        <v>466</v>
      </c>
      <c r="B48" s="352"/>
      <c r="C48" s="352"/>
      <c r="D48" s="352"/>
      <c r="E48" s="352"/>
      <c r="F48" s="352"/>
      <c r="G48" s="352"/>
      <c r="H48" s="352"/>
    </row>
    <row r="49" spans="1:8" x14ac:dyDescent="0.25">
      <c r="A49" s="352" t="s">
        <v>467</v>
      </c>
      <c r="B49" s="352"/>
      <c r="C49" s="352"/>
      <c r="D49" s="352"/>
      <c r="E49" s="352"/>
      <c r="F49" s="352"/>
      <c r="G49" s="352"/>
      <c r="H49" s="352"/>
    </row>
    <row r="50" spans="1:8" x14ac:dyDescent="0.25">
      <c r="A50" s="352" t="s">
        <v>468</v>
      </c>
      <c r="B50" s="352"/>
      <c r="C50" s="352"/>
      <c r="D50" s="352"/>
      <c r="E50" s="352"/>
      <c r="F50" s="352"/>
      <c r="G50" s="352"/>
      <c r="H50" s="352"/>
    </row>
    <row r="51" spans="1:8" x14ac:dyDescent="0.25">
      <c r="A51" s="352"/>
      <c r="B51" s="352"/>
      <c r="C51" s="352"/>
      <c r="D51" s="352"/>
      <c r="E51" s="352"/>
      <c r="F51" s="352"/>
      <c r="G51" s="352"/>
      <c r="H51" s="352"/>
    </row>
    <row r="52" spans="1:8" x14ac:dyDescent="0.25">
      <c r="A52" s="351" t="s">
        <v>469</v>
      </c>
      <c r="B52" s="351"/>
      <c r="C52" s="351"/>
      <c r="D52" s="351"/>
      <c r="E52" s="351"/>
      <c r="F52" s="351"/>
      <c r="G52" s="351"/>
      <c r="H52" s="352"/>
    </row>
    <row r="53" spans="1:8" x14ac:dyDescent="0.25">
      <c r="A53" s="351" t="s">
        <v>470</v>
      </c>
      <c r="B53" s="351"/>
      <c r="C53" s="351"/>
      <c r="D53" s="351"/>
      <c r="E53" s="351"/>
      <c r="F53" s="351"/>
      <c r="G53" s="351"/>
      <c r="H53" s="352"/>
    </row>
    <row r="54" spans="1:8" x14ac:dyDescent="0.25">
      <c r="A54" s="352"/>
      <c r="B54" s="352"/>
      <c r="C54" s="352"/>
      <c r="D54" s="352"/>
      <c r="E54" s="352"/>
      <c r="F54" s="352"/>
      <c r="G54" s="352"/>
      <c r="H54" s="352"/>
    </row>
    <row r="55" spans="1:8" x14ac:dyDescent="0.25">
      <c r="A55" s="352" t="s">
        <v>471</v>
      </c>
      <c r="B55" s="352"/>
      <c r="C55" s="352"/>
      <c r="D55" s="352"/>
      <c r="E55" s="352"/>
      <c r="F55" s="352"/>
      <c r="G55" s="352"/>
      <c r="H55" s="352"/>
    </row>
    <row r="56" spans="1:8" x14ac:dyDescent="0.25">
      <c r="A56" s="352" t="s">
        <v>472</v>
      </c>
      <c r="B56" s="352"/>
      <c r="C56" s="352"/>
      <c r="D56" s="352"/>
      <c r="E56" s="352"/>
      <c r="F56" s="352"/>
      <c r="G56" s="352"/>
      <c r="H56" s="352"/>
    </row>
    <row r="57" spans="1:8" x14ac:dyDescent="0.25">
      <c r="A57" s="352" t="s">
        <v>473</v>
      </c>
      <c r="B57" s="352"/>
      <c r="C57" s="352"/>
      <c r="D57" s="352"/>
      <c r="E57" s="352"/>
      <c r="F57" s="352"/>
      <c r="G57" s="352"/>
      <c r="H57" s="352"/>
    </row>
    <row r="58" spans="1:8" x14ac:dyDescent="0.25">
      <c r="A58" s="352" t="s">
        <v>474</v>
      </c>
      <c r="B58" s="352"/>
      <c r="C58" s="352"/>
      <c r="D58" s="352"/>
      <c r="E58" s="352"/>
      <c r="F58" s="352"/>
      <c r="G58" s="352"/>
      <c r="H58" s="352"/>
    </row>
    <row r="59" spans="1:8" x14ac:dyDescent="0.25">
      <c r="A59" s="352"/>
      <c r="B59" s="352"/>
      <c r="C59" s="352"/>
      <c r="D59" s="352"/>
      <c r="E59" s="352"/>
      <c r="F59" s="352"/>
      <c r="G59" s="352"/>
      <c r="H59" s="352"/>
    </row>
    <row r="60" spans="1:8" x14ac:dyDescent="0.25">
      <c r="A60" s="352" t="s">
        <v>475</v>
      </c>
      <c r="B60" s="352"/>
      <c r="C60" s="352"/>
      <c r="D60" s="352"/>
      <c r="E60" s="352"/>
      <c r="F60" s="352"/>
      <c r="G60" s="352"/>
      <c r="H60" s="352"/>
    </row>
    <row r="61" spans="1:8" x14ac:dyDescent="0.25">
      <c r="A61" s="352" t="s">
        <v>476</v>
      </c>
      <c r="B61" s="352"/>
      <c r="C61" s="352"/>
      <c r="D61" s="352"/>
      <c r="E61" s="352"/>
      <c r="F61" s="352"/>
      <c r="G61" s="352"/>
      <c r="H61" s="352"/>
    </row>
    <row r="62" spans="1:8" x14ac:dyDescent="0.25">
      <c r="A62" s="352" t="s">
        <v>477</v>
      </c>
      <c r="B62" s="352"/>
      <c r="C62" s="352"/>
      <c r="D62" s="352"/>
      <c r="E62" s="352"/>
      <c r="F62" s="352"/>
      <c r="G62" s="352"/>
      <c r="H62" s="352"/>
    </row>
    <row r="63" spans="1:8" x14ac:dyDescent="0.25">
      <c r="A63" s="352" t="s">
        <v>478</v>
      </c>
      <c r="B63" s="352"/>
      <c r="C63" s="352"/>
      <c r="D63" s="352"/>
      <c r="E63" s="352"/>
      <c r="F63" s="352"/>
      <c r="G63" s="352"/>
      <c r="H63" s="352"/>
    </row>
    <row r="64" spans="1:8" x14ac:dyDescent="0.25">
      <c r="A64" s="352" t="s">
        <v>479</v>
      </c>
      <c r="B64" s="352"/>
      <c r="C64" s="352"/>
      <c r="D64" s="352"/>
      <c r="E64" s="352"/>
      <c r="F64" s="352"/>
      <c r="G64" s="352"/>
      <c r="H64" s="352"/>
    </row>
    <row r="65" spans="1:8" x14ac:dyDescent="0.25">
      <c r="A65" s="352" t="s">
        <v>480</v>
      </c>
      <c r="B65" s="352"/>
      <c r="C65" s="352"/>
      <c r="D65" s="352"/>
      <c r="E65" s="352"/>
      <c r="F65" s="352"/>
      <c r="G65" s="352"/>
      <c r="H65" s="352"/>
    </row>
    <row r="66" spans="1:8" x14ac:dyDescent="0.25">
      <c r="A66" s="352"/>
      <c r="B66" s="352"/>
      <c r="C66" s="352"/>
      <c r="D66" s="352"/>
      <c r="E66" s="352"/>
      <c r="F66" s="352"/>
      <c r="G66" s="352"/>
      <c r="H66" s="352"/>
    </row>
    <row r="67" spans="1:8" x14ac:dyDescent="0.25">
      <c r="A67" s="352" t="s">
        <v>481</v>
      </c>
      <c r="B67" s="352"/>
      <c r="C67" s="352"/>
      <c r="D67" s="352"/>
      <c r="E67" s="352"/>
      <c r="F67" s="352"/>
      <c r="G67" s="352"/>
      <c r="H67" s="352"/>
    </row>
    <row r="68" spans="1:8" x14ac:dyDescent="0.25">
      <c r="A68" s="352" t="s">
        <v>482</v>
      </c>
      <c r="B68" s="352"/>
      <c r="C68" s="352"/>
      <c r="D68" s="352"/>
      <c r="E68" s="352"/>
      <c r="F68" s="352"/>
      <c r="G68" s="352"/>
      <c r="H68" s="352"/>
    </row>
    <row r="69" spans="1:8" x14ac:dyDescent="0.25">
      <c r="A69" s="352" t="s">
        <v>483</v>
      </c>
      <c r="B69" s="352"/>
      <c r="C69" s="352"/>
      <c r="D69" s="352"/>
      <c r="E69" s="352"/>
      <c r="F69" s="352"/>
      <c r="G69" s="352"/>
      <c r="H69" s="352"/>
    </row>
    <row r="70" spans="1:8" x14ac:dyDescent="0.25">
      <c r="A70" s="352" t="s">
        <v>484</v>
      </c>
      <c r="B70" s="352"/>
      <c r="C70" s="352"/>
      <c r="D70" s="352"/>
      <c r="E70" s="352"/>
      <c r="F70" s="352"/>
      <c r="G70" s="352"/>
      <c r="H70" s="352"/>
    </row>
    <row r="71" spans="1:8" x14ac:dyDescent="0.25">
      <c r="A71" s="352" t="s">
        <v>485</v>
      </c>
      <c r="B71" s="352"/>
      <c r="C71" s="352"/>
      <c r="D71" s="352"/>
      <c r="E71" s="352"/>
      <c r="F71" s="352"/>
      <c r="G71" s="352"/>
      <c r="H71" s="352"/>
    </row>
    <row r="72" spans="1:8" x14ac:dyDescent="0.25">
      <c r="A72" s="352" t="s">
        <v>486</v>
      </c>
      <c r="B72" s="352"/>
      <c r="C72" s="352"/>
      <c r="D72" s="352"/>
      <c r="E72" s="352"/>
      <c r="F72" s="352"/>
      <c r="G72" s="352"/>
      <c r="H72" s="352"/>
    </row>
    <row r="73" spans="1:8" x14ac:dyDescent="0.25">
      <c r="A73" s="352" t="s">
        <v>487</v>
      </c>
      <c r="B73" s="352"/>
      <c r="C73" s="352"/>
      <c r="D73" s="352"/>
      <c r="E73" s="352"/>
      <c r="F73" s="352"/>
      <c r="G73" s="352"/>
      <c r="H73" s="352"/>
    </row>
    <row r="74" spans="1:8" x14ac:dyDescent="0.25">
      <c r="A74" s="352"/>
      <c r="B74" s="352"/>
      <c r="C74" s="352"/>
      <c r="D74" s="352"/>
      <c r="E74" s="352"/>
      <c r="F74" s="352"/>
      <c r="G74" s="352"/>
      <c r="H74" s="352"/>
    </row>
    <row r="75" spans="1:8" x14ac:dyDescent="0.25">
      <c r="A75" s="352" t="s">
        <v>488</v>
      </c>
      <c r="B75" s="352"/>
      <c r="C75" s="352"/>
      <c r="D75" s="352"/>
      <c r="E75" s="352"/>
      <c r="F75" s="352"/>
      <c r="G75" s="352"/>
      <c r="H75" s="352"/>
    </row>
    <row r="76" spans="1:8" x14ac:dyDescent="0.25">
      <c r="A76" s="352" t="s">
        <v>489</v>
      </c>
      <c r="B76" s="352"/>
      <c r="C76" s="352"/>
      <c r="D76" s="352"/>
      <c r="E76" s="352"/>
      <c r="F76" s="352"/>
      <c r="G76" s="352"/>
      <c r="H76" s="352"/>
    </row>
    <row r="77" spans="1:8" x14ac:dyDescent="0.25">
      <c r="A77" s="352" t="s">
        <v>490</v>
      </c>
      <c r="B77" s="352"/>
      <c r="C77" s="352"/>
      <c r="D77" s="352"/>
      <c r="E77" s="352"/>
      <c r="F77" s="352"/>
      <c r="G77" s="352"/>
      <c r="H77" s="352"/>
    </row>
    <row r="78" spans="1:8" x14ac:dyDescent="0.25">
      <c r="A78" s="352"/>
      <c r="B78" s="352"/>
      <c r="C78" s="352"/>
      <c r="D78" s="352"/>
      <c r="E78" s="352"/>
      <c r="F78" s="352"/>
      <c r="G78" s="352"/>
      <c r="H78" s="352"/>
    </row>
    <row r="79" spans="1:8" x14ac:dyDescent="0.25">
      <c r="A79" s="352" t="s">
        <v>435</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491</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382</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492</v>
      </c>
      <c r="I7" s="353"/>
      <c r="J7" s="353"/>
      <c r="K7" s="353"/>
      <c r="L7" s="353"/>
    </row>
    <row r="8" spans="1:12" x14ac:dyDescent="0.25">
      <c r="A8" s="352"/>
      <c r="I8" s="353"/>
      <c r="J8" s="353"/>
      <c r="K8" s="353"/>
      <c r="L8" s="353"/>
    </row>
    <row r="9" spans="1:12" x14ac:dyDescent="0.25">
      <c r="A9" s="352" t="s">
        <v>493</v>
      </c>
      <c r="I9" s="353"/>
      <c r="J9" s="353"/>
      <c r="K9" s="353"/>
      <c r="L9" s="353"/>
    </row>
    <row r="10" spans="1:12" x14ac:dyDescent="0.25">
      <c r="A10" s="352" t="s">
        <v>494</v>
      </c>
      <c r="I10" s="353"/>
      <c r="J10" s="353"/>
      <c r="K10" s="353"/>
      <c r="L10" s="353"/>
    </row>
    <row r="11" spans="1:12" x14ac:dyDescent="0.25">
      <c r="A11" s="352" t="s">
        <v>495</v>
      </c>
      <c r="I11" s="353"/>
      <c r="J11" s="353"/>
      <c r="K11" s="353"/>
      <c r="L11" s="353"/>
    </row>
    <row r="12" spans="1:12" x14ac:dyDescent="0.25">
      <c r="A12" s="352" t="s">
        <v>496</v>
      </c>
      <c r="I12" s="353"/>
      <c r="J12" s="353"/>
      <c r="K12" s="353"/>
      <c r="L12" s="353"/>
    </row>
    <row r="13" spans="1:12" x14ac:dyDescent="0.25">
      <c r="A13" s="352" t="s">
        <v>497</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498</v>
      </c>
    </row>
    <row r="16" spans="1:12" x14ac:dyDescent="0.25">
      <c r="A16" s="351" t="s">
        <v>499</v>
      </c>
    </row>
    <row r="17" spans="1:7" x14ac:dyDescent="0.25">
      <c r="A17" s="351"/>
    </row>
    <row r="18" spans="1:7" x14ac:dyDescent="0.25">
      <c r="A18" s="352" t="s">
        <v>500</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501</v>
      </c>
      <c r="B20" s="352"/>
      <c r="C20" s="352"/>
      <c r="D20" s="352"/>
      <c r="E20" s="352"/>
      <c r="F20" s="352"/>
      <c r="G20" s="352"/>
    </row>
    <row r="21" spans="1:7" x14ac:dyDescent="0.25">
      <c r="A21" s="352" t="s">
        <v>502</v>
      </c>
      <c r="B21" s="352"/>
      <c r="C21" s="352"/>
      <c r="D21" s="352"/>
      <c r="E21" s="352"/>
      <c r="F21" s="352"/>
      <c r="G21" s="352"/>
    </row>
    <row r="22" spans="1:7" x14ac:dyDescent="0.25">
      <c r="A22" s="352"/>
    </row>
    <row r="23" spans="1:7" x14ac:dyDescent="0.25">
      <c r="A23" s="351" t="s">
        <v>503</v>
      </c>
    </row>
    <row r="24" spans="1:7" x14ac:dyDescent="0.25">
      <c r="A24" s="351"/>
    </row>
    <row r="25" spans="1:7" x14ac:dyDescent="0.25">
      <c r="A25" s="352" t="s">
        <v>504</v>
      </c>
    </row>
    <row r="26" spans="1:7" x14ac:dyDescent="0.25">
      <c r="A26" s="352" t="s">
        <v>505</v>
      </c>
      <c r="B26" s="352"/>
      <c r="C26" s="352"/>
      <c r="D26" s="352"/>
      <c r="E26" s="352"/>
      <c r="F26" s="352"/>
    </row>
    <row r="27" spans="1:7" x14ac:dyDescent="0.25">
      <c r="A27" s="352" t="s">
        <v>506</v>
      </c>
      <c r="B27" s="352"/>
      <c r="C27" s="352"/>
      <c r="D27" s="352"/>
      <c r="E27" s="352"/>
      <c r="F27" s="352"/>
    </row>
    <row r="28" spans="1:7" x14ac:dyDescent="0.25">
      <c r="A28" s="352" t="s">
        <v>507</v>
      </c>
      <c r="B28" s="352"/>
      <c r="C28" s="352"/>
      <c r="D28" s="352"/>
      <c r="E28" s="352"/>
      <c r="F28" s="352"/>
    </row>
    <row r="29" spans="1:7" x14ac:dyDescent="0.25">
      <c r="A29" s="352"/>
      <c r="B29" s="352"/>
      <c r="C29" s="352"/>
      <c r="D29" s="352"/>
      <c r="E29" s="352"/>
      <c r="F29" s="352"/>
    </row>
    <row r="30" spans="1:7" x14ac:dyDescent="0.25">
      <c r="A30" s="351" t="s">
        <v>508</v>
      </c>
      <c r="B30" s="351"/>
      <c r="C30" s="351"/>
      <c r="D30" s="351"/>
      <c r="E30" s="351"/>
      <c r="F30" s="351"/>
      <c r="G30" s="351"/>
    </row>
    <row r="31" spans="1:7" x14ac:dyDescent="0.25">
      <c r="A31" s="351" t="s">
        <v>509</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510</v>
      </c>
      <c r="B34" s="352"/>
      <c r="C34" s="352"/>
      <c r="D34" s="352"/>
      <c r="E34" s="352"/>
      <c r="F34" s="352"/>
    </row>
    <row r="35" spans="1:6" x14ac:dyDescent="0.25">
      <c r="A35" s="366" t="s">
        <v>396</v>
      </c>
      <c r="B35" s="352"/>
      <c r="C35" s="352"/>
      <c r="D35" s="352"/>
      <c r="E35" s="352"/>
      <c r="F35" s="352"/>
    </row>
    <row r="36" spans="1:6" x14ac:dyDescent="0.25">
      <c r="A36" s="366" t="s">
        <v>397</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398</v>
      </c>
      <c r="B39" s="352"/>
      <c r="C39" s="352"/>
      <c r="D39" s="352"/>
      <c r="E39" s="352"/>
      <c r="F39" s="352"/>
    </row>
    <row r="40" spans="1:6" x14ac:dyDescent="0.25">
      <c r="A40" s="366" t="s">
        <v>399</v>
      </c>
      <c r="B40" s="352"/>
      <c r="C40" s="352"/>
      <c r="D40" s="352"/>
      <c r="E40" s="352"/>
      <c r="F40" s="352"/>
    </row>
    <row r="41" spans="1:6" x14ac:dyDescent="0.25">
      <c r="A41" s="366"/>
      <c r="B41" s="352"/>
      <c r="C41" s="352"/>
      <c r="D41" s="352"/>
      <c r="E41" s="352"/>
      <c r="F41" s="352"/>
    </row>
    <row r="42" spans="1:6" x14ac:dyDescent="0.25">
      <c r="A42" s="366" t="s">
        <v>400</v>
      </c>
      <c r="B42" s="352"/>
      <c r="C42" s="352"/>
      <c r="D42" s="352"/>
      <c r="E42" s="352"/>
      <c r="F42" s="352"/>
    </row>
    <row r="43" spans="1:6" x14ac:dyDescent="0.25">
      <c r="A43" s="366" t="s">
        <v>586</v>
      </c>
      <c r="B43" s="352"/>
      <c r="C43" s="352"/>
      <c r="D43" s="352"/>
      <c r="E43" s="352"/>
      <c r="F43" s="352"/>
    </row>
    <row r="44" spans="1:6" x14ac:dyDescent="0.25">
      <c r="A44" s="366" t="s">
        <v>587</v>
      </c>
      <c r="B44" s="352"/>
      <c r="C44" s="352"/>
      <c r="D44" s="352"/>
      <c r="E44" s="352"/>
      <c r="F44" s="352"/>
    </row>
    <row r="45" spans="1:6" x14ac:dyDescent="0.25">
      <c r="A45" s="366" t="s">
        <v>511</v>
      </c>
      <c r="B45" s="352"/>
      <c r="C45" s="352"/>
      <c r="D45" s="352"/>
      <c r="E45" s="352"/>
      <c r="F45" s="352"/>
    </row>
    <row r="46" spans="1:6" x14ac:dyDescent="0.25">
      <c r="A46" s="366" t="s">
        <v>402</v>
      </c>
      <c r="B46" s="352"/>
      <c r="C46" s="352"/>
      <c r="D46" s="352"/>
      <c r="E46" s="352"/>
      <c r="F46" s="352"/>
    </row>
    <row r="47" spans="1:6" x14ac:dyDescent="0.25">
      <c r="A47" s="366" t="s">
        <v>512</v>
      </c>
      <c r="B47" s="352"/>
      <c r="C47" s="352"/>
      <c r="D47" s="352"/>
      <c r="E47" s="352"/>
      <c r="F47" s="352"/>
    </row>
    <row r="48" spans="1:6" x14ac:dyDescent="0.25">
      <c r="A48" s="366" t="s">
        <v>513</v>
      </c>
      <c r="B48" s="352"/>
      <c r="C48" s="352"/>
      <c r="D48" s="352"/>
      <c r="E48" s="352"/>
      <c r="F48" s="352"/>
    </row>
    <row r="49" spans="1:6" x14ac:dyDescent="0.25">
      <c r="A49" s="366" t="s">
        <v>405</v>
      </c>
      <c r="B49" s="352"/>
      <c r="C49" s="352"/>
      <c r="D49" s="352"/>
      <c r="E49" s="352"/>
      <c r="F49" s="352"/>
    </row>
    <row r="50" spans="1:6" x14ac:dyDescent="0.25">
      <c r="A50" s="366"/>
      <c r="B50" s="352"/>
      <c r="C50" s="352"/>
      <c r="D50" s="352"/>
      <c r="E50" s="352"/>
      <c r="F50" s="352"/>
    </row>
    <row r="51" spans="1:6" x14ac:dyDescent="0.25">
      <c r="A51" s="366" t="s">
        <v>406</v>
      </c>
      <c r="B51" s="352"/>
      <c r="C51" s="352"/>
      <c r="D51" s="352"/>
      <c r="E51" s="352"/>
      <c r="F51" s="352"/>
    </row>
    <row r="52" spans="1:6" x14ac:dyDescent="0.25">
      <c r="A52" s="366" t="s">
        <v>407</v>
      </c>
      <c r="B52" s="352"/>
      <c r="C52" s="352"/>
      <c r="D52" s="352"/>
      <c r="E52" s="352"/>
      <c r="F52" s="352"/>
    </row>
    <row r="53" spans="1:6" x14ac:dyDescent="0.25">
      <c r="A53" s="366" t="s">
        <v>408</v>
      </c>
      <c r="B53" s="352"/>
      <c r="C53" s="352"/>
      <c r="D53" s="352"/>
      <c r="E53" s="352"/>
      <c r="F53" s="352"/>
    </row>
    <row r="54" spans="1:6" x14ac:dyDescent="0.25">
      <c r="A54" s="366"/>
      <c r="B54" s="352"/>
      <c r="C54" s="352"/>
      <c r="D54" s="352"/>
      <c r="E54" s="352"/>
      <c r="F54" s="352"/>
    </row>
    <row r="55" spans="1:6" x14ac:dyDescent="0.25">
      <c r="A55" s="366" t="s">
        <v>514</v>
      </c>
      <c r="B55" s="352"/>
      <c r="C55" s="352"/>
      <c r="D55" s="352"/>
      <c r="E55" s="352"/>
      <c r="F55" s="352"/>
    </row>
    <row r="56" spans="1:6" x14ac:dyDescent="0.25">
      <c r="A56" s="366" t="s">
        <v>515</v>
      </c>
      <c r="B56" s="352"/>
      <c r="C56" s="352"/>
      <c r="D56" s="352"/>
      <c r="E56" s="352"/>
      <c r="F56" s="352"/>
    </row>
    <row r="57" spans="1:6" x14ac:dyDescent="0.25">
      <c r="A57" s="366" t="s">
        <v>516</v>
      </c>
      <c r="B57" s="352"/>
      <c r="C57" s="352"/>
      <c r="D57" s="352"/>
      <c r="E57" s="352"/>
      <c r="F57" s="352"/>
    </row>
    <row r="58" spans="1:6" x14ac:dyDescent="0.25">
      <c r="A58" s="366" t="s">
        <v>517</v>
      </c>
      <c r="B58" s="352"/>
      <c r="C58" s="352"/>
      <c r="D58" s="352"/>
      <c r="E58" s="352"/>
      <c r="F58" s="352"/>
    </row>
    <row r="59" spans="1:6" x14ac:dyDescent="0.25">
      <c r="A59" s="366" t="s">
        <v>518</v>
      </c>
      <c r="B59" s="352"/>
      <c r="C59" s="352"/>
      <c r="D59" s="352"/>
      <c r="E59" s="352"/>
      <c r="F59" s="352"/>
    </row>
    <row r="60" spans="1:6" x14ac:dyDescent="0.25">
      <c r="A60" s="366"/>
      <c r="B60" s="352"/>
      <c r="C60" s="352"/>
      <c r="D60" s="352"/>
      <c r="E60" s="352"/>
      <c r="F60" s="352"/>
    </row>
    <row r="61" spans="1:6" x14ac:dyDescent="0.25">
      <c r="A61" s="367" t="s">
        <v>519</v>
      </c>
      <c r="B61" s="352"/>
      <c r="C61" s="352"/>
      <c r="D61" s="352"/>
      <c r="E61" s="352"/>
      <c r="F61" s="352"/>
    </row>
    <row r="62" spans="1:6" x14ac:dyDescent="0.25">
      <c r="A62" s="367" t="s">
        <v>520</v>
      </c>
      <c r="B62" s="352"/>
      <c r="C62" s="352"/>
      <c r="D62" s="352"/>
      <c r="E62" s="352"/>
      <c r="F62" s="352"/>
    </row>
    <row r="63" spans="1:6" x14ac:dyDescent="0.25">
      <c r="A63" s="367" t="s">
        <v>521</v>
      </c>
      <c r="B63" s="352"/>
      <c r="C63" s="352"/>
      <c r="D63" s="352"/>
      <c r="E63" s="352"/>
      <c r="F63" s="352"/>
    </row>
    <row r="64" spans="1:6" x14ac:dyDescent="0.25">
      <c r="A64" s="367" t="s">
        <v>522</v>
      </c>
    </row>
    <row r="65" spans="1:1" x14ac:dyDescent="0.25">
      <c r="A65" s="367" t="s">
        <v>523</v>
      </c>
    </row>
    <row r="66" spans="1:1" x14ac:dyDescent="0.25">
      <c r="A66" s="367" t="s">
        <v>524</v>
      </c>
    </row>
    <row r="68" spans="1:1" x14ac:dyDescent="0.25">
      <c r="A68" s="352" t="s">
        <v>525</v>
      </c>
    </row>
    <row r="69" spans="1:1" x14ac:dyDescent="0.25">
      <c r="A69" s="352" t="s">
        <v>526</v>
      </c>
    </row>
    <row r="70" spans="1:1" x14ac:dyDescent="0.25">
      <c r="A70" s="352" t="s">
        <v>527</v>
      </c>
    </row>
    <row r="71" spans="1:1" x14ac:dyDescent="0.25">
      <c r="A71" s="352" t="s">
        <v>528</v>
      </c>
    </row>
    <row r="72" spans="1:1" x14ac:dyDescent="0.25">
      <c r="A72" s="352" t="s">
        <v>529</v>
      </c>
    </row>
    <row r="73" spans="1:1" x14ac:dyDescent="0.25">
      <c r="A73" s="352" t="s">
        <v>530</v>
      </c>
    </row>
    <row r="75" spans="1:1" x14ac:dyDescent="0.25">
      <c r="A75" s="352" t="s">
        <v>435</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531</v>
      </c>
      <c r="B3" s="353"/>
      <c r="C3" s="353"/>
      <c r="D3" s="353"/>
      <c r="E3" s="353"/>
      <c r="F3" s="353"/>
      <c r="G3" s="353"/>
    </row>
    <row r="4" spans="1:7" x14ac:dyDescent="0.25">
      <c r="A4" s="353"/>
      <c r="B4" s="353"/>
      <c r="C4" s="353"/>
      <c r="D4" s="353"/>
      <c r="E4" s="353"/>
      <c r="F4" s="353"/>
      <c r="G4" s="353"/>
    </row>
    <row r="5" spans="1:7" x14ac:dyDescent="0.25">
      <c r="A5" s="352" t="s">
        <v>437</v>
      </c>
    </row>
    <row r="6" spans="1:7" x14ac:dyDescent="0.25">
      <c r="A6" s="352" t="str">
        <f>CONCATENATE(inputPrYr!D5," estimated expenditures show that at the end of this year")</f>
        <v>2013 estimated expenditures show that at the end of this year</v>
      </c>
    </row>
    <row r="7" spans="1:7" x14ac:dyDescent="0.25">
      <c r="A7" s="352" t="s">
        <v>532</v>
      </c>
    </row>
    <row r="8" spans="1:7" x14ac:dyDescent="0.25">
      <c r="A8" s="352" t="s">
        <v>533</v>
      </c>
    </row>
    <row r="10" spans="1:7" x14ac:dyDescent="0.25">
      <c r="A10" t="s">
        <v>439</v>
      </c>
    </row>
    <row r="11" spans="1:7" x14ac:dyDescent="0.25">
      <c r="A11" t="s">
        <v>440</v>
      </c>
    </row>
    <row r="12" spans="1:7" x14ac:dyDescent="0.25">
      <c r="A12" t="s">
        <v>441</v>
      </c>
    </row>
    <row r="13" spans="1:7" x14ac:dyDescent="0.25">
      <c r="A13" s="353"/>
      <c r="B13" s="353"/>
      <c r="C13" s="353"/>
      <c r="D13" s="353"/>
      <c r="E13" s="353"/>
      <c r="F13" s="353"/>
      <c r="G13" s="353"/>
    </row>
    <row r="14" spans="1:7" x14ac:dyDescent="0.25">
      <c r="A14" s="351" t="s">
        <v>534</v>
      </c>
    </row>
    <row r="15" spans="1:7" x14ac:dyDescent="0.25">
      <c r="A15" s="352"/>
    </row>
    <row r="16" spans="1:7" x14ac:dyDescent="0.25">
      <c r="A16" s="352" t="s">
        <v>535</v>
      </c>
    </row>
    <row r="17" spans="1:7" x14ac:dyDescent="0.25">
      <c r="A17" s="352" t="s">
        <v>536</v>
      </c>
    </row>
    <row r="18" spans="1:7" x14ac:dyDescent="0.25">
      <c r="A18" s="352" t="s">
        <v>537</v>
      </c>
    </row>
    <row r="19" spans="1:7" x14ac:dyDescent="0.25">
      <c r="A19" s="352"/>
    </row>
    <row r="20" spans="1:7" x14ac:dyDescent="0.25">
      <c r="A20" s="352" t="s">
        <v>538</v>
      </c>
    </row>
    <row r="21" spans="1:7" x14ac:dyDescent="0.25">
      <c r="A21" s="352" t="s">
        <v>539</v>
      </c>
    </row>
    <row r="22" spans="1:7" x14ac:dyDescent="0.25">
      <c r="A22" s="352" t="s">
        <v>540</v>
      </c>
    </row>
    <row r="23" spans="1:7" x14ac:dyDescent="0.25">
      <c r="A23" s="352" t="s">
        <v>541</v>
      </c>
    </row>
    <row r="24" spans="1:7" x14ac:dyDescent="0.25">
      <c r="A24" s="352"/>
    </row>
    <row r="25" spans="1:7" x14ac:dyDescent="0.25">
      <c r="A25" s="351" t="s">
        <v>503</v>
      </c>
    </row>
    <row r="26" spans="1:7" x14ac:dyDescent="0.25">
      <c r="A26" s="351"/>
    </row>
    <row r="27" spans="1:7" x14ac:dyDescent="0.25">
      <c r="A27" s="352" t="s">
        <v>504</v>
      </c>
    </row>
    <row r="28" spans="1:7" x14ac:dyDescent="0.25">
      <c r="A28" s="352" t="s">
        <v>505</v>
      </c>
      <c r="B28" s="352"/>
      <c r="C28" s="352"/>
      <c r="D28" s="352"/>
      <c r="E28" s="352"/>
      <c r="F28" s="352"/>
    </row>
    <row r="29" spans="1:7" x14ac:dyDescent="0.25">
      <c r="A29" s="352" t="s">
        <v>506</v>
      </c>
      <c r="B29" s="352"/>
      <c r="C29" s="352"/>
      <c r="D29" s="352"/>
      <c r="E29" s="352"/>
      <c r="F29" s="352"/>
    </row>
    <row r="30" spans="1:7" x14ac:dyDescent="0.25">
      <c r="A30" s="352" t="s">
        <v>507</v>
      </c>
      <c r="B30" s="352"/>
      <c r="C30" s="352"/>
      <c r="D30" s="352"/>
      <c r="E30" s="352"/>
      <c r="F30" s="352"/>
    </row>
    <row r="31" spans="1:7" x14ac:dyDescent="0.25">
      <c r="A31" s="352"/>
    </row>
    <row r="32" spans="1:7" x14ac:dyDescent="0.25">
      <c r="A32" s="351" t="s">
        <v>508</v>
      </c>
      <c r="B32" s="351"/>
      <c r="C32" s="351"/>
      <c r="D32" s="351"/>
      <c r="E32" s="351"/>
      <c r="F32" s="351"/>
      <c r="G32" s="351"/>
    </row>
    <row r="33" spans="1:7" x14ac:dyDescent="0.25">
      <c r="A33" s="351" t="s">
        <v>509</v>
      </c>
      <c r="B33" s="351"/>
      <c r="C33" s="351"/>
      <c r="D33" s="351"/>
      <c r="E33" s="351"/>
      <c r="F33" s="351"/>
      <c r="G33" s="351"/>
    </row>
    <row r="34" spans="1:7" x14ac:dyDescent="0.25">
      <c r="A34" s="351"/>
      <c r="B34" s="351"/>
      <c r="C34" s="351"/>
      <c r="D34" s="351"/>
      <c r="E34" s="351"/>
      <c r="F34" s="351"/>
      <c r="G34" s="351"/>
    </row>
    <row r="35" spans="1:7" x14ac:dyDescent="0.25">
      <c r="A35" s="352" t="s">
        <v>542</v>
      </c>
      <c r="B35" s="352"/>
      <c r="C35" s="352"/>
      <c r="D35" s="352"/>
      <c r="E35" s="352"/>
      <c r="F35" s="352"/>
      <c r="G35" s="352"/>
    </row>
    <row r="36" spans="1:7" x14ac:dyDescent="0.25">
      <c r="A36" s="352" t="s">
        <v>543</v>
      </c>
      <c r="B36" s="352"/>
      <c r="C36" s="352"/>
      <c r="D36" s="352"/>
      <c r="E36" s="352"/>
      <c r="F36" s="352"/>
      <c r="G36" s="352"/>
    </row>
    <row r="37" spans="1:7" x14ac:dyDescent="0.25">
      <c r="A37" s="352" t="s">
        <v>544</v>
      </c>
      <c r="B37" s="352"/>
      <c r="C37" s="352"/>
      <c r="D37" s="352"/>
      <c r="E37" s="352"/>
      <c r="F37" s="352"/>
      <c r="G37" s="352"/>
    </row>
    <row r="38" spans="1:7" x14ac:dyDescent="0.25">
      <c r="A38" s="352" t="s">
        <v>545</v>
      </c>
      <c r="B38" s="352"/>
      <c r="C38" s="352"/>
      <c r="D38" s="352"/>
      <c r="E38" s="352"/>
      <c r="F38" s="352"/>
      <c r="G38" s="352"/>
    </row>
    <row r="39" spans="1:7" x14ac:dyDescent="0.25">
      <c r="A39" s="352" t="s">
        <v>546</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510</v>
      </c>
      <c r="B42" s="352"/>
      <c r="C42" s="352"/>
      <c r="D42" s="352"/>
      <c r="E42" s="352"/>
      <c r="F42" s="352"/>
    </row>
    <row r="43" spans="1:7" x14ac:dyDescent="0.25">
      <c r="A43" s="366" t="s">
        <v>396</v>
      </c>
      <c r="B43" s="352"/>
      <c r="C43" s="352"/>
      <c r="D43" s="352"/>
      <c r="E43" s="352"/>
      <c r="F43" s="352"/>
    </row>
    <row r="44" spans="1:7" x14ac:dyDescent="0.25">
      <c r="A44" s="366" t="s">
        <v>397</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398</v>
      </c>
      <c r="B47" s="352"/>
      <c r="C47" s="352"/>
      <c r="D47" s="352"/>
      <c r="E47" s="352"/>
      <c r="F47" s="352"/>
    </row>
    <row r="48" spans="1:7" x14ac:dyDescent="0.25">
      <c r="A48" s="366" t="s">
        <v>399</v>
      </c>
      <c r="B48" s="352"/>
      <c r="C48" s="352"/>
      <c r="D48" s="352"/>
      <c r="E48" s="352"/>
      <c r="F48" s="352"/>
    </row>
    <row r="49" spans="1:7" x14ac:dyDescent="0.25">
      <c r="A49" s="352"/>
      <c r="B49" s="352"/>
      <c r="C49" s="352"/>
      <c r="D49" s="352"/>
      <c r="E49" s="352"/>
      <c r="F49" s="352"/>
      <c r="G49" s="352"/>
    </row>
    <row r="50" spans="1:7" x14ac:dyDescent="0.25">
      <c r="A50" s="352" t="s">
        <v>464</v>
      </c>
      <c r="B50" s="352"/>
      <c r="C50" s="352"/>
      <c r="D50" s="352"/>
      <c r="E50" s="352"/>
      <c r="F50" s="352"/>
      <c r="G50" s="352"/>
    </row>
    <row r="51" spans="1:7" x14ac:dyDescent="0.25">
      <c r="A51" s="352" t="s">
        <v>465</v>
      </c>
      <c r="B51" s="352"/>
      <c r="C51" s="352"/>
      <c r="D51" s="352"/>
      <c r="E51" s="352"/>
      <c r="F51" s="352"/>
      <c r="G51" s="352"/>
    </row>
    <row r="52" spans="1:7" x14ac:dyDescent="0.25">
      <c r="A52" s="352" t="s">
        <v>466</v>
      </c>
      <c r="B52" s="352"/>
      <c r="C52" s="352"/>
      <c r="D52" s="352"/>
      <c r="E52" s="352"/>
      <c r="F52" s="352"/>
      <c r="G52" s="352"/>
    </row>
    <row r="53" spans="1:7" x14ac:dyDescent="0.25">
      <c r="A53" s="352" t="s">
        <v>467</v>
      </c>
      <c r="B53" s="352"/>
      <c r="C53" s="352"/>
      <c r="D53" s="352"/>
      <c r="E53" s="352"/>
      <c r="F53" s="352"/>
      <c r="G53" s="352"/>
    </row>
    <row r="54" spans="1:7" x14ac:dyDescent="0.25">
      <c r="A54" s="352" t="s">
        <v>468</v>
      </c>
      <c r="B54" s="352"/>
      <c r="C54" s="352"/>
      <c r="D54" s="352"/>
      <c r="E54" s="352"/>
      <c r="F54" s="352"/>
      <c r="G54" s="352"/>
    </row>
    <row r="55" spans="1:7" x14ac:dyDescent="0.25">
      <c r="A55" s="352"/>
      <c r="B55" s="352"/>
      <c r="C55" s="352"/>
      <c r="D55" s="352"/>
      <c r="E55" s="352"/>
      <c r="F55" s="352"/>
      <c r="G55" s="352"/>
    </row>
    <row r="56" spans="1:7" x14ac:dyDescent="0.25">
      <c r="A56" s="366" t="s">
        <v>406</v>
      </c>
      <c r="B56" s="352"/>
      <c r="C56" s="352"/>
      <c r="D56" s="352"/>
      <c r="E56" s="352"/>
      <c r="F56" s="352"/>
    </row>
    <row r="57" spans="1:7" x14ac:dyDescent="0.25">
      <c r="A57" s="366" t="s">
        <v>407</v>
      </c>
      <c r="B57" s="352"/>
      <c r="C57" s="352"/>
      <c r="D57" s="352"/>
      <c r="E57" s="352"/>
      <c r="F57" s="352"/>
    </row>
    <row r="58" spans="1:7" x14ac:dyDescent="0.25">
      <c r="A58" s="366" t="s">
        <v>408</v>
      </c>
      <c r="B58" s="352"/>
      <c r="C58" s="352"/>
      <c r="D58" s="352"/>
      <c r="E58" s="352"/>
      <c r="F58" s="352"/>
    </row>
    <row r="59" spans="1:7" x14ac:dyDescent="0.25">
      <c r="A59" s="366"/>
      <c r="B59" s="352"/>
      <c r="C59" s="352"/>
      <c r="D59" s="352"/>
      <c r="E59" s="352"/>
      <c r="F59" s="352"/>
    </row>
    <row r="60" spans="1:7" x14ac:dyDescent="0.25">
      <c r="A60" s="352" t="s">
        <v>547</v>
      </c>
      <c r="B60" s="352"/>
      <c r="C60" s="352"/>
      <c r="D60" s="352"/>
      <c r="E60" s="352"/>
      <c r="F60" s="352"/>
      <c r="G60" s="352"/>
    </row>
    <row r="61" spans="1:7" x14ac:dyDescent="0.25">
      <c r="A61" s="352" t="s">
        <v>548</v>
      </c>
      <c r="B61" s="352"/>
      <c r="C61" s="352"/>
      <c r="D61" s="352"/>
      <c r="E61" s="352"/>
      <c r="F61" s="352"/>
      <c r="G61" s="352"/>
    </row>
    <row r="62" spans="1:7" x14ac:dyDescent="0.25">
      <c r="A62" s="352" t="s">
        <v>549</v>
      </c>
      <c r="B62" s="352"/>
      <c r="C62" s="352"/>
      <c r="D62" s="352"/>
      <c r="E62" s="352"/>
      <c r="F62" s="352"/>
      <c r="G62" s="352"/>
    </row>
    <row r="63" spans="1:7" x14ac:dyDescent="0.25">
      <c r="A63" s="352" t="s">
        <v>550</v>
      </c>
      <c r="B63" s="352"/>
      <c r="C63" s="352"/>
      <c r="D63" s="352"/>
      <c r="E63" s="352"/>
      <c r="F63" s="352"/>
      <c r="G63" s="352"/>
    </row>
    <row r="64" spans="1:7" x14ac:dyDescent="0.25">
      <c r="A64" s="352" t="s">
        <v>551</v>
      </c>
      <c r="B64" s="352"/>
      <c r="C64" s="352"/>
      <c r="D64" s="352"/>
      <c r="E64" s="352"/>
      <c r="F64" s="352"/>
      <c r="G64" s="352"/>
    </row>
    <row r="66" spans="1:6" x14ac:dyDescent="0.25">
      <c r="A66" s="366" t="s">
        <v>514</v>
      </c>
      <c r="B66" s="352"/>
      <c r="C66" s="352"/>
      <c r="D66" s="352"/>
      <c r="E66" s="352"/>
      <c r="F66" s="352"/>
    </row>
    <row r="67" spans="1:6" x14ac:dyDescent="0.25">
      <c r="A67" s="366" t="s">
        <v>515</v>
      </c>
      <c r="B67" s="352"/>
      <c r="C67" s="352"/>
      <c r="D67" s="352"/>
      <c r="E67" s="352"/>
      <c r="F67" s="352"/>
    </row>
    <row r="68" spans="1:6" x14ac:dyDescent="0.25">
      <c r="A68" s="366" t="s">
        <v>516</v>
      </c>
      <c r="B68" s="352"/>
      <c r="C68" s="352"/>
      <c r="D68" s="352"/>
      <c r="E68" s="352"/>
      <c r="F68" s="352"/>
    </row>
    <row r="69" spans="1:6" x14ac:dyDescent="0.25">
      <c r="A69" s="366" t="s">
        <v>517</v>
      </c>
      <c r="B69" s="352"/>
      <c r="C69" s="352"/>
      <c r="D69" s="352"/>
      <c r="E69" s="352"/>
      <c r="F69" s="352"/>
    </row>
    <row r="70" spans="1:6" x14ac:dyDescent="0.25">
      <c r="A70" s="366" t="s">
        <v>518</v>
      </c>
      <c r="B70" s="352"/>
      <c r="C70" s="352"/>
      <c r="D70" s="352"/>
      <c r="E70" s="352"/>
      <c r="F70" s="352"/>
    </row>
    <row r="71" spans="1:6" x14ac:dyDescent="0.25">
      <c r="A71" s="352"/>
    </row>
    <row r="72" spans="1:6" x14ac:dyDescent="0.25">
      <c r="A72" s="352" t="s">
        <v>435</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552</v>
      </c>
      <c r="B3" s="353"/>
      <c r="C3" s="353"/>
      <c r="D3" s="353"/>
      <c r="E3" s="353"/>
      <c r="F3" s="353"/>
      <c r="G3" s="353"/>
    </row>
    <row r="4" spans="1:7" x14ac:dyDescent="0.25">
      <c r="A4" s="353" t="s">
        <v>553</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382</v>
      </c>
    </row>
    <row r="8" spans="1:7" x14ac:dyDescent="0.25">
      <c r="A8" s="352" t="str">
        <f>CONCATENATE("estimated ",inputPrYr!D5," 'total expenditures' exceed your ",inputPrYr!D5,"")</f>
        <v>estimated 2013 'total expenditures' exceed your 2013</v>
      </c>
    </row>
    <row r="9" spans="1:7" x14ac:dyDescent="0.25">
      <c r="A9" s="369" t="s">
        <v>554</v>
      </c>
    </row>
    <row r="10" spans="1:7" x14ac:dyDescent="0.25">
      <c r="A10" s="352"/>
    </row>
    <row r="11" spans="1:7" x14ac:dyDescent="0.25">
      <c r="A11" s="352" t="s">
        <v>555</v>
      </c>
    </row>
    <row r="12" spans="1:7" x14ac:dyDescent="0.25">
      <c r="A12" s="352" t="s">
        <v>556</v>
      </c>
    </row>
    <row r="13" spans="1:7" x14ac:dyDescent="0.25">
      <c r="A13" s="352" t="s">
        <v>557</v>
      </c>
    </row>
    <row r="14" spans="1:7" x14ac:dyDescent="0.25">
      <c r="A14" s="352"/>
    </row>
    <row r="15" spans="1:7" x14ac:dyDescent="0.25">
      <c r="A15" s="351" t="s">
        <v>558</v>
      </c>
    </row>
    <row r="16" spans="1:7" x14ac:dyDescent="0.25">
      <c r="A16" s="353"/>
      <c r="B16" s="353"/>
      <c r="C16" s="353"/>
      <c r="D16" s="353"/>
      <c r="E16" s="353"/>
      <c r="F16" s="353"/>
      <c r="G16" s="353"/>
    </row>
    <row r="17" spans="1:8" x14ac:dyDescent="0.25">
      <c r="A17" s="370" t="s">
        <v>559</v>
      </c>
      <c r="B17" s="347"/>
      <c r="C17" s="347"/>
      <c r="D17" s="347"/>
      <c r="E17" s="347"/>
      <c r="F17" s="347"/>
      <c r="G17" s="347"/>
      <c r="H17" s="347"/>
    </row>
    <row r="18" spans="1:8" x14ac:dyDescent="0.25">
      <c r="A18" s="352" t="s">
        <v>560</v>
      </c>
      <c r="B18" s="371"/>
      <c r="C18" s="371"/>
      <c r="D18" s="371"/>
      <c r="E18" s="371"/>
      <c r="F18" s="371"/>
      <c r="G18" s="371"/>
    </row>
    <row r="19" spans="1:8" x14ac:dyDescent="0.25">
      <c r="A19" s="352" t="s">
        <v>561</v>
      </c>
    </row>
    <row r="20" spans="1:8" x14ac:dyDescent="0.25">
      <c r="A20" s="352" t="s">
        <v>562</v>
      </c>
    </row>
    <row r="22" spans="1:8" x14ac:dyDescent="0.25">
      <c r="A22" s="351" t="s">
        <v>563</v>
      </c>
    </row>
    <row r="24" spans="1:8" x14ac:dyDescent="0.25">
      <c r="A24" s="352" t="s">
        <v>564</v>
      </c>
    </row>
    <row r="25" spans="1:8" x14ac:dyDescent="0.25">
      <c r="A25" s="352" t="s">
        <v>565</v>
      </c>
    </row>
    <row r="26" spans="1:8" x14ac:dyDescent="0.25">
      <c r="A26" s="352" t="s">
        <v>566</v>
      </c>
    </row>
    <row r="28" spans="1:8" x14ac:dyDescent="0.25">
      <c r="A28" s="351" t="s">
        <v>567</v>
      </c>
    </row>
    <row r="30" spans="1:8" x14ac:dyDescent="0.25">
      <c r="A30" t="s">
        <v>568</v>
      </c>
    </row>
    <row r="31" spans="1:8" x14ac:dyDescent="0.25">
      <c r="A31" t="s">
        <v>569</v>
      </c>
    </row>
    <row r="32" spans="1:8" x14ac:dyDescent="0.25">
      <c r="A32" t="s">
        <v>570</v>
      </c>
    </row>
    <row r="33" spans="1:1" x14ac:dyDescent="0.25">
      <c r="A33" s="352" t="s">
        <v>571</v>
      </c>
    </row>
    <row r="35" spans="1:1" x14ac:dyDescent="0.25">
      <c r="A35" t="s">
        <v>572</v>
      </c>
    </row>
    <row r="36" spans="1:1" x14ac:dyDescent="0.25">
      <c r="A36" t="s">
        <v>573</v>
      </c>
    </row>
    <row r="37" spans="1:1" x14ac:dyDescent="0.25">
      <c r="A37" t="s">
        <v>574</v>
      </c>
    </row>
    <row r="38" spans="1:1" x14ac:dyDescent="0.25">
      <c r="A38" t="s">
        <v>575</v>
      </c>
    </row>
    <row r="40" spans="1:1" x14ac:dyDescent="0.25">
      <c r="A40" t="s">
        <v>576</v>
      </c>
    </row>
    <row r="41" spans="1:1" x14ac:dyDescent="0.25">
      <c r="A41" t="s">
        <v>577</v>
      </c>
    </row>
    <row r="42" spans="1:1" x14ac:dyDescent="0.25">
      <c r="A42" t="s">
        <v>578</v>
      </c>
    </row>
    <row r="43" spans="1:1" x14ac:dyDescent="0.25">
      <c r="A43" t="s">
        <v>579</v>
      </c>
    </row>
    <row r="44" spans="1:1" x14ac:dyDescent="0.25">
      <c r="A44" t="s">
        <v>580</v>
      </c>
    </row>
    <row r="45" spans="1:1" x14ac:dyDescent="0.25">
      <c r="A45" t="s">
        <v>581</v>
      </c>
    </row>
    <row r="47" spans="1:1" x14ac:dyDescent="0.25">
      <c r="A47" t="s">
        <v>582</v>
      </c>
    </row>
    <row r="48" spans="1:1" x14ac:dyDescent="0.25">
      <c r="A48" t="s">
        <v>583</v>
      </c>
    </row>
    <row r="49" spans="1:1" x14ac:dyDescent="0.25">
      <c r="A49" s="352" t="s">
        <v>584</v>
      </c>
    </row>
    <row r="50" spans="1:1" x14ac:dyDescent="0.25">
      <c r="A50" s="352" t="s">
        <v>585</v>
      </c>
    </row>
    <row r="52" spans="1:1" x14ac:dyDescent="0.25">
      <c r="A52" t="s">
        <v>435</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8" t="s">
        <v>626</v>
      </c>
      <c r="C6" s="859"/>
      <c r="D6" s="859"/>
      <c r="E6" s="859"/>
      <c r="F6" s="859"/>
      <c r="G6" s="859"/>
      <c r="H6" s="859"/>
      <c r="I6" s="859"/>
      <c r="J6" s="859"/>
      <c r="K6" s="859"/>
      <c r="L6" s="409"/>
    </row>
    <row r="7" spans="1:12" ht="40.5" customHeight="1" x14ac:dyDescent="0.2">
      <c r="A7" s="406"/>
      <c r="B7" s="860" t="s">
        <v>627</v>
      </c>
      <c r="C7" s="861"/>
      <c r="D7" s="861"/>
      <c r="E7" s="861"/>
      <c r="F7" s="861"/>
      <c r="G7" s="861"/>
      <c r="H7" s="861"/>
      <c r="I7" s="861"/>
      <c r="J7" s="861"/>
      <c r="K7" s="861"/>
      <c r="L7" s="406"/>
    </row>
    <row r="8" spans="1:12" x14ac:dyDescent="0.2">
      <c r="A8" s="406"/>
      <c r="B8" s="862" t="s">
        <v>628</v>
      </c>
      <c r="C8" s="862"/>
      <c r="D8" s="862"/>
      <c r="E8" s="862"/>
      <c r="F8" s="862"/>
      <c r="G8" s="862"/>
      <c r="H8" s="862"/>
      <c r="I8" s="862"/>
      <c r="J8" s="862"/>
      <c r="K8" s="862"/>
      <c r="L8" s="406"/>
    </row>
    <row r="9" spans="1:12" x14ac:dyDescent="0.2">
      <c r="A9" s="406"/>
      <c r="L9" s="406"/>
    </row>
    <row r="10" spans="1:12" x14ac:dyDescent="0.2">
      <c r="A10" s="406"/>
      <c r="B10" s="862" t="s">
        <v>629</v>
      </c>
      <c r="C10" s="862"/>
      <c r="D10" s="862"/>
      <c r="E10" s="862"/>
      <c r="F10" s="862"/>
      <c r="G10" s="862"/>
      <c r="H10" s="862"/>
      <c r="I10" s="862"/>
      <c r="J10" s="862"/>
      <c r="K10" s="862"/>
      <c r="L10" s="406"/>
    </row>
    <row r="11" spans="1:12" x14ac:dyDescent="0.2">
      <c r="A11" s="406"/>
      <c r="B11" s="550"/>
      <c r="C11" s="550"/>
      <c r="D11" s="550"/>
      <c r="E11" s="550"/>
      <c r="F11" s="550"/>
      <c r="G11" s="550"/>
      <c r="H11" s="550"/>
      <c r="I11" s="550"/>
      <c r="J11" s="550"/>
      <c r="K11" s="550"/>
      <c r="L11" s="406"/>
    </row>
    <row r="12" spans="1:12" ht="32.25" customHeight="1" x14ac:dyDescent="0.2">
      <c r="A12" s="406"/>
      <c r="B12" s="863" t="s">
        <v>630</v>
      </c>
      <c r="C12" s="863"/>
      <c r="D12" s="863"/>
      <c r="E12" s="863"/>
      <c r="F12" s="863"/>
      <c r="G12" s="863"/>
      <c r="H12" s="863"/>
      <c r="I12" s="863"/>
      <c r="J12" s="863"/>
      <c r="K12" s="863"/>
      <c r="L12" s="406"/>
    </row>
    <row r="13" spans="1:12" x14ac:dyDescent="0.2">
      <c r="A13" s="406"/>
      <c r="L13" s="406"/>
    </row>
    <row r="14" spans="1:12" x14ac:dyDescent="0.2">
      <c r="A14" s="406"/>
      <c r="B14" s="410" t="s">
        <v>631</v>
      </c>
      <c r="L14" s="406"/>
    </row>
    <row r="15" spans="1:12" x14ac:dyDescent="0.2">
      <c r="A15" s="406"/>
      <c r="L15" s="406"/>
    </row>
    <row r="16" spans="1:12" x14ac:dyDescent="0.2">
      <c r="A16" s="406"/>
      <c r="B16" s="408" t="s">
        <v>632</v>
      </c>
      <c r="L16" s="406"/>
    </row>
    <row r="17" spans="1:12" x14ac:dyDescent="0.2">
      <c r="A17" s="406"/>
      <c r="B17" s="408" t="s">
        <v>633</v>
      </c>
      <c r="L17" s="406"/>
    </row>
    <row r="18" spans="1:12" x14ac:dyDescent="0.2">
      <c r="A18" s="406"/>
      <c r="L18" s="406"/>
    </row>
    <row r="19" spans="1:12" x14ac:dyDescent="0.2">
      <c r="A19" s="406"/>
      <c r="B19" s="410" t="s">
        <v>759</v>
      </c>
      <c r="L19" s="406"/>
    </row>
    <row r="20" spans="1:12" x14ac:dyDescent="0.2">
      <c r="A20" s="406"/>
      <c r="B20" s="410"/>
      <c r="L20" s="406"/>
    </row>
    <row r="21" spans="1:12" x14ac:dyDescent="0.2">
      <c r="A21" s="406"/>
      <c r="B21" s="408" t="s">
        <v>760</v>
      </c>
      <c r="L21" s="406"/>
    </row>
    <row r="22" spans="1:12" x14ac:dyDescent="0.2">
      <c r="A22" s="406"/>
      <c r="L22" s="406"/>
    </row>
    <row r="23" spans="1:12" x14ac:dyDescent="0.2">
      <c r="A23" s="406"/>
      <c r="B23" s="408" t="s">
        <v>634</v>
      </c>
      <c r="E23" s="408" t="s">
        <v>635</v>
      </c>
      <c r="F23" s="864">
        <v>312000000</v>
      </c>
      <c r="G23" s="864"/>
      <c r="L23" s="406"/>
    </row>
    <row r="24" spans="1:12" x14ac:dyDescent="0.2">
      <c r="A24" s="406"/>
      <c r="L24" s="406"/>
    </row>
    <row r="25" spans="1:12" x14ac:dyDescent="0.2">
      <c r="A25" s="406"/>
      <c r="C25" s="865">
        <f>F23</f>
        <v>312000000</v>
      </c>
      <c r="D25" s="865"/>
      <c r="E25" s="408" t="s">
        <v>636</v>
      </c>
      <c r="F25" s="411">
        <v>1000</v>
      </c>
      <c r="G25" s="411" t="s">
        <v>635</v>
      </c>
      <c r="H25" s="552">
        <f>F23/F25</f>
        <v>312000</v>
      </c>
      <c r="L25" s="406"/>
    </row>
    <row r="26" spans="1:12" ht="15" thickBot="1" x14ac:dyDescent="0.25">
      <c r="A26" s="406"/>
      <c r="L26" s="406"/>
    </row>
    <row r="27" spans="1:12" x14ac:dyDescent="0.2">
      <c r="A27" s="406"/>
      <c r="B27" s="412" t="s">
        <v>631</v>
      </c>
      <c r="C27" s="413"/>
      <c r="D27" s="413"/>
      <c r="E27" s="413"/>
      <c r="F27" s="413"/>
      <c r="G27" s="413"/>
      <c r="H27" s="413"/>
      <c r="I27" s="413"/>
      <c r="J27" s="413"/>
      <c r="K27" s="414"/>
      <c r="L27" s="406"/>
    </row>
    <row r="28" spans="1:12" x14ac:dyDescent="0.2">
      <c r="A28" s="406"/>
      <c r="B28" s="415">
        <f>F23</f>
        <v>312000000</v>
      </c>
      <c r="C28" s="416" t="s">
        <v>637</v>
      </c>
      <c r="D28" s="416"/>
      <c r="E28" s="416" t="s">
        <v>636</v>
      </c>
      <c r="F28" s="555">
        <v>1000</v>
      </c>
      <c r="G28" s="555" t="s">
        <v>635</v>
      </c>
      <c r="H28" s="417">
        <f>B28/F28</f>
        <v>312000</v>
      </c>
      <c r="I28" s="416" t="s">
        <v>638</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627</v>
      </c>
      <c r="C30" s="866"/>
      <c r="D30" s="866"/>
      <c r="E30" s="866"/>
      <c r="F30" s="866"/>
      <c r="G30" s="866"/>
      <c r="H30" s="866"/>
      <c r="I30" s="866"/>
      <c r="J30" s="866"/>
      <c r="K30" s="866"/>
      <c r="L30" s="406"/>
    </row>
    <row r="31" spans="1:12" x14ac:dyDescent="0.2">
      <c r="A31" s="406"/>
      <c r="B31" s="862" t="s">
        <v>639</v>
      </c>
      <c r="C31" s="862"/>
      <c r="D31" s="862"/>
      <c r="E31" s="862"/>
      <c r="F31" s="862"/>
      <c r="G31" s="862"/>
      <c r="H31" s="862"/>
      <c r="I31" s="862"/>
      <c r="J31" s="862"/>
      <c r="K31" s="862"/>
      <c r="L31" s="406"/>
    </row>
    <row r="32" spans="1:12" x14ac:dyDescent="0.2">
      <c r="A32" s="406"/>
      <c r="L32" s="406"/>
    </row>
    <row r="33" spans="1:12" x14ac:dyDescent="0.2">
      <c r="A33" s="406"/>
      <c r="B33" s="862" t="s">
        <v>640</v>
      </c>
      <c r="C33" s="862"/>
      <c r="D33" s="862"/>
      <c r="E33" s="862"/>
      <c r="F33" s="862"/>
      <c r="G33" s="862"/>
      <c r="H33" s="862"/>
      <c r="I33" s="862"/>
      <c r="J33" s="862"/>
      <c r="K33" s="862"/>
      <c r="L33" s="406"/>
    </row>
    <row r="34" spans="1:12" x14ac:dyDescent="0.2">
      <c r="A34" s="406"/>
      <c r="L34" s="406"/>
    </row>
    <row r="35" spans="1:12" ht="89.25" customHeight="1" x14ac:dyDescent="0.2">
      <c r="A35" s="406"/>
      <c r="B35" s="863" t="s">
        <v>641</v>
      </c>
      <c r="C35" s="867"/>
      <c r="D35" s="867"/>
      <c r="E35" s="867"/>
      <c r="F35" s="867"/>
      <c r="G35" s="867"/>
      <c r="H35" s="867"/>
      <c r="I35" s="867"/>
      <c r="J35" s="867"/>
      <c r="K35" s="867"/>
      <c r="L35" s="406"/>
    </row>
    <row r="36" spans="1:12" x14ac:dyDescent="0.2">
      <c r="A36" s="406"/>
      <c r="L36" s="406"/>
    </row>
    <row r="37" spans="1:12" x14ac:dyDescent="0.2">
      <c r="A37" s="406"/>
      <c r="B37" s="410" t="s">
        <v>642</v>
      </c>
      <c r="L37" s="406"/>
    </row>
    <row r="38" spans="1:12" x14ac:dyDescent="0.2">
      <c r="A38" s="406"/>
      <c r="L38" s="406"/>
    </row>
    <row r="39" spans="1:12" x14ac:dyDescent="0.2">
      <c r="A39" s="406"/>
      <c r="B39" s="408" t="s">
        <v>643</v>
      </c>
      <c r="L39" s="406"/>
    </row>
    <row r="40" spans="1:12" x14ac:dyDescent="0.2">
      <c r="A40" s="406"/>
      <c r="L40" s="406"/>
    </row>
    <row r="41" spans="1:12" x14ac:dyDescent="0.2">
      <c r="A41" s="406"/>
      <c r="C41" s="868">
        <v>312000000</v>
      </c>
      <c r="D41" s="868"/>
      <c r="E41" s="408" t="s">
        <v>636</v>
      </c>
      <c r="F41" s="411">
        <v>1000</v>
      </c>
      <c r="G41" s="411" t="s">
        <v>635</v>
      </c>
      <c r="H41" s="422">
        <f>C41/F41</f>
        <v>312000</v>
      </c>
      <c r="L41" s="406"/>
    </row>
    <row r="42" spans="1:12" x14ac:dyDescent="0.2">
      <c r="A42" s="406"/>
      <c r="L42" s="406"/>
    </row>
    <row r="43" spans="1:12" x14ac:dyDescent="0.2">
      <c r="A43" s="406"/>
      <c r="B43" s="408" t="s">
        <v>644</v>
      </c>
      <c r="L43" s="406"/>
    </row>
    <row r="44" spans="1:12" x14ac:dyDescent="0.2">
      <c r="A44" s="406"/>
      <c r="L44" s="406"/>
    </row>
    <row r="45" spans="1:12" x14ac:dyDescent="0.2">
      <c r="A45" s="406"/>
      <c r="B45" s="408" t="s">
        <v>645</v>
      </c>
      <c r="L45" s="406"/>
    </row>
    <row r="46" spans="1:12" ht="15" thickBot="1" x14ac:dyDescent="0.25">
      <c r="A46" s="406"/>
      <c r="L46" s="406"/>
    </row>
    <row r="47" spans="1:12" x14ac:dyDescent="0.2">
      <c r="A47" s="406"/>
      <c r="B47" s="423" t="s">
        <v>631</v>
      </c>
      <c r="C47" s="413"/>
      <c r="D47" s="413"/>
      <c r="E47" s="413"/>
      <c r="F47" s="413"/>
      <c r="G47" s="413"/>
      <c r="H47" s="413"/>
      <c r="I47" s="413"/>
      <c r="J47" s="413"/>
      <c r="K47" s="414"/>
      <c r="L47" s="406"/>
    </row>
    <row r="48" spans="1:12" x14ac:dyDescent="0.2">
      <c r="A48" s="406"/>
      <c r="B48" s="869">
        <v>312000000</v>
      </c>
      <c r="C48" s="864"/>
      <c r="D48" s="416" t="s">
        <v>646</v>
      </c>
      <c r="E48" s="416" t="s">
        <v>636</v>
      </c>
      <c r="F48" s="555">
        <v>1000</v>
      </c>
      <c r="G48" s="555" t="s">
        <v>635</v>
      </c>
      <c r="H48" s="417">
        <f>B48/F48</f>
        <v>312000</v>
      </c>
      <c r="I48" s="416" t="s">
        <v>647</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648</v>
      </c>
      <c r="D50" s="416"/>
      <c r="E50" s="416" t="s">
        <v>636</v>
      </c>
      <c r="F50" s="417">
        <f>H48</f>
        <v>312000</v>
      </c>
      <c r="G50" s="870" t="s">
        <v>649</v>
      </c>
      <c r="H50" s="871"/>
      <c r="I50" s="555" t="s">
        <v>635</v>
      </c>
      <c r="J50" s="426">
        <f>B50/F50</f>
        <v>0.16025641025641027</v>
      </c>
      <c r="K50" s="418"/>
      <c r="L50" s="406"/>
    </row>
    <row r="51" spans="1:24" ht="15" thickBot="1" x14ac:dyDescent="0.25">
      <c r="A51" s="406"/>
      <c r="B51" s="419"/>
      <c r="C51" s="420"/>
      <c r="D51" s="420"/>
      <c r="E51" s="420"/>
      <c r="F51" s="420"/>
      <c r="G51" s="420"/>
      <c r="H51" s="420"/>
      <c r="I51" s="872" t="s">
        <v>650</v>
      </c>
      <c r="J51" s="872"/>
      <c r="K51" s="873"/>
      <c r="L51" s="406"/>
      <c r="O51" s="427"/>
    </row>
    <row r="52" spans="1:24" ht="40.5" customHeight="1" x14ac:dyDescent="0.2">
      <c r="A52" s="406"/>
      <c r="B52" s="866" t="s">
        <v>627</v>
      </c>
      <c r="C52" s="866"/>
      <c r="D52" s="866"/>
      <c r="E52" s="866"/>
      <c r="F52" s="866"/>
      <c r="G52" s="866"/>
      <c r="H52" s="866"/>
      <c r="I52" s="866"/>
      <c r="J52" s="866"/>
      <c r="K52" s="866"/>
      <c r="L52" s="406"/>
    </row>
    <row r="53" spans="1:24" x14ac:dyDescent="0.2">
      <c r="A53" s="406"/>
      <c r="B53" s="862" t="s">
        <v>651</v>
      </c>
      <c r="C53" s="862"/>
      <c r="D53" s="862"/>
      <c r="E53" s="862"/>
      <c r="F53" s="862"/>
      <c r="G53" s="862"/>
      <c r="H53" s="862"/>
      <c r="I53" s="862"/>
      <c r="J53" s="862"/>
      <c r="K53" s="862"/>
      <c r="L53" s="406"/>
    </row>
    <row r="54" spans="1:24" x14ac:dyDescent="0.2">
      <c r="A54" s="406"/>
      <c r="B54" s="550"/>
      <c r="C54" s="550"/>
      <c r="D54" s="550"/>
      <c r="E54" s="550"/>
      <c r="F54" s="550"/>
      <c r="G54" s="550"/>
      <c r="H54" s="550"/>
      <c r="I54" s="550"/>
      <c r="J54" s="550"/>
      <c r="K54" s="550"/>
      <c r="L54" s="406"/>
    </row>
    <row r="55" spans="1:24" x14ac:dyDescent="0.2">
      <c r="A55" s="406"/>
      <c r="B55" s="858" t="s">
        <v>652</v>
      </c>
      <c r="C55" s="858"/>
      <c r="D55" s="858"/>
      <c r="E55" s="858"/>
      <c r="F55" s="858"/>
      <c r="G55" s="858"/>
      <c r="H55" s="858"/>
      <c r="I55" s="858"/>
      <c r="J55" s="858"/>
      <c r="K55" s="858"/>
      <c r="L55" s="406"/>
    </row>
    <row r="56" spans="1:24" ht="15" customHeight="1" x14ac:dyDescent="0.2">
      <c r="A56" s="406"/>
      <c r="L56" s="406"/>
    </row>
    <row r="57" spans="1:24" ht="74.25" customHeight="1" x14ac:dyDescent="0.2">
      <c r="A57" s="406"/>
      <c r="B57" s="863" t="s">
        <v>653</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3"/>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642</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654</v>
      </c>
      <c r="L61" s="406"/>
      <c r="M61" s="429"/>
      <c r="N61" s="429"/>
      <c r="O61" s="429"/>
      <c r="P61" s="429"/>
      <c r="Q61" s="429"/>
      <c r="R61" s="429"/>
      <c r="S61" s="429"/>
      <c r="T61" s="429"/>
      <c r="U61" s="429"/>
      <c r="V61" s="429"/>
      <c r="W61" s="429"/>
      <c r="X61" s="429"/>
    </row>
    <row r="62" spans="1:24" x14ac:dyDescent="0.2">
      <c r="A62" s="406"/>
      <c r="B62" s="408" t="s">
        <v>761</v>
      </c>
      <c r="L62" s="406"/>
      <c r="M62" s="429"/>
      <c r="N62" s="429"/>
      <c r="O62" s="429"/>
      <c r="P62" s="429"/>
      <c r="Q62" s="429"/>
      <c r="R62" s="429"/>
      <c r="S62" s="429"/>
      <c r="T62" s="429"/>
      <c r="U62" s="429"/>
      <c r="V62" s="429"/>
      <c r="W62" s="429"/>
      <c r="X62" s="429"/>
    </row>
    <row r="63" spans="1:24" x14ac:dyDescent="0.2">
      <c r="A63" s="406"/>
      <c r="B63" s="408" t="s">
        <v>762</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655</v>
      </c>
      <c r="L65" s="406"/>
      <c r="M65" s="429"/>
      <c r="N65" s="429"/>
      <c r="O65" s="429"/>
      <c r="P65" s="429"/>
      <c r="Q65" s="429"/>
      <c r="R65" s="429"/>
      <c r="S65" s="429"/>
      <c r="T65" s="429"/>
      <c r="U65" s="429"/>
      <c r="V65" s="429"/>
      <c r="W65" s="429"/>
      <c r="X65" s="429"/>
    </row>
    <row r="66" spans="1:24" x14ac:dyDescent="0.2">
      <c r="A66" s="406"/>
      <c r="B66" s="408" t="s">
        <v>656</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657</v>
      </c>
      <c r="L68" s="406"/>
      <c r="M68" s="430"/>
      <c r="N68" s="431"/>
      <c r="O68" s="431"/>
      <c r="P68" s="431"/>
      <c r="Q68" s="431"/>
      <c r="R68" s="431"/>
      <c r="S68" s="431"/>
      <c r="T68" s="431"/>
      <c r="U68" s="431"/>
      <c r="V68" s="431"/>
      <c r="W68" s="431"/>
      <c r="X68" s="429"/>
    </row>
    <row r="69" spans="1:24" x14ac:dyDescent="0.2">
      <c r="A69" s="406"/>
      <c r="B69" s="408" t="s">
        <v>763</v>
      </c>
      <c r="L69" s="406"/>
      <c r="M69" s="429"/>
      <c r="N69" s="429"/>
      <c r="O69" s="429"/>
      <c r="P69" s="429"/>
      <c r="Q69" s="429"/>
      <c r="R69" s="429"/>
      <c r="S69" s="429"/>
      <c r="T69" s="429"/>
      <c r="U69" s="429"/>
      <c r="V69" s="429"/>
      <c r="W69" s="429"/>
      <c r="X69" s="429"/>
    </row>
    <row r="70" spans="1:24" x14ac:dyDescent="0.2">
      <c r="A70" s="406"/>
      <c r="B70" s="408" t="s">
        <v>764</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631</v>
      </c>
      <c r="C72" s="413"/>
      <c r="D72" s="413"/>
      <c r="E72" s="413"/>
      <c r="F72" s="413"/>
      <c r="G72" s="413"/>
      <c r="H72" s="413"/>
      <c r="I72" s="413"/>
      <c r="J72" s="413"/>
      <c r="K72" s="414"/>
      <c r="L72" s="432"/>
    </row>
    <row r="73" spans="1:24" x14ac:dyDescent="0.2">
      <c r="A73" s="406"/>
      <c r="B73" s="424"/>
      <c r="C73" s="416" t="s">
        <v>637</v>
      </c>
      <c r="D73" s="416"/>
      <c r="E73" s="416"/>
      <c r="F73" s="416"/>
      <c r="G73" s="416"/>
      <c r="H73" s="416"/>
      <c r="I73" s="416"/>
      <c r="J73" s="416"/>
      <c r="K73" s="418"/>
      <c r="L73" s="432"/>
    </row>
    <row r="74" spans="1:24" x14ac:dyDescent="0.2">
      <c r="A74" s="406"/>
      <c r="B74" s="424" t="s">
        <v>658</v>
      </c>
      <c r="C74" s="864">
        <v>312000000</v>
      </c>
      <c r="D74" s="864"/>
      <c r="E74" s="555" t="s">
        <v>636</v>
      </c>
      <c r="F74" s="555">
        <v>1000</v>
      </c>
      <c r="G74" s="555" t="s">
        <v>635</v>
      </c>
      <c r="H74" s="556">
        <f>C74/F74</f>
        <v>312000</v>
      </c>
      <c r="I74" s="416" t="s">
        <v>659</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660</v>
      </c>
      <c r="D76" s="416"/>
      <c r="E76" s="555"/>
      <c r="F76" s="416" t="s">
        <v>659</v>
      </c>
      <c r="G76" s="416"/>
      <c r="H76" s="416"/>
      <c r="I76" s="416"/>
      <c r="J76" s="416"/>
      <c r="K76" s="418"/>
      <c r="L76" s="432"/>
    </row>
    <row r="77" spans="1:24" x14ac:dyDescent="0.2">
      <c r="A77" s="406"/>
      <c r="B77" s="424" t="s">
        <v>661</v>
      </c>
      <c r="C77" s="864">
        <v>50000</v>
      </c>
      <c r="D77" s="864"/>
      <c r="E77" s="555" t="s">
        <v>636</v>
      </c>
      <c r="F77" s="556">
        <f>H74</f>
        <v>312000</v>
      </c>
      <c r="G77" s="555" t="s">
        <v>635</v>
      </c>
      <c r="H77" s="426">
        <f>C77/F77</f>
        <v>0.16025641025641027</v>
      </c>
      <c r="I77" s="416" t="s">
        <v>662</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663</v>
      </c>
      <c r="D79" s="434"/>
      <c r="E79" s="557"/>
      <c r="F79" s="434"/>
      <c r="G79" s="434"/>
      <c r="H79" s="434"/>
      <c r="I79" s="434"/>
      <c r="J79" s="434"/>
      <c r="K79" s="435"/>
      <c r="L79" s="432"/>
    </row>
    <row r="80" spans="1:24" x14ac:dyDescent="0.2">
      <c r="A80" s="406"/>
      <c r="B80" s="424" t="s">
        <v>664</v>
      </c>
      <c r="C80" s="864">
        <v>100000</v>
      </c>
      <c r="D80" s="864"/>
      <c r="E80" s="555" t="s">
        <v>290</v>
      </c>
      <c r="F80" s="555">
        <v>0.115</v>
      </c>
      <c r="G80" s="555" t="s">
        <v>635</v>
      </c>
      <c r="H80" s="556">
        <f>C80*F80</f>
        <v>11500</v>
      </c>
      <c r="I80" s="416" t="s">
        <v>665</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666</v>
      </c>
      <c r="D82" s="434"/>
      <c r="E82" s="557"/>
      <c r="F82" s="434" t="s">
        <v>662</v>
      </c>
      <c r="G82" s="434"/>
      <c r="H82" s="434"/>
      <c r="I82" s="434"/>
      <c r="J82" s="434" t="s">
        <v>667</v>
      </c>
      <c r="K82" s="435"/>
      <c r="L82" s="432"/>
    </row>
    <row r="83" spans="1:12" x14ac:dyDescent="0.2">
      <c r="A83" s="406"/>
      <c r="B83" s="424" t="s">
        <v>668</v>
      </c>
      <c r="C83" s="874">
        <f>H80</f>
        <v>11500</v>
      </c>
      <c r="D83" s="874"/>
      <c r="E83" s="555" t="s">
        <v>290</v>
      </c>
      <c r="F83" s="426">
        <f>H77</f>
        <v>0.16025641025641027</v>
      </c>
      <c r="G83" s="555" t="s">
        <v>636</v>
      </c>
      <c r="H83" s="555">
        <v>1000</v>
      </c>
      <c r="I83" s="555" t="s">
        <v>635</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627</v>
      </c>
      <c r="C85" s="866"/>
      <c r="D85" s="866"/>
      <c r="E85" s="866"/>
      <c r="F85" s="866"/>
      <c r="G85" s="866"/>
      <c r="H85" s="866"/>
      <c r="I85" s="866"/>
      <c r="J85" s="866"/>
      <c r="K85" s="866"/>
      <c r="L85" s="406"/>
    </row>
    <row r="86" spans="1:12" x14ac:dyDescent="0.2">
      <c r="A86" s="406"/>
      <c r="B86" s="858" t="s">
        <v>669</v>
      </c>
      <c r="C86" s="858"/>
      <c r="D86" s="858"/>
      <c r="E86" s="858"/>
      <c r="F86" s="858"/>
      <c r="G86" s="858"/>
      <c r="H86" s="858"/>
      <c r="I86" s="858"/>
      <c r="J86" s="858"/>
      <c r="K86" s="858"/>
      <c r="L86" s="406"/>
    </row>
    <row r="87" spans="1:12" x14ac:dyDescent="0.2">
      <c r="A87" s="406"/>
      <c r="B87" s="440"/>
      <c r="C87" s="440"/>
      <c r="D87" s="440"/>
      <c r="E87" s="440"/>
      <c r="F87" s="440"/>
      <c r="G87" s="440"/>
      <c r="H87" s="440"/>
      <c r="I87" s="440"/>
      <c r="J87" s="440"/>
      <c r="K87" s="440"/>
      <c r="L87" s="406"/>
    </row>
    <row r="88" spans="1:12" x14ac:dyDescent="0.2">
      <c r="A88" s="406"/>
      <c r="B88" s="858" t="s">
        <v>670</v>
      </c>
      <c r="C88" s="858"/>
      <c r="D88" s="858"/>
      <c r="E88" s="858"/>
      <c r="F88" s="858"/>
      <c r="G88" s="858"/>
      <c r="H88" s="858"/>
      <c r="I88" s="858"/>
      <c r="J88" s="858"/>
      <c r="K88" s="858"/>
      <c r="L88" s="406"/>
    </row>
    <row r="89" spans="1:12" x14ac:dyDescent="0.2">
      <c r="A89" s="406"/>
      <c r="B89" s="549"/>
      <c r="C89" s="549"/>
      <c r="D89" s="549"/>
      <c r="E89" s="549"/>
      <c r="F89" s="549"/>
      <c r="G89" s="549"/>
      <c r="H89" s="549"/>
      <c r="I89" s="549"/>
      <c r="J89" s="549"/>
      <c r="K89" s="549"/>
      <c r="L89" s="406"/>
    </row>
    <row r="90" spans="1:12" ht="45" customHeight="1" x14ac:dyDescent="0.2">
      <c r="A90" s="406"/>
      <c r="B90" s="863" t="s">
        <v>671</v>
      </c>
      <c r="C90" s="863"/>
      <c r="D90" s="863"/>
      <c r="E90" s="863"/>
      <c r="F90" s="863"/>
      <c r="G90" s="863"/>
      <c r="H90" s="863"/>
      <c r="I90" s="863"/>
      <c r="J90" s="863"/>
      <c r="K90" s="863"/>
      <c r="L90" s="406"/>
    </row>
    <row r="91" spans="1:12" ht="15" customHeight="1" thickBot="1" x14ac:dyDescent="0.25">
      <c r="A91" s="406"/>
      <c r="L91" s="406"/>
    </row>
    <row r="92" spans="1:12" ht="15" customHeight="1" x14ac:dyDescent="0.2">
      <c r="A92" s="406"/>
      <c r="B92" s="441" t="s">
        <v>631</v>
      </c>
      <c r="C92" s="442"/>
      <c r="D92" s="442"/>
      <c r="E92" s="442"/>
      <c r="F92" s="442"/>
      <c r="G92" s="442"/>
      <c r="H92" s="442"/>
      <c r="I92" s="442"/>
      <c r="J92" s="442"/>
      <c r="K92" s="443"/>
      <c r="L92" s="406"/>
    </row>
    <row r="93" spans="1:12" ht="15" customHeight="1" x14ac:dyDescent="0.2">
      <c r="A93" s="406"/>
      <c r="B93" s="444"/>
      <c r="C93" s="553" t="s">
        <v>637</v>
      </c>
      <c r="D93" s="553"/>
      <c r="E93" s="553"/>
      <c r="F93" s="553"/>
      <c r="G93" s="553"/>
      <c r="H93" s="553"/>
      <c r="I93" s="553"/>
      <c r="J93" s="553"/>
      <c r="K93" s="445"/>
      <c r="L93" s="406"/>
    </row>
    <row r="94" spans="1:12" ht="15" customHeight="1" x14ac:dyDescent="0.2">
      <c r="A94" s="406"/>
      <c r="B94" s="444" t="s">
        <v>658</v>
      </c>
      <c r="C94" s="864">
        <v>312000000</v>
      </c>
      <c r="D94" s="864"/>
      <c r="E94" s="555" t="s">
        <v>636</v>
      </c>
      <c r="F94" s="555">
        <v>1000</v>
      </c>
      <c r="G94" s="555" t="s">
        <v>635</v>
      </c>
      <c r="H94" s="556">
        <f>C94/F94</f>
        <v>312000</v>
      </c>
      <c r="I94" s="553" t="s">
        <v>659</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660</v>
      </c>
      <c r="D96" s="553"/>
      <c r="E96" s="555"/>
      <c r="F96" s="553" t="s">
        <v>659</v>
      </c>
      <c r="G96" s="553"/>
      <c r="H96" s="553"/>
      <c r="I96" s="553"/>
      <c r="J96" s="553"/>
      <c r="K96" s="445"/>
      <c r="L96" s="406"/>
    </row>
    <row r="97" spans="1:12" ht="15" customHeight="1" x14ac:dyDescent="0.2">
      <c r="A97" s="406"/>
      <c r="B97" s="444" t="s">
        <v>661</v>
      </c>
      <c r="C97" s="864">
        <v>50000</v>
      </c>
      <c r="D97" s="864"/>
      <c r="E97" s="555" t="s">
        <v>636</v>
      </c>
      <c r="F97" s="556">
        <f>H94</f>
        <v>312000</v>
      </c>
      <c r="G97" s="555" t="s">
        <v>635</v>
      </c>
      <c r="H97" s="426">
        <f>C97/F97</f>
        <v>0.16025641025641027</v>
      </c>
      <c r="I97" s="553" t="s">
        <v>662</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672</v>
      </c>
      <c r="D99" s="447"/>
      <c r="E99" s="557"/>
      <c r="F99" s="447"/>
      <c r="G99" s="447"/>
      <c r="H99" s="447"/>
      <c r="I99" s="447"/>
      <c r="J99" s="447"/>
      <c r="K99" s="448"/>
      <c r="L99" s="406"/>
    </row>
    <row r="100" spans="1:12" ht="15" customHeight="1" x14ac:dyDescent="0.2">
      <c r="A100" s="406"/>
      <c r="B100" s="444" t="s">
        <v>664</v>
      </c>
      <c r="C100" s="864">
        <v>2500000</v>
      </c>
      <c r="D100" s="864"/>
      <c r="E100" s="555" t="s">
        <v>290</v>
      </c>
      <c r="F100" s="449">
        <v>0.3</v>
      </c>
      <c r="G100" s="555" t="s">
        <v>635</v>
      </c>
      <c r="H100" s="556">
        <f>C100*F100</f>
        <v>750000</v>
      </c>
      <c r="I100" s="553" t="s">
        <v>665</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666</v>
      </c>
      <c r="D102" s="447"/>
      <c r="E102" s="557"/>
      <c r="F102" s="447" t="s">
        <v>662</v>
      </c>
      <c r="G102" s="447"/>
      <c r="H102" s="447"/>
      <c r="I102" s="447"/>
      <c r="J102" s="447" t="s">
        <v>667</v>
      </c>
      <c r="K102" s="448"/>
      <c r="L102" s="406"/>
    </row>
    <row r="103" spans="1:12" ht="15" customHeight="1" x14ac:dyDescent="0.2">
      <c r="A103" s="406"/>
      <c r="B103" s="444" t="s">
        <v>668</v>
      </c>
      <c r="C103" s="874">
        <f>H100</f>
        <v>750000</v>
      </c>
      <c r="D103" s="874"/>
      <c r="E103" s="555" t="s">
        <v>290</v>
      </c>
      <c r="F103" s="426">
        <f>H97</f>
        <v>0.16025641025641027</v>
      </c>
      <c r="G103" s="555" t="s">
        <v>636</v>
      </c>
      <c r="H103" s="555">
        <v>1000</v>
      </c>
      <c r="I103" s="555" t="s">
        <v>635</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627</v>
      </c>
      <c r="C105" s="875"/>
      <c r="D105" s="875"/>
      <c r="E105" s="875"/>
      <c r="F105" s="875"/>
      <c r="G105" s="875"/>
      <c r="H105" s="875"/>
      <c r="I105" s="875"/>
      <c r="J105" s="875"/>
      <c r="K105" s="875"/>
      <c r="L105" s="406"/>
    </row>
    <row r="106" spans="1:12" ht="15" customHeight="1" x14ac:dyDescent="0.2">
      <c r="A106" s="406"/>
      <c r="B106" s="876" t="s">
        <v>673</v>
      </c>
      <c r="C106" s="859"/>
      <c r="D106" s="859"/>
      <c r="E106" s="859"/>
      <c r="F106" s="859"/>
      <c r="G106" s="859"/>
      <c r="H106" s="859"/>
      <c r="I106" s="859"/>
      <c r="J106" s="859"/>
      <c r="K106" s="859"/>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674</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675</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631</v>
      </c>
      <c r="C112" s="413"/>
      <c r="D112" s="413"/>
      <c r="E112" s="413"/>
      <c r="F112" s="413"/>
      <c r="G112" s="413"/>
      <c r="H112" s="413"/>
      <c r="I112" s="413"/>
      <c r="J112" s="413"/>
      <c r="K112" s="414"/>
      <c r="L112" s="406"/>
    </row>
    <row r="113" spans="1:12" x14ac:dyDescent="0.2">
      <c r="A113" s="406"/>
      <c r="B113" s="424"/>
      <c r="C113" s="416" t="s">
        <v>637</v>
      </c>
      <c r="D113" s="416"/>
      <c r="E113" s="416"/>
      <c r="F113" s="416"/>
      <c r="G113" s="416"/>
      <c r="H113" s="416"/>
      <c r="I113" s="416"/>
      <c r="J113" s="416"/>
      <c r="K113" s="418"/>
      <c r="L113" s="406"/>
    </row>
    <row r="114" spans="1:12" x14ac:dyDescent="0.2">
      <c r="A114" s="406"/>
      <c r="B114" s="424" t="s">
        <v>658</v>
      </c>
      <c r="C114" s="864">
        <v>312000000</v>
      </c>
      <c r="D114" s="864"/>
      <c r="E114" s="555" t="s">
        <v>636</v>
      </c>
      <c r="F114" s="555">
        <v>1000</v>
      </c>
      <c r="G114" s="555" t="s">
        <v>635</v>
      </c>
      <c r="H114" s="556">
        <f>C114/F114</f>
        <v>312000</v>
      </c>
      <c r="I114" s="416" t="s">
        <v>659</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660</v>
      </c>
      <c r="D116" s="416"/>
      <c r="E116" s="555"/>
      <c r="F116" s="416" t="s">
        <v>659</v>
      </c>
      <c r="G116" s="416"/>
      <c r="H116" s="416"/>
      <c r="I116" s="416"/>
      <c r="J116" s="416"/>
      <c r="K116" s="418"/>
      <c r="L116" s="406"/>
    </row>
    <row r="117" spans="1:12" x14ac:dyDescent="0.2">
      <c r="A117" s="406"/>
      <c r="B117" s="424" t="s">
        <v>661</v>
      </c>
      <c r="C117" s="864">
        <v>50000</v>
      </c>
      <c r="D117" s="864"/>
      <c r="E117" s="555" t="s">
        <v>636</v>
      </c>
      <c r="F117" s="556">
        <f>H114</f>
        <v>312000</v>
      </c>
      <c r="G117" s="555" t="s">
        <v>635</v>
      </c>
      <c r="H117" s="426">
        <f>C117/F117</f>
        <v>0.16025641025641027</v>
      </c>
      <c r="I117" s="416" t="s">
        <v>662</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672</v>
      </c>
      <c r="D119" s="434"/>
      <c r="E119" s="557"/>
      <c r="F119" s="434"/>
      <c r="G119" s="434"/>
      <c r="H119" s="434"/>
      <c r="I119" s="434"/>
      <c r="J119" s="434"/>
      <c r="K119" s="435"/>
      <c r="L119" s="406"/>
    </row>
    <row r="120" spans="1:12" x14ac:dyDescent="0.2">
      <c r="A120" s="406"/>
      <c r="B120" s="424" t="s">
        <v>664</v>
      </c>
      <c r="C120" s="864">
        <v>2500000</v>
      </c>
      <c r="D120" s="864"/>
      <c r="E120" s="555" t="s">
        <v>290</v>
      </c>
      <c r="F120" s="449">
        <v>0.25</v>
      </c>
      <c r="G120" s="555" t="s">
        <v>635</v>
      </c>
      <c r="H120" s="556">
        <f>C120*F120</f>
        <v>625000</v>
      </c>
      <c r="I120" s="416" t="s">
        <v>665</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666</v>
      </c>
      <c r="D122" s="434"/>
      <c r="E122" s="557"/>
      <c r="F122" s="434" t="s">
        <v>662</v>
      </c>
      <c r="G122" s="434"/>
      <c r="H122" s="434"/>
      <c r="I122" s="434"/>
      <c r="J122" s="434" t="s">
        <v>667</v>
      </c>
      <c r="K122" s="435"/>
      <c r="L122" s="406"/>
    </row>
    <row r="123" spans="1:12" x14ac:dyDescent="0.2">
      <c r="A123" s="406"/>
      <c r="B123" s="424" t="s">
        <v>668</v>
      </c>
      <c r="C123" s="874">
        <f>H120</f>
        <v>625000</v>
      </c>
      <c r="D123" s="874"/>
      <c r="E123" s="555" t="s">
        <v>290</v>
      </c>
      <c r="F123" s="426">
        <f>H117</f>
        <v>0.16025641025641027</v>
      </c>
      <c r="G123" s="555" t="s">
        <v>636</v>
      </c>
      <c r="H123" s="555">
        <v>1000</v>
      </c>
      <c r="I123" s="555" t="s">
        <v>635</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627</v>
      </c>
      <c r="C125" s="866"/>
      <c r="D125" s="866"/>
      <c r="E125" s="866"/>
      <c r="F125" s="866"/>
      <c r="G125" s="866"/>
      <c r="H125" s="866"/>
      <c r="I125" s="866"/>
      <c r="J125" s="866"/>
      <c r="K125" s="866"/>
      <c r="L125" s="452"/>
    </row>
    <row r="126" spans="1:12" x14ac:dyDescent="0.2">
      <c r="A126" s="406"/>
      <c r="B126" s="858" t="s">
        <v>676</v>
      </c>
      <c r="C126" s="858"/>
      <c r="D126" s="858"/>
      <c r="E126" s="858"/>
      <c r="F126" s="858"/>
      <c r="G126" s="858"/>
      <c r="H126" s="858"/>
      <c r="I126" s="858"/>
      <c r="J126" s="858"/>
      <c r="K126" s="858"/>
      <c r="L126" s="452"/>
    </row>
    <row r="127" spans="1:12" x14ac:dyDescent="0.2">
      <c r="A127" s="406"/>
      <c r="B127" s="550"/>
      <c r="C127" s="550"/>
      <c r="D127" s="550"/>
      <c r="E127" s="550"/>
      <c r="F127" s="550"/>
      <c r="G127" s="550"/>
      <c r="H127" s="550"/>
      <c r="I127" s="550"/>
      <c r="J127" s="550"/>
      <c r="K127" s="550"/>
      <c r="L127" s="452"/>
    </row>
    <row r="128" spans="1:12" x14ac:dyDescent="0.2">
      <c r="A128" s="406"/>
      <c r="B128" s="858" t="s">
        <v>677</v>
      </c>
      <c r="C128" s="858"/>
      <c r="D128" s="858"/>
      <c r="E128" s="858"/>
      <c r="F128" s="858"/>
      <c r="G128" s="858"/>
      <c r="H128" s="858"/>
      <c r="I128" s="858"/>
      <c r="J128" s="858"/>
      <c r="K128" s="858"/>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3" t="s">
        <v>678</v>
      </c>
      <c r="C130" s="863"/>
      <c r="D130" s="863"/>
      <c r="E130" s="863"/>
      <c r="F130" s="863"/>
      <c r="G130" s="863"/>
      <c r="H130" s="863"/>
      <c r="I130" s="863"/>
      <c r="J130" s="863"/>
      <c r="K130" s="863"/>
      <c r="L130" s="452"/>
    </row>
    <row r="131" spans="1:12" ht="15" thickBot="1" x14ac:dyDescent="0.25">
      <c r="A131" s="406"/>
      <c r="L131" s="406"/>
    </row>
    <row r="132" spans="1:12" x14ac:dyDescent="0.2">
      <c r="A132" s="406"/>
      <c r="B132" s="412" t="s">
        <v>631</v>
      </c>
      <c r="C132" s="413"/>
      <c r="D132" s="413"/>
      <c r="E132" s="413"/>
      <c r="F132" s="413"/>
      <c r="G132" s="413"/>
      <c r="H132" s="413"/>
      <c r="I132" s="413"/>
      <c r="J132" s="413"/>
      <c r="K132" s="414"/>
      <c r="L132" s="406"/>
    </row>
    <row r="133" spans="1:12" x14ac:dyDescent="0.2">
      <c r="A133" s="406"/>
      <c r="B133" s="424"/>
      <c r="C133" s="879" t="s">
        <v>679</v>
      </c>
      <c r="D133" s="879"/>
      <c r="E133" s="416"/>
      <c r="F133" s="555" t="s">
        <v>680</v>
      </c>
      <c r="G133" s="416"/>
      <c r="H133" s="879" t="s">
        <v>665</v>
      </c>
      <c r="I133" s="879"/>
      <c r="J133" s="416"/>
      <c r="K133" s="418"/>
      <c r="L133" s="406"/>
    </row>
    <row r="134" spans="1:12" x14ac:dyDescent="0.2">
      <c r="A134" s="406"/>
      <c r="B134" s="424" t="s">
        <v>658</v>
      </c>
      <c r="C134" s="864">
        <v>100000</v>
      </c>
      <c r="D134" s="864"/>
      <c r="E134" s="555" t="s">
        <v>290</v>
      </c>
      <c r="F134" s="555">
        <v>0.115</v>
      </c>
      <c r="G134" s="555" t="s">
        <v>635</v>
      </c>
      <c r="H134" s="880">
        <f>C134*F134</f>
        <v>11500</v>
      </c>
      <c r="I134" s="880"/>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1" t="s">
        <v>665</v>
      </c>
      <c r="D136" s="881"/>
      <c r="E136" s="434"/>
      <c r="F136" s="557" t="s">
        <v>681</v>
      </c>
      <c r="G136" s="557"/>
      <c r="H136" s="434"/>
      <c r="I136" s="434"/>
      <c r="J136" s="434" t="s">
        <v>682</v>
      </c>
      <c r="K136" s="435"/>
      <c r="L136" s="406"/>
    </row>
    <row r="137" spans="1:12" x14ac:dyDescent="0.2">
      <c r="A137" s="406"/>
      <c r="B137" s="424" t="s">
        <v>661</v>
      </c>
      <c r="C137" s="880">
        <f>H134</f>
        <v>11500</v>
      </c>
      <c r="D137" s="880"/>
      <c r="E137" s="555" t="s">
        <v>290</v>
      </c>
      <c r="F137" s="453">
        <v>52.869</v>
      </c>
      <c r="G137" s="555" t="s">
        <v>636</v>
      </c>
      <c r="H137" s="555">
        <v>1000</v>
      </c>
      <c r="I137" s="555" t="s">
        <v>635</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627</v>
      </c>
      <c r="C139" s="459"/>
      <c r="D139" s="459"/>
      <c r="E139" s="460"/>
      <c r="F139" s="461"/>
      <c r="G139" s="460"/>
      <c r="H139" s="460"/>
      <c r="I139" s="460"/>
      <c r="J139" s="462"/>
      <c r="K139" s="463"/>
      <c r="L139" s="406"/>
    </row>
    <row r="140" spans="1:12" x14ac:dyDescent="0.2">
      <c r="A140" s="406"/>
      <c r="B140" s="464" t="s">
        <v>683</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684</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2" t="s">
        <v>685</v>
      </c>
      <c r="C144" s="883"/>
      <c r="D144" s="883"/>
      <c r="E144" s="883"/>
      <c r="F144" s="883"/>
      <c r="G144" s="883"/>
      <c r="H144" s="883"/>
      <c r="I144" s="883"/>
      <c r="J144" s="883"/>
      <c r="K144" s="884"/>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631</v>
      </c>
      <c r="C146" s="471"/>
      <c r="D146" s="471"/>
      <c r="E146" s="472"/>
      <c r="F146" s="473"/>
      <c r="G146" s="472"/>
      <c r="H146" s="472"/>
      <c r="I146" s="472"/>
      <c r="J146" s="474"/>
      <c r="K146" s="414"/>
      <c r="L146" s="406"/>
    </row>
    <row r="147" spans="1:12" x14ac:dyDescent="0.2">
      <c r="A147" s="406"/>
      <c r="B147" s="424"/>
      <c r="C147" s="880" t="s">
        <v>686</v>
      </c>
      <c r="D147" s="880"/>
      <c r="E147" s="555"/>
      <c r="F147" s="470" t="s">
        <v>687</v>
      </c>
      <c r="G147" s="555"/>
      <c r="H147" s="555"/>
      <c r="I147" s="555"/>
      <c r="J147" s="885" t="s">
        <v>688</v>
      </c>
      <c r="K147" s="886"/>
      <c r="L147" s="406"/>
    </row>
    <row r="148" spans="1:12" x14ac:dyDescent="0.2">
      <c r="A148" s="406"/>
      <c r="B148" s="424"/>
      <c r="C148" s="887">
        <v>52.869</v>
      </c>
      <c r="D148" s="887"/>
      <c r="E148" s="555" t="s">
        <v>290</v>
      </c>
      <c r="F148" s="551">
        <v>312000000</v>
      </c>
      <c r="G148" s="475" t="s">
        <v>636</v>
      </c>
      <c r="H148" s="555">
        <v>1000</v>
      </c>
      <c r="I148" s="555" t="s">
        <v>635</v>
      </c>
      <c r="J148" s="885">
        <f>C148*(F148/1000)</f>
        <v>16495128</v>
      </c>
      <c r="K148" s="888"/>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7:D147"/>
    <mergeCell ref="J147:K147"/>
    <mergeCell ref="C148:D148"/>
    <mergeCell ref="J148:K148"/>
    <mergeCell ref="C134:D134"/>
    <mergeCell ref="H134:I134"/>
    <mergeCell ref="C136:D136"/>
    <mergeCell ref="C137:D137"/>
    <mergeCell ref="B144:K144"/>
    <mergeCell ref="B125:K125"/>
    <mergeCell ref="B126:K126"/>
    <mergeCell ref="B128:K128"/>
    <mergeCell ref="B130:K130"/>
    <mergeCell ref="C133:D133"/>
    <mergeCell ref="H133:I133"/>
    <mergeCell ref="B110:K110"/>
    <mergeCell ref="C114:D114"/>
    <mergeCell ref="C117:D117"/>
    <mergeCell ref="C120:D120"/>
    <mergeCell ref="C123:D123"/>
    <mergeCell ref="C100:D100"/>
    <mergeCell ref="C103:D103"/>
    <mergeCell ref="B105:K105"/>
    <mergeCell ref="B106:K106"/>
    <mergeCell ref="B108:K108"/>
    <mergeCell ref="B86:K86"/>
    <mergeCell ref="B88:K88"/>
    <mergeCell ref="B90:K90"/>
    <mergeCell ref="C94:D94"/>
    <mergeCell ref="C97:D97"/>
    <mergeCell ref="C74:D74"/>
    <mergeCell ref="C77:D77"/>
    <mergeCell ref="C80:D80"/>
    <mergeCell ref="C83:D83"/>
    <mergeCell ref="B85:K85"/>
    <mergeCell ref="B52:K52"/>
    <mergeCell ref="B53:K53"/>
    <mergeCell ref="B55:K55"/>
    <mergeCell ref="B57:K57"/>
    <mergeCell ref="B58:K58"/>
    <mergeCell ref="B35:K35"/>
    <mergeCell ref="C41:D41"/>
    <mergeCell ref="B48:C48"/>
    <mergeCell ref="G50:H50"/>
    <mergeCell ref="I51:K51"/>
    <mergeCell ref="F23:G23"/>
    <mergeCell ref="C25:D25"/>
    <mergeCell ref="B30:K30"/>
    <mergeCell ref="B31:K31"/>
    <mergeCell ref="B33:K3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25" workbookViewId="0">
      <selection activeCell="A50" sqref="A50"/>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Penn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1788368</v>
      </c>
    </row>
    <row r="8" spans="1:5" x14ac:dyDescent="0.25">
      <c r="A8" s="22" t="str">
        <f>CONCATENATE("New Improvements for ",E1-1,"")</f>
        <v>New Improvements for 2012</v>
      </c>
      <c r="B8" s="19"/>
      <c r="C8" s="19"/>
      <c r="D8" s="19"/>
      <c r="E8" s="283">
        <v>33679</v>
      </c>
    </row>
    <row r="9" spans="1:5" x14ac:dyDescent="0.25">
      <c r="A9" s="22" t="str">
        <f>CONCATENATE("Personal Property excluding oil, gas, and mobile homes - ",E1-1,"")</f>
        <v>Personal Property excluding oil, gas, and mobile homes - 2012</v>
      </c>
      <c r="B9" s="19"/>
      <c r="C9" s="19"/>
      <c r="D9" s="19"/>
      <c r="E9" s="283">
        <v>59315</v>
      </c>
    </row>
    <row r="10" spans="1:5" x14ac:dyDescent="0.25">
      <c r="A10" s="22" t="str">
        <f>CONCATENATE("Property that has changed in use for ",E1-1,"")</f>
        <v>Property that has changed in use for 2012</v>
      </c>
      <c r="B10" s="19"/>
      <c r="C10" s="19"/>
      <c r="D10" s="19"/>
      <c r="E10" s="283">
        <v>3151</v>
      </c>
    </row>
    <row r="11" spans="1:5" x14ac:dyDescent="0.25">
      <c r="A11" s="22" t="str">
        <f>CONCATENATE("Personal Property excluding oil, gas, and mobile homes- ",E1-2,"")</f>
        <v>Personal Property excluding oil, gas, and mobile homes- 2011</v>
      </c>
      <c r="B11" s="19"/>
      <c r="C11" s="19"/>
      <c r="D11" s="19"/>
      <c r="E11" s="283">
        <v>60308</v>
      </c>
    </row>
    <row r="12" spans="1:5" x14ac:dyDescent="0.25">
      <c r="A12" s="22" t="str">
        <f>CONCATENATE("Gross earnings (intangible) tax estimate for ",E1,"")</f>
        <v>Gross earnings (intangible) tax estimate for 2013</v>
      </c>
      <c r="B12" s="19"/>
      <c r="C12" s="19"/>
      <c r="D12" s="19"/>
      <c r="E12" s="283">
        <v>4889</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t="s">
        <v>278</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10.500999999999999</v>
      </c>
      <c r="E20" s="286"/>
    </row>
    <row r="21" spans="1:5" x14ac:dyDescent="0.25">
      <c r="A21" s="71" t="s">
        <v>933</v>
      </c>
      <c r="B21" s="267"/>
      <c r="C21" s="19"/>
      <c r="D21" s="289">
        <v>0.629</v>
      </c>
      <c r="E21" s="286"/>
    </row>
    <row r="22" spans="1:5" x14ac:dyDescent="0.25">
      <c r="A22" s="71" t="s">
        <v>934</v>
      </c>
      <c r="B22" s="267"/>
      <c r="C22" s="19"/>
      <c r="D22" s="289">
        <v>0.32800000000000001</v>
      </c>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11.457999999999998</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1699807</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1836</v>
      </c>
    </row>
    <row r="33" spans="1:5" x14ac:dyDescent="0.25">
      <c r="A33" s="296" t="s">
        <v>277</v>
      </c>
      <c r="B33" s="267"/>
      <c r="C33" s="267"/>
      <c r="D33" s="31"/>
      <c r="E33" s="34">
        <v>43</v>
      </c>
    </row>
    <row r="34" spans="1:5" x14ac:dyDescent="0.25">
      <c r="A34" s="296" t="s">
        <v>160</v>
      </c>
      <c r="B34" s="267"/>
      <c r="C34" s="267"/>
      <c r="D34" s="31"/>
      <c r="E34" s="34">
        <v>474</v>
      </c>
    </row>
    <row r="35" spans="1:5" x14ac:dyDescent="0.25">
      <c r="A35" s="296" t="s">
        <v>161</v>
      </c>
      <c r="B35" s="267"/>
      <c r="C35" s="267"/>
      <c r="D35" s="31"/>
      <c r="E35" s="34"/>
    </row>
    <row r="36" spans="1:5" x14ac:dyDescent="0.25">
      <c r="A36" s="296" t="s">
        <v>100</v>
      </c>
      <c r="B36" s="20"/>
      <c r="C36" s="20"/>
      <c r="D36" s="295"/>
      <c r="E36" s="34"/>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1.2800000000000001E-2</v>
      </c>
    </row>
    <row r="40" spans="1:5" x14ac:dyDescent="0.25">
      <c r="A40" s="296" t="s">
        <v>856</v>
      </c>
      <c r="B40" s="274"/>
      <c r="C40" s="19"/>
      <c r="D40" s="19"/>
      <c r="E40" s="741">
        <v>1.2999999999999999E-2</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5700</v>
      </c>
      <c r="C46" s="302" t="s">
        <v>211</v>
      </c>
      <c r="D46" s="303"/>
      <c r="E46" s="303"/>
    </row>
    <row r="47" spans="1:5" x14ac:dyDescent="0.25">
      <c r="A47" s="304" t="str">
        <f>inputPrYr!B17</f>
        <v>Debt Service</v>
      </c>
      <c r="B47" s="36"/>
      <c r="C47" s="302"/>
      <c r="D47" s="303"/>
      <c r="E47" s="303"/>
    </row>
    <row r="48" spans="1:5" x14ac:dyDescent="0.25">
      <c r="A48" s="304" t="str">
        <f>inputPrYr!B18</f>
        <v>Library</v>
      </c>
      <c r="B48" s="36" t="s">
        <v>278</v>
      </c>
      <c r="C48" s="302"/>
      <c r="D48" s="303"/>
      <c r="E48" s="303"/>
    </row>
    <row r="49" spans="1:5" x14ac:dyDescent="0.25">
      <c r="A49" s="304" t="str">
        <f>inputPrYr!B19</f>
        <v>Road</v>
      </c>
      <c r="B49" s="36">
        <v>21594</v>
      </c>
      <c r="C49" s="140"/>
      <c r="D49" s="140"/>
      <c r="E49" s="140"/>
    </row>
    <row r="50" spans="1:5" x14ac:dyDescent="0.25">
      <c r="A50" s="304" t="s">
        <v>933</v>
      </c>
      <c r="B50" s="36">
        <v>1500</v>
      </c>
      <c r="C50" s="140"/>
      <c r="D50" s="140"/>
      <c r="E50" s="140"/>
    </row>
    <row r="51" spans="1:5" x14ac:dyDescent="0.25">
      <c r="A51" s="304" t="s">
        <v>934</v>
      </c>
      <c r="B51" s="36">
        <v>2500</v>
      </c>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2"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689</v>
      </c>
    </row>
    <row r="3" spans="1:1" ht="31.5" x14ac:dyDescent="0.25">
      <c r="A3" s="479" t="s">
        <v>690</v>
      </c>
    </row>
    <row r="4" spans="1:1" x14ac:dyDescent="0.25">
      <c r="A4" s="480" t="s">
        <v>691</v>
      </c>
    </row>
    <row r="7" spans="1:1" ht="31.5" x14ac:dyDescent="0.25">
      <c r="A7" s="479" t="s">
        <v>692</v>
      </c>
    </row>
    <row r="8" spans="1:1" x14ac:dyDescent="0.25">
      <c r="A8" s="480" t="s">
        <v>693</v>
      </c>
    </row>
    <row r="11" spans="1:1" x14ac:dyDescent="0.25">
      <c r="A11" s="478" t="s">
        <v>694</v>
      </c>
    </row>
    <row r="12" spans="1:1" x14ac:dyDescent="0.25">
      <c r="A12" s="480" t="s">
        <v>695</v>
      </c>
    </row>
    <row r="15" spans="1:1" x14ac:dyDescent="0.25">
      <c r="A15" s="478" t="s">
        <v>696</v>
      </c>
    </row>
    <row r="16" spans="1:1" x14ac:dyDescent="0.25">
      <c r="A16" s="480" t="s">
        <v>697</v>
      </c>
    </row>
    <row r="19" spans="1:1" x14ac:dyDescent="0.25">
      <c r="A19" s="478" t="s">
        <v>698</v>
      </c>
    </row>
    <row r="20" spans="1:1" x14ac:dyDescent="0.25">
      <c r="A20" s="480" t="s">
        <v>699</v>
      </c>
    </row>
    <row r="23" spans="1:1" x14ac:dyDescent="0.25">
      <c r="A23" s="478" t="s">
        <v>700</v>
      </c>
    </row>
    <row r="24" spans="1:1" x14ac:dyDescent="0.25">
      <c r="A24" s="480" t="s">
        <v>701</v>
      </c>
    </row>
    <row r="27" spans="1:1" x14ac:dyDescent="0.25">
      <c r="A27" s="478" t="s">
        <v>702</v>
      </c>
    </row>
    <row r="28" spans="1:1" x14ac:dyDescent="0.25">
      <c r="A28" s="480" t="s">
        <v>703</v>
      </c>
    </row>
    <row r="31" spans="1:1" x14ac:dyDescent="0.25">
      <c r="A31" s="478" t="s">
        <v>704</v>
      </c>
    </row>
    <row r="32" spans="1:1" x14ac:dyDescent="0.25">
      <c r="A32" s="480" t="s">
        <v>705</v>
      </c>
    </row>
    <row r="35" spans="1:1" x14ac:dyDescent="0.25">
      <c r="A35" s="478" t="s">
        <v>706</v>
      </c>
    </row>
    <row r="36" spans="1:1" x14ac:dyDescent="0.25">
      <c r="A36" s="480" t="s">
        <v>707</v>
      </c>
    </row>
    <row r="39" spans="1:1" x14ac:dyDescent="0.25">
      <c r="A39" s="478" t="s">
        <v>708</v>
      </c>
    </row>
    <row r="40" spans="1:1" x14ac:dyDescent="0.25">
      <c r="A40" s="480" t="s">
        <v>709</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931</v>
      </c>
    </row>
    <row r="2" spans="1:1" x14ac:dyDescent="0.25">
      <c r="A2" s="80" t="s">
        <v>932</v>
      </c>
    </row>
    <row r="4" spans="1:1" x14ac:dyDescent="0.25">
      <c r="A4" s="373" t="s">
        <v>929</v>
      </c>
    </row>
    <row r="5" spans="1:1" x14ac:dyDescent="0.25">
      <c r="A5" s="751" t="s">
        <v>930</v>
      </c>
    </row>
    <row r="7" spans="1:1" x14ac:dyDescent="0.25">
      <c r="A7" s="373" t="s">
        <v>895</v>
      </c>
    </row>
    <row r="8" spans="1:1" x14ac:dyDescent="0.25">
      <c r="A8" s="80" t="s">
        <v>896</v>
      </c>
    </row>
    <row r="9" spans="1:1" x14ac:dyDescent="0.25">
      <c r="A9" s="80" t="s">
        <v>897</v>
      </c>
    </row>
    <row r="10" spans="1:1" x14ac:dyDescent="0.25">
      <c r="A10" s="80" t="s">
        <v>898</v>
      </c>
    </row>
    <row r="11" spans="1:1" x14ac:dyDescent="0.25">
      <c r="A11" s="80" t="s">
        <v>899</v>
      </c>
    </row>
    <row r="12" spans="1:1" x14ac:dyDescent="0.25">
      <c r="A12" s="80" t="s">
        <v>900</v>
      </c>
    </row>
    <row r="13" spans="1:1" x14ac:dyDescent="0.25">
      <c r="A13" s="80" t="s">
        <v>901</v>
      </c>
    </row>
    <row r="14" spans="1:1" x14ac:dyDescent="0.25">
      <c r="A14" s="80" t="s">
        <v>902</v>
      </c>
    </row>
    <row r="15" spans="1:1" x14ac:dyDescent="0.25">
      <c r="A15" s="80" t="s">
        <v>903</v>
      </c>
    </row>
    <row r="16" spans="1:1" x14ac:dyDescent="0.25">
      <c r="A16" s="80" t="s">
        <v>904</v>
      </c>
    </row>
    <row r="17" spans="1:1" x14ac:dyDescent="0.25">
      <c r="A17" s="80" t="s">
        <v>905</v>
      </c>
    </row>
    <row r="18" spans="1:1" x14ac:dyDescent="0.25">
      <c r="A18" s="80" t="s">
        <v>906</v>
      </c>
    </row>
    <row r="19" spans="1:1" x14ac:dyDescent="0.25">
      <c r="A19" s="80" t="s">
        <v>907</v>
      </c>
    </row>
    <row r="20" spans="1:1" x14ac:dyDescent="0.25">
      <c r="A20" s="80" t="s">
        <v>908</v>
      </c>
    </row>
    <row r="21" spans="1:1" x14ac:dyDescent="0.25">
      <c r="A21" s="80" t="s">
        <v>909</v>
      </c>
    </row>
    <row r="22" spans="1:1" x14ac:dyDescent="0.25">
      <c r="A22" s="80" t="s">
        <v>910</v>
      </c>
    </row>
    <row r="23" spans="1:1" x14ac:dyDescent="0.25">
      <c r="A23" s="80" t="s">
        <v>911</v>
      </c>
    </row>
    <row r="24" spans="1:1" x14ac:dyDescent="0.25">
      <c r="A24" s="80" t="s">
        <v>912</v>
      </c>
    </row>
    <row r="25" spans="1:1" x14ac:dyDescent="0.25">
      <c r="A25" s="80" t="s">
        <v>913</v>
      </c>
    </row>
    <row r="26" spans="1:1" x14ac:dyDescent="0.25">
      <c r="A26" s="80" t="s">
        <v>914</v>
      </c>
    </row>
    <row r="27" spans="1:1" x14ac:dyDescent="0.25">
      <c r="A27" s="80" t="s">
        <v>915</v>
      </c>
    </row>
    <row r="28" spans="1:1" x14ac:dyDescent="0.25">
      <c r="A28" s="80" t="s">
        <v>916</v>
      </c>
    </row>
    <row r="29" spans="1:1" x14ac:dyDescent="0.25">
      <c r="A29" s="80" t="s">
        <v>917</v>
      </c>
    </row>
    <row r="30" spans="1:1" x14ac:dyDescent="0.25">
      <c r="A30" s="80" t="s">
        <v>918</v>
      </c>
    </row>
    <row r="31" spans="1:1" x14ac:dyDescent="0.25">
      <c r="A31" s="80" t="s">
        <v>919</v>
      </c>
    </row>
    <row r="32" spans="1:1" x14ac:dyDescent="0.25">
      <c r="A32" s="80" t="s">
        <v>920</v>
      </c>
    </row>
    <row r="33" spans="1:1" x14ac:dyDescent="0.25">
      <c r="A33" s="80" t="s">
        <v>921</v>
      </c>
    </row>
    <row r="34" spans="1:1" x14ac:dyDescent="0.25">
      <c r="A34" s="80" t="s">
        <v>922</v>
      </c>
    </row>
    <row r="35" spans="1:1" x14ac:dyDescent="0.25">
      <c r="A35" s="80" t="s">
        <v>924</v>
      </c>
    </row>
    <row r="36" spans="1:1" x14ac:dyDescent="0.25">
      <c r="A36" s="80" t="s">
        <v>923</v>
      </c>
    </row>
    <row r="38" spans="1:1" x14ac:dyDescent="0.25">
      <c r="A38" s="373" t="s">
        <v>755</v>
      </c>
    </row>
    <row r="39" spans="1:1" x14ac:dyDescent="0.25">
      <c r="A39" s="80" t="s">
        <v>756</v>
      </c>
    </row>
    <row r="41" spans="1:1" x14ac:dyDescent="0.25">
      <c r="A41" s="373" t="s">
        <v>753</v>
      </c>
    </row>
    <row r="42" spans="1:1" x14ac:dyDescent="0.25">
      <c r="A42" s="80" t="s">
        <v>754</v>
      </c>
    </row>
    <row r="44" spans="1:1" x14ac:dyDescent="0.25">
      <c r="A44" s="373" t="s">
        <v>750</v>
      </c>
    </row>
    <row r="45" spans="1:1" x14ac:dyDescent="0.25">
      <c r="A45" s="543" t="s">
        <v>751</v>
      </c>
    </row>
    <row r="47" spans="1:1" x14ac:dyDescent="0.25">
      <c r="A47" s="373" t="s">
        <v>747</v>
      </c>
    </row>
    <row r="48" spans="1:1" x14ac:dyDescent="0.25">
      <c r="A48" s="80" t="s">
        <v>748</v>
      </c>
    </row>
    <row r="49" spans="1:1" x14ac:dyDescent="0.25">
      <c r="A49" s="80" t="s">
        <v>749</v>
      </c>
    </row>
    <row r="51" spans="1:1" x14ac:dyDescent="0.25">
      <c r="A51" s="373" t="s">
        <v>722</v>
      </c>
    </row>
    <row r="52" spans="1:1" x14ac:dyDescent="0.25">
      <c r="A52" s="543" t="s">
        <v>723</v>
      </c>
    </row>
    <row r="53" spans="1:1" x14ac:dyDescent="0.25">
      <c r="A53" s="543" t="s">
        <v>724</v>
      </c>
    </row>
    <row r="54" spans="1:1" ht="31.5" x14ac:dyDescent="0.25">
      <c r="A54" s="542" t="s">
        <v>725</v>
      </c>
    </row>
    <row r="55" spans="1:1" x14ac:dyDescent="0.25">
      <c r="A55" s="543" t="s">
        <v>726</v>
      </c>
    </row>
    <row r="56" spans="1:1" x14ac:dyDescent="0.25">
      <c r="A56" s="543" t="s">
        <v>727</v>
      </c>
    </row>
    <row r="57" spans="1:1" x14ac:dyDescent="0.25">
      <c r="A57" s="543" t="s">
        <v>728</v>
      </c>
    </row>
    <row r="58" spans="1:1" x14ac:dyDescent="0.25">
      <c r="A58" s="543" t="s">
        <v>729</v>
      </c>
    </row>
    <row r="59" spans="1:1" x14ac:dyDescent="0.25">
      <c r="A59" s="543" t="s">
        <v>730</v>
      </c>
    </row>
    <row r="60" spans="1:1" x14ac:dyDescent="0.25">
      <c r="A60" s="543" t="s">
        <v>731</v>
      </c>
    </row>
    <row r="61" spans="1:1" x14ac:dyDescent="0.25">
      <c r="A61" s="543" t="s">
        <v>732</v>
      </c>
    </row>
    <row r="62" spans="1:1" x14ac:dyDescent="0.25">
      <c r="A62" s="543" t="s">
        <v>733</v>
      </c>
    </row>
    <row r="63" spans="1:1" x14ac:dyDescent="0.25">
      <c r="A63" s="543" t="s">
        <v>734</v>
      </c>
    </row>
    <row r="64" spans="1:1" x14ac:dyDescent="0.25">
      <c r="A64" s="543" t="s">
        <v>745</v>
      </c>
    </row>
    <row r="65" spans="1:1" x14ac:dyDescent="0.25">
      <c r="A65" s="543" t="s">
        <v>735</v>
      </c>
    </row>
    <row r="66" spans="1:1" x14ac:dyDescent="0.25">
      <c r="A66" s="543" t="s">
        <v>736</v>
      </c>
    </row>
    <row r="67" spans="1:1" x14ac:dyDescent="0.25">
      <c r="A67" s="543" t="s">
        <v>737</v>
      </c>
    </row>
    <row r="68" spans="1:1" x14ac:dyDescent="0.25">
      <c r="A68" s="543" t="s">
        <v>738</v>
      </c>
    </row>
    <row r="69" spans="1:1" x14ac:dyDescent="0.25">
      <c r="A69" s="543" t="s">
        <v>739</v>
      </c>
    </row>
    <row r="70" spans="1:1" x14ac:dyDescent="0.25">
      <c r="A70" s="543" t="s">
        <v>740</v>
      </c>
    </row>
    <row r="71" spans="1:1" x14ac:dyDescent="0.25">
      <c r="A71" s="543" t="s">
        <v>741</v>
      </c>
    </row>
    <row r="72" spans="1:1" x14ac:dyDescent="0.25">
      <c r="A72" s="543" t="s">
        <v>742</v>
      </c>
    </row>
    <row r="73" spans="1:1" x14ac:dyDescent="0.25">
      <c r="A73" s="543" t="s">
        <v>743</v>
      </c>
    </row>
    <row r="74" spans="1:1" x14ac:dyDescent="0.25">
      <c r="A74" s="543" t="s">
        <v>746</v>
      </c>
    </row>
    <row r="76" spans="1:1" x14ac:dyDescent="0.25">
      <c r="A76" s="373" t="s">
        <v>619</v>
      </c>
    </row>
    <row r="77" spans="1:1" ht="39" customHeight="1" x14ac:dyDescent="0.25">
      <c r="A77" s="334" t="s">
        <v>620</v>
      </c>
    </row>
    <row r="78" spans="1:1" ht="23.25" customHeight="1" x14ac:dyDescent="0.25"/>
    <row r="79" spans="1:1" x14ac:dyDescent="0.25">
      <c r="A79" s="373" t="s">
        <v>615</v>
      </c>
    </row>
    <row r="80" spans="1:1" x14ac:dyDescent="0.25">
      <c r="A80" s="80" t="s">
        <v>616</v>
      </c>
    </row>
    <row r="81" spans="1:1" x14ac:dyDescent="0.25">
      <c r="A81" s="80" t="s">
        <v>617</v>
      </c>
    </row>
    <row r="82" spans="1:1" x14ac:dyDescent="0.25">
      <c r="A82" s="80" t="s">
        <v>618</v>
      </c>
    </row>
    <row r="84" spans="1:1" x14ac:dyDescent="0.25">
      <c r="A84" s="376" t="s">
        <v>604</v>
      </c>
    </row>
    <row r="85" spans="1:1" x14ac:dyDescent="0.25">
      <c r="A85" s="80" t="s">
        <v>614</v>
      </c>
    </row>
    <row r="87" spans="1:1" x14ac:dyDescent="0.25">
      <c r="A87" s="373" t="s">
        <v>588</v>
      </c>
    </row>
    <row r="88" spans="1:1" x14ac:dyDescent="0.25">
      <c r="A88" s="374" t="s">
        <v>589</v>
      </c>
    </row>
    <row r="89" spans="1:1" x14ac:dyDescent="0.25">
      <c r="A89" s="374" t="s">
        <v>590</v>
      </c>
    </row>
    <row r="90" spans="1:1" x14ac:dyDescent="0.25">
      <c r="A90" s="374" t="s">
        <v>591</v>
      </c>
    </row>
    <row r="91" spans="1:1" x14ac:dyDescent="0.25">
      <c r="A91" s="372" t="s">
        <v>592</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339</v>
      </c>
    </row>
    <row r="101" spans="1:1" x14ac:dyDescent="0.25">
      <c r="A101" s="80" t="s">
        <v>340</v>
      </c>
    </row>
    <row r="102" spans="1:1" x14ac:dyDescent="0.25">
      <c r="A102" s="80" t="s">
        <v>341</v>
      </c>
    </row>
    <row r="103" spans="1:1" x14ac:dyDescent="0.25">
      <c r="A103" s="80" t="s">
        <v>342</v>
      </c>
    </row>
    <row r="104" spans="1:1" x14ac:dyDescent="0.25">
      <c r="A104" s="80" t="s">
        <v>357</v>
      </c>
    </row>
    <row r="105" spans="1:1" ht="31.5" x14ac:dyDescent="0.25">
      <c r="A105" s="334" t="s">
        <v>358</v>
      </c>
    </row>
    <row r="106" spans="1:1" x14ac:dyDescent="0.25">
      <c r="A106" s="334" t="s">
        <v>367</v>
      </c>
    </row>
    <row r="107" spans="1:1" x14ac:dyDescent="0.25">
      <c r="A107" s="348" t="s">
        <v>370</v>
      </c>
    </row>
    <row r="108" spans="1:1" x14ac:dyDescent="0.25">
      <c r="A108" s="349" t="s">
        <v>371</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6" sqref="B6"/>
    </sheetView>
  </sheetViews>
  <sheetFormatPr defaultRowHeight="15.75" x14ac:dyDescent="0.25"/>
  <cols>
    <col min="1" max="1" width="13.69921875" customWidth="1"/>
    <col min="2" max="2" width="16" customWidth="1"/>
  </cols>
  <sheetData>
    <row r="1" spans="1:10" x14ac:dyDescent="0.25">
      <c r="J1" s="721" t="s">
        <v>840</v>
      </c>
    </row>
    <row r="2" spans="1:10" ht="54" customHeight="1" x14ac:dyDescent="0.25">
      <c r="A2" s="765" t="s">
        <v>372</v>
      </c>
      <c r="B2" s="766"/>
      <c r="C2" s="766"/>
      <c r="D2" s="766"/>
      <c r="E2" s="766"/>
      <c r="F2" s="766"/>
      <c r="J2" s="721" t="s">
        <v>841</v>
      </c>
    </row>
    <row r="3" spans="1:10" x14ac:dyDescent="0.25">
      <c r="J3" s="721" t="s">
        <v>842</v>
      </c>
    </row>
    <row r="4" spans="1:10" x14ac:dyDescent="0.25">
      <c r="A4" s="478" t="s">
        <v>838</v>
      </c>
      <c r="B4" s="359" t="s">
        <v>954</v>
      </c>
      <c r="C4" s="720"/>
      <c r="J4" s="721" t="s">
        <v>843</v>
      </c>
    </row>
    <row r="5" spans="1:10" x14ac:dyDescent="0.25">
      <c r="A5" s="478"/>
      <c r="B5" s="720"/>
      <c r="J5" s="721" t="s">
        <v>844</v>
      </c>
    </row>
    <row r="6" spans="1:10" x14ac:dyDescent="0.25">
      <c r="A6" s="478" t="s">
        <v>839</v>
      </c>
      <c r="B6" s="359" t="s">
        <v>955</v>
      </c>
      <c r="J6" s="721" t="s">
        <v>845</v>
      </c>
    </row>
    <row r="7" spans="1:10" x14ac:dyDescent="0.25">
      <c r="A7" s="356"/>
      <c r="B7" s="356"/>
      <c r="C7" s="356"/>
      <c r="D7" s="358"/>
      <c r="E7" s="356"/>
      <c r="F7" s="356"/>
      <c r="J7" s="721" t="s">
        <v>846</v>
      </c>
    </row>
    <row r="8" spans="1:10" x14ac:dyDescent="0.25">
      <c r="A8" s="357" t="s">
        <v>373</v>
      </c>
      <c r="B8" s="359" t="s">
        <v>952</v>
      </c>
      <c r="C8" s="360"/>
      <c r="D8" s="357" t="s">
        <v>837</v>
      </c>
      <c r="E8" s="356"/>
      <c r="F8" s="356"/>
      <c r="J8" s="721" t="s">
        <v>847</v>
      </c>
    </row>
    <row r="9" spans="1:10" x14ac:dyDescent="0.25">
      <c r="A9" s="357"/>
      <c r="B9" s="361"/>
      <c r="C9" s="362"/>
      <c r="D9" s="357" t="str">
        <f ca="1">IF(B8="","",CONCATENATE("Latest date for notice to be published in your newspaper: ",G19," ",G23,", ",G24))</f>
        <v>Latest date for notice to be published in your newspaper: July 30, 2012</v>
      </c>
      <c r="E9" s="356"/>
      <c r="F9" s="356"/>
      <c r="J9" s="721" t="s">
        <v>848</v>
      </c>
    </row>
    <row r="10" spans="1:10" x14ac:dyDescent="0.25">
      <c r="A10" s="357" t="s">
        <v>374</v>
      </c>
      <c r="B10" s="359" t="s">
        <v>935</v>
      </c>
      <c r="C10" s="363"/>
      <c r="D10" s="357"/>
      <c r="E10" s="356"/>
      <c r="F10" s="356"/>
      <c r="J10" s="721" t="s">
        <v>849</v>
      </c>
    </row>
    <row r="11" spans="1:10" x14ac:dyDescent="0.25">
      <c r="A11" s="357"/>
      <c r="B11" s="357"/>
      <c r="C11" s="357"/>
      <c r="D11" s="357"/>
      <c r="E11" s="356"/>
      <c r="F11" s="356"/>
      <c r="J11" s="721" t="s">
        <v>850</v>
      </c>
    </row>
    <row r="12" spans="1:10" x14ac:dyDescent="0.25">
      <c r="A12" s="357" t="s">
        <v>375</v>
      </c>
      <c r="B12" s="364" t="s">
        <v>936</v>
      </c>
      <c r="C12" s="364"/>
      <c r="D12" s="364"/>
      <c r="E12" s="365"/>
      <c r="F12" s="356"/>
      <c r="J12" s="721" t="s">
        <v>851</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937</v>
      </c>
      <c r="C15" s="364"/>
      <c r="D15" s="364"/>
      <c r="E15" s="365"/>
      <c r="F15" s="356"/>
    </row>
    <row r="16" spans="1:10" x14ac:dyDescent="0.25">
      <c r="B16" t="s">
        <v>953</v>
      </c>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c r="C20" s="357"/>
      <c r="D20" s="357"/>
      <c r="E20" s="357"/>
      <c r="G20" s="722" t="str">
        <f>IF(B8="","",CONCATENATE("J",G22))</f>
        <v>J7</v>
      </c>
    </row>
    <row r="21" spans="1:7" x14ac:dyDescent="0.25">
      <c r="A21" s="357"/>
      <c r="B21" s="357"/>
      <c r="C21" s="357"/>
      <c r="D21" s="357"/>
      <c r="E21" s="357"/>
      <c r="G21" s="723">
        <f>B8-10</f>
        <v>41120</v>
      </c>
    </row>
    <row r="22" spans="1:7" x14ac:dyDescent="0.25">
      <c r="A22" s="357" t="s">
        <v>374</v>
      </c>
      <c r="B22" s="357" t="s">
        <v>378</v>
      </c>
      <c r="C22" s="357"/>
      <c r="D22" s="357"/>
      <c r="E22" s="357"/>
      <c r="G22" s="724">
        <f>IF(B8="","",MONTH(G21))</f>
        <v>7</v>
      </c>
    </row>
    <row r="23" spans="1:7" x14ac:dyDescent="0.25">
      <c r="A23" s="357"/>
      <c r="B23" s="357"/>
      <c r="C23" s="357"/>
      <c r="D23" s="357"/>
      <c r="E23" s="357"/>
      <c r="G23" s="725">
        <f>IF(B8="","",DAY(G21))</f>
        <v>30</v>
      </c>
    </row>
    <row r="24" spans="1:7" x14ac:dyDescent="0.25">
      <c r="A24" s="357" t="s">
        <v>375</v>
      </c>
      <c r="B24" s="357" t="s">
        <v>380</v>
      </c>
      <c r="C24" s="357"/>
      <c r="D24" s="357"/>
      <c r="E24" s="357"/>
      <c r="G24" s="726">
        <f>IF(B8="","",YEAR(G21))</f>
        <v>2012</v>
      </c>
    </row>
    <row r="25" spans="1:7" x14ac:dyDescent="0.25">
      <c r="A25" s="357"/>
      <c r="B25" s="357"/>
      <c r="C25" s="357"/>
      <c r="D25" s="357"/>
      <c r="E25" s="357"/>
    </row>
    <row r="26" spans="1:7" x14ac:dyDescent="0.25">
      <c r="A26" s="357" t="s">
        <v>376</v>
      </c>
      <c r="B26" s="357" t="s">
        <v>379</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19" zoomScaleNormal="100" workbookViewId="0">
      <selection activeCell="E40" sqref="E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3" t="s">
        <v>70</v>
      </c>
      <c r="C1" s="773"/>
      <c r="D1" s="773"/>
      <c r="E1" s="773"/>
      <c r="F1" s="773"/>
      <c r="G1" s="773"/>
      <c r="H1" s="14">
        <f>inputPrYr!D5</f>
        <v>2013</v>
      </c>
    </row>
    <row r="2" spans="2:8" s="14" customFormat="1" x14ac:dyDescent="0.25">
      <c r="C2" s="145"/>
      <c r="D2" s="145"/>
      <c r="E2" s="145"/>
      <c r="F2" s="145"/>
      <c r="G2" s="62"/>
    </row>
    <row r="3" spans="2:8" s="14" customFormat="1" x14ac:dyDescent="0.25">
      <c r="B3" s="768" t="str">
        <f>CONCATENATE("To the Clerk of ",inputPrYr!D3,", State of Kansas")</f>
        <v>To the Clerk of Osborne County, State of Kansas</v>
      </c>
      <c r="C3" s="781"/>
      <c r="D3" s="781"/>
      <c r="E3" s="781"/>
      <c r="F3" s="781"/>
      <c r="G3" s="781"/>
      <c r="H3" s="781"/>
    </row>
    <row r="4" spans="2:8" s="14" customFormat="1" x14ac:dyDescent="0.25">
      <c r="B4" s="768" t="s">
        <v>152</v>
      </c>
      <c r="C4" s="769"/>
      <c r="D4" s="769"/>
      <c r="E4" s="769"/>
      <c r="F4" s="769"/>
      <c r="G4" s="769"/>
    </row>
    <row r="5" spans="2:8" s="14" customFormat="1" x14ac:dyDescent="0.25">
      <c r="B5" s="770" t="str">
        <f>inputPrYr!D2</f>
        <v>Penn Township</v>
      </c>
      <c r="C5" s="769"/>
      <c r="D5" s="769"/>
      <c r="E5" s="769"/>
      <c r="F5" s="769"/>
      <c r="G5" s="769"/>
    </row>
    <row r="6" spans="2:8" s="14" customFormat="1" x14ac:dyDescent="0.25">
      <c r="B6" s="780" t="s">
        <v>150</v>
      </c>
      <c r="C6" s="781"/>
      <c r="D6" s="781"/>
      <c r="E6" s="781"/>
      <c r="F6" s="781"/>
      <c r="G6" s="781"/>
    </row>
    <row r="7" spans="2:8" s="14" customFormat="1" ht="15.75" customHeight="1" x14ac:dyDescent="0.25">
      <c r="B7" s="768" t="s">
        <v>151</v>
      </c>
      <c r="C7" s="782"/>
      <c r="D7" s="782"/>
      <c r="E7" s="782"/>
      <c r="F7" s="782"/>
      <c r="G7" s="782"/>
    </row>
    <row r="8" spans="2:8" s="14" customFormat="1" ht="15.75" customHeight="1" x14ac:dyDescent="0.25">
      <c r="B8" s="768" t="str">
        <f>CONCATENATE("maximum expenditures for the various funds for the year ",H1,"; and (3) the")</f>
        <v>maximum expenditures for the various funds for the year 2013; and (3) the</v>
      </c>
      <c r="C8" s="769"/>
      <c r="D8" s="769"/>
      <c r="E8" s="769"/>
      <c r="F8" s="769"/>
      <c r="G8" s="769"/>
    </row>
    <row r="9" spans="2:8" s="14" customFormat="1" ht="15.75" customHeight="1" x14ac:dyDescent="0.25">
      <c r="B9" s="768" t="str">
        <f>CONCATENATE("Amount(s) of ",H1-1," Ad Valorem Tax are within statutory limitations for the ",H1," Budget.")</f>
        <v>Amount(s) of 2012 Ad Valorem Tax are within statutory limitations for the 2013 Budget.</v>
      </c>
      <c r="C9" s="769"/>
      <c r="D9" s="769"/>
      <c r="E9" s="769"/>
      <c r="F9" s="769"/>
      <c r="G9" s="769"/>
    </row>
    <row r="10" spans="2:8" s="14" customFormat="1" ht="15.75" customHeight="1" x14ac:dyDescent="0.25">
      <c r="E10" s="66"/>
      <c r="F10" s="66"/>
      <c r="G10" s="66"/>
    </row>
    <row r="11" spans="2:8" s="14" customFormat="1" x14ac:dyDescent="0.25">
      <c r="D11" s="19"/>
      <c r="E11" s="777" t="str">
        <f>CONCATENATE("",H1," Adopted Budget")</f>
        <v>2013 Adopted Budget</v>
      </c>
      <c r="F11" s="778"/>
      <c r="G11" s="779"/>
    </row>
    <row r="12" spans="2:8" s="14" customFormat="1" x14ac:dyDescent="0.25">
      <c r="B12" s="22"/>
      <c r="D12" s="66"/>
      <c r="E12" s="255" t="s">
        <v>278</v>
      </c>
      <c r="F12" s="774" t="str">
        <f>CONCATENATE("Amount of ",H1-1," Ad Valorem Tax")</f>
        <v>Amount of 2012 Ad Valorem Tax</v>
      </c>
      <c r="G12" s="23" t="s">
        <v>279</v>
      </c>
    </row>
    <row r="13" spans="2:8" s="14" customFormat="1" x14ac:dyDescent="0.25">
      <c r="D13" s="23" t="s">
        <v>280</v>
      </c>
      <c r="E13" s="528" t="s">
        <v>209</v>
      </c>
      <c r="F13" s="775"/>
      <c r="G13" s="156" t="s">
        <v>281</v>
      </c>
    </row>
    <row r="14" spans="2:8" s="14" customFormat="1" x14ac:dyDescent="0.25">
      <c r="B14" s="71" t="s">
        <v>282</v>
      </c>
      <c r="C14" s="20"/>
      <c r="D14" s="26" t="s">
        <v>283</v>
      </c>
      <c r="E14" s="529" t="s">
        <v>719</v>
      </c>
      <c r="F14" s="776"/>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835</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5800</v>
      </c>
      <c r="F21" s="732">
        <f>IF(gen!$E$57&lt;&gt;0,gen!$E$57,0)</f>
        <v>0</v>
      </c>
      <c r="G21" s="733" t="str">
        <f>IF(AND(gen!E57=0,$C$40&gt;=0)," ",IF(AND(F21&gt;0,$C$40=0)," ",IF(AND(F21&gt;0,$C$40&gt;0),ROUND(F21/$C$40*1000,3))))</f>
        <v xml:space="preserve"> </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f>IF(road!C67&gt;0,road!C67,"  ")</f>
        <v>7</v>
      </c>
      <c r="E24" s="732">
        <f>IF(road!$E$43&lt;&gt;0,road!$E$43,"  ")</f>
        <v>23285</v>
      </c>
      <c r="F24" s="732">
        <f>IF(road!$E$50&lt;&gt;0,road!$E$50,"  ")</f>
        <v>18763</v>
      </c>
      <c r="G24" s="733">
        <f>IF(AND(road!E50=0,$C$40&gt;=0)," ",IF(AND(F24&gt;0,$C$40=0)," ",IF(AND(F24&gt;0,$C$40&gt;0),ROUND(F24/$C$40*1000,3))))</f>
        <v>10.492000000000001</v>
      </c>
    </row>
    <row r="25" spans="2:7" s="14" customFormat="1" x14ac:dyDescent="0.25">
      <c r="B25" s="85" t="str">
        <f>IF(inputPrYr!$B20&gt;"  ",inputPrYr!$B20,"  ")</f>
        <v>Cemetery</v>
      </c>
      <c r="C25" s="260" t="str">
        <f>IF(inputPrYr!C20&gt;0,inputPrYr!C20,"  ")</f>
        <v xml:space="preserve">  </v>
      </c>
      <c r="D25" s="261">
        <f>IF(levypage9!C81&gt;0,levypage9!C81,"  ")</f>
        <v>8</v>
      </c>
      <c r="E25" s="732">
        <f>IF(levypage9!$E$33&lt;&gt;0,levypage9!$E$33,"  ")</f>
        <v>1500</v>
      </c>
      <c r="F25" s="732">
        <f>IF(levypage9!$E$40&lt;&gt;0,levypage9!$E$40,"  ")</f>
        <v>475</v>
      </c>
      <c r="G25" s="733">
        <f>IF(AND(levypage9!E40=0,$C$40&gt;=0)," ",IF(AND(F25&gt;0,$C$40=0)," ",IF(AND(F25&gt;0,$C$40&gt;0),ROUND(F25/$C$40*1000,3))))</f>
        <v>0.26600000000000001</v>
      </c>
    </row>
    <row r="26" spans="2:7" s="14" customFormat="1" x14ac:dyDescent="0.25">
      <c r="B26" s="85" t="str">
        <f>IF(inputPrYr!$B21&gt;"  ",inputPrYr!$B21,"  ")</f>
        <v>Noxious Weed</v>
      </c>
      <c r="C26" s="260" t="str">
        <f>IF(inputPrYr!C21&gt;0,inputPrYr!C21,"  ")</f>
        <v xml:space="preserve">  </v>
      </c>
      <c r="D26" s="261">
        <f>IF(levypage9!C81&gt;0,levypage9!C81,"  ")</f>
        <v>8</v>
      </c>
      <c r="E26" s="732">
        <f>IF(levypage9!$E$73&lt;&gt;0,levypage9!$E$73,"  ")</f>
        <v>2200</v>
      </c>
      <c r="F26" s="732">
        <f>IF(levypage9!$E$80&lt;&gt;0,levypage9!$E$80,"  ")</f>
        <v>647</v>
      </c>
      <c r="G26" s="733">
        <f>IF(AND(levypage9!E80=0,$C$40&gt;=0)," ",IF(AND(F26&gt;0,$C$40=0)," ",IF(AND(F26&gt;0,$C$40&gt;0),ROUND(F26/$C$40*1000,3))))</f>
        <v>0.36199999999999999</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f>IF(road!C67&gt;0,road!C67,"  ")</f>
        <v>7</v>
      </c>
      <c r="E34" s="236"/>
      <c r="F34" s="236"/>
      <c r="G34" s="733"/>
    </row>
    <row r="35" spans="2:8" s="14" customFormat="1" ht="16.5" thickBot="1" x14ac:dyDescent="0.3">
      <c r="B35" s="266" t="s">
        <v>289</v>
      </c>
      <c r="C35" s="267"/>
      <c r="D35" s="159" t="s">
        <v>290</v>
      </c>
      <c r="E35" s="734">
        <f>SUM(E21:E30)</f>
        <v>32785</v>
      </c>
      <c r="F35" s="734">
        <f>SUM(F21:F30)</f>
        <v>19885</v>
      </c>
      <c r="G35" s="735">
        <f>IF(SUM(G21:G30)&gt;0,SUM(G21:G30),"")</f>
        <v>11.120000000000001</v>
      </c>
    </row>
    <row r="36" spans="2:8" s="14" customFormat="1" ht="16.5" thickTop="1" x14ac:dyDescent="0.25">
      <c r="B36" s="27" t="s">
        <v>168</v>
      </c>
      <c r="C36" s="259"/>
      <c r="D36" s="264">
        <f>summ!D49</f>
        <v>9</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3" t="s">
        <v>124</v>
      </c>
      <c r="D39" s="784"/>
      <c r="E39" s="272"/>
      <c r="G39" s="22" t="s">
        <v>291</v>
      </c>
    </row>
    <row r="40" spans="2:8" s="14" customFormat="1" x14ac:dyDescent="0.25">
      <c r="B40" s="27" t="s">
        <v>98</v>
      </c>
      <c r="C40" s="785">
        <v>1788368</v>
      </c>
      <c r="D40" s="786"/>
      <c r="E40" s="273"/>
      <c r="G40" s="22"/>
    </row>
    <row r="41" spans="2:8" s="14" customFormat="1" x14ac:dyDescent="0.25">
      <c r="B41" s="274"/>
      <c r="C41" s="787" t="str">
        <f>CONCATENATE("Nov. 1, ",H1-1," Valuation")</f>
        <v>Nov. 1, 2012 Valuation</v>
      </c>
      <c r="D41" s="788"/>
      <c r="E41" s="272"/>
      <c r="G41" s="22"/>
    </row>
    <row r="42" spans="2:8" s="14" customFormat="1" x14ac:dyDescent="0.25">
      <c r="B42" s="274" t="s">
        <v>292</v>
      </c>
      <c r="E42" s="19"/>
      <c r="G42" s="22"/>
    </row>
    <row r="43" spans="2:8" s="14" customFormat="1" x14ac:dyDescent="0.25">
      <c r="B43" s="275" t="s">
        <v>946</v>
      </c>
      <c r="C43" s="275"/>
      <c r="E43" s="736" t="s">
        <v>852</v>
      </c>
      <c r="F43" s="736"/>
      <c r="G43" s="736"/>
    </row>
    <row r="44" spans="2:8" s="14" customFormat="1" x14ac:dyDescent="0.25">
      <c r="B44" s="276"/>
      <c r="C44" s="276"/>
      <c r="E44" s="737"/>
      <c r="F44" s="737"/>
      <c r="G44" s="737"/>
    </row>
    <row r="45" spans="2:8" s="14" customFormat="1" x14ac:dyDescent="0.25">
      <c r="B45" s="274" t="s">
        <v>145</v>
      </c>
      <c r="E45" s="736" t="s">
        <v>852</v>
      </c>
      <c r="F45" s="736"/>
      <c r="G45" s="736"/>
    </row>
    <row r="46" spans="2:8" s="14" customFormat="1" x14ac:dyDescent="0.25">
      <c r="B46" s="275" t="s">
        <v>947</v>
      </c>
      <c r="C46" s="275"/>
      <c r="D46" s="22"/>
      <c r="E46" s="736"/>
      <c r="F46" s="736"/>
      <c r="G46" s="736"/>
    </row>
    <row r="47" spans="2:8" s="14" customFormat="1" x14ac:dyDescent="0.25">
      <c r="B47" s="276" t="s">
        <v>948</v>
      </c>
      <c r="C47" s="276"/>
      <c r="D47" s="22"/>
      <c r="E47" s="736" t="s">
        <v>852</v>
      </c>
      <c r="F47" s="738"/>
      <c r="G47" s="738"/>
    </row>
    <row r="48" spans="2:8" x14ac:dyDescent="0.25">
      <c r="B48" s="274" t="s">
        <v>836</v>
      </c>
      <c r="C48" s="14"/>
      <c r="D48" s="22"/>
      <c r="E48" s="739"/>
      <c r="F48" s="736"/>
      <c r="G48" s="736"/>
      <c r="H48" s="90"/>
    </row>
    <row r="49" spans="2:8" x14ac:dyDescent="0.25">
      <c r="B49" s="275" t="s">
        <v>949</v>
      </c>
      <c r="C49" s="275"/>
      <c r="D49" s="22"/>
      <c r="E49" s="736" t="s">
        <v>852</v>
      </c>
      <c r="F49" s="738"/>
      <c r="G49" s="738"/>
      <c r="H49" s="90"/>
    </row>
    <row r="50" spans="2:8" x14ac:dyDescent="0.25">
      <c r="B50" s="66"/>
      <c r="C50" s="14"/>
      <c r="D50" s="22"/>
      <c r="E50" s="739"/>
      <c r="F50" s="736"/>
      <c r="G50" s="736"/>
      <c r="H50" s="90"/>
    </row>
    <row r="51" spans="2:8" x14ac:dyDescent="0.25">
      <c r="B51" s="537" t="s">
        <v>149</v>
      </c>
      <c r="C51" s="279">
        <f>H1-1</f>
        <v>2012</v>
      </c>
      <c r="D51" s="22"/>
      <c r="E51" s="736" t="s">
        <v>852</v>
      </c>
      <c r="F51" s="738"/>
      <c r="G51" s="738"/>
      <c r="H51" s="90"/>
    </row>
    <row r="52" spans="2:8" x14ac:dyDescent="0.25">
      <c r="B52" s="14"/>
      <c r="C52" s="14"/>
      <c r="D52" s="14"/>
      <c r="E52" s="736"/>
      <c r="F52" s="739"/>
      <c r="G52" s="736"/>
      <c r="H52" s="90"/>
    </row>
    <row r="53" spans="2:8" x14ac:dyDescent="0.25">
      <c r="B53" s="527"/>
      <c r="C53" s="14"/>
      <c r="D53" s="14"/>
      <c r="E53" s="736" t="s">
        <v>852</v>
      </c>
      <c r="F53" s="736"/>
      <c r="G53" s="736"/>
      <c r="H53" s="90"/>
    </row>
    <row r="54" spans="2:8" x14ac:dyDescent="0.25">
      <c r="B54" s="49" t="s">
        <v>294</v>
      </c>
      <c r="C54" s="14"/>
      <c r="D54" s="14"/>
      <c r="E54" s="771" t="s">
        <v>293</v>
      </c>
      <c r="F54" s="772"/>
      <c r="G54" s="772"/>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B1:G1"/>
    <mergeCell ref="F12:F14"/>
    <mergeCell ref="E11:G11"/>
    <mergeCell ref="B6:G6"/>
    <mergeCell ref="B7:G7"/>
    <mergeCell ref="B3:H3"/>
    <mergeCell ref="B8:G8"/>
    <mergeCell ref="B9:G9"/>
    <mergeCell ref="B5:G5"/>
    <mergeCell ref="B4:G4"/>
    <mergeCell ref="E54:G54"/>
    <mergeCell ref="C39:D39"/>
    <mergeCell ref="C40:D40"/>
    <mergeCell ref="C41:D41"/>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4294967292" verticalDpi="96"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6" sqref="J6"/>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Penn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3"/>
      <c r="C3" s="773"/>
      <c r="D3" s="773"/>
      <c r="E3" s="773"/>
      <c r="F3" s="773"/>
      <c r="G3" s="773"/>
      <c r="H3" s="773"/>
      <c r="I3" s="773"/>
      <c r="J3" s="773"/>
    </row>
    <row r="4" spans="1:10" x14ac:dyDescent="0.25">
      <c r="A4" s="14"/>
      <c r="B4" s="14"/>
      <c r="C4" s="14"/>
      <c r="D4" s="14"/>
      <c r="E4" s="773"/>
      <c r="F4" s="773"/>
      <c r="G4" s="773"/>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v>19476</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19476</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33679</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59315</v>
      </c>
      <c r="F14" s="246"/>
      <c r="G14" s="55"/>
      <c r="H14" s="55"/>
      <c r="I14" s="53"/>
      <c r="J14" s="55"/>
    </row>
    <row r="15" spans="1:10" x14ac:dyDescent="0.25">
      <c r="A15" s="245"/>
      <c r="B15" s="14" t="s">
        <v>87</v>
      </c>
      <c r="C15" s="14" t="str">
        <f>CONCATENATE("Personal Property ",J1-2,"")</f>
        <v>Personal Property 2011</v>
      </c>
      <c r="D15" s="245" t="s">
        <v>82</v>
      </c>
      <c r="E15" s="249">
        <f>inputOth!E11</f>
        <v>60308</v>
      </c>
      <c r="F15" s="246"/>
      <c r="G15" s="53"/>
      <c r="H15" s="53"/>
      <c r="I15" s="55"/>
      <c r="J15" s="55"/>
    </row>
    <row r="16" spans="1:10" x14ac:dyDescent="0.25">
      <c r="A16" s="245"/>
      <c r="B16" s="14" t="s">
        <v>88</v>
      </c>
      <c r="C16" s="14" t="s">
        <v>108</v>
      </c>
      <c r="D16" s="14"/>
      <c r="E16" s="55"/>
      <c r="F16" s="55" t="s">
        <v>15</v>
      </c>
      <c r="G16" s="247">
        <f>IF(E14&gt;E15,E14-E15,0)</f>
        <v>0</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3151</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36830</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1788368</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1751538</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2.102723435061072E-2</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410</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19886</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19886</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A4" zoomScale="85" workbookViewId="0">
      <selection activeCell="D17" sqref="D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Penn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768</v>
      </c>
      <c r="C6" s="772"/>
      <c r="D6" s="772"/>
      <c r="E6" s="772"/>
      <c r="F6" s="772"/>
      <c r="G6" s="772"/>
      <c r="H6" s="772"/>
      <c r="I6" s="772"/>
      <c r="J6" s="772"/>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766</v>
      </c>
      <c r="C9" s="171"/>
      <c r="D9" s="562" t="s">
        <v>767</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t="str">
        <f>IF(inputPrYr!E16&gt;0,inputPrYr!E16,"  ")</f>
        <v xml:space="preserve">  </v>
      </c>
      <c r="E11" s="131" t="str">
        <f>IF(inputOth!D17&gt;0,inputOth!D17,"  ")</f>
        <v xml:space="preserve"> </v>
      </c>
      <c r="F11" s="727"/>
      <c r="G11" s="161">
        <f>IF(inputPrYr!E16=0,0,G23-SUM(G12:G20))</f>
        <v>0</v>
      </c>
      <c r="H11" s="728"/>
      <c r="I11" s="161">
        <f>IF(inputPrYr!E16=0,0,I25-SUM(I12:I20))</f>
        <v>0</v>
      </c>
      <c r="J11" s="161">
        <f>IF(inputPrYr!E16=0,0,J27-SUM(J12:J20))</f>
        <v>0</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v>18763</v>
      </c>
      <c r="E14" s="131">
        <f>IF(inputOth!D20&gt;0,inputOth!D20,"  ")</f>
        <v>10.500999999999999</v>
      </c>
      <c r="F14" s="727"/>
      <c r="G14" s="161">
        <v>1682</v>
      </c>
      <c r="H14" s="728"/>
      <c r="I14" s="161">
        <v>40</v>
      </c>
      <c r="J14" s="161">
        <v>431</v>
      </c>
      <c r="K14" s="90"/>
      <c r="L14" s="90"/>
      <c r="M14" s="559"/>
    </row>
    <row r="15" spans="2:13" x14ac:dyDescent="0.25">
      <c r="B15" s="85" t="s">
        <v>933</v>
      </c>
      <c r="C15" s="234"/>
      <c r="D15" s="161">
        <v>475</v>
      </c>
      <c r="E15" s="131">
        <f>IF(inputOth!D21&gt;0,inputOth!D21,"  ")</f>
        <v>0.629</v>
      </c>
      <c r="F15" s="727"/>
      <c r="G15" s="161">
        <v>101</v>
      </c>
      <c r="H15" s="728"/>
      <c r="I15" s="161">
        <v>2</v>
      </c>
      <c r="J15" s="161">
        <v>19</v>
      </c>
      <c r="K15" s="90"/>
      <c r="L15" s="90"/>
      <c r="M15" s="559"/>
    </row>
    <row r="16" spans="2:13" x14ac:dyDescent="0.25">
      <c r="B16" s="85" t="s">
        <v>934</v>
      </c>
      <c r="C16" s="234"/>
      <c r="D16" s="161">
        <v>647</v>
      </c>
      <c r="E16" s="131">
        <f>IF(inputOth!D22&gt;0,inputOth!D22,"  ")</f>
        <v>0.32800000000000001</v>
      </c>
      <c r="F16" s="727"/>
      <c r="G16" s="161">
        <v>53</v>
      </c>
      <c r="H16" s="728"/>
      <c r="I16" s="161">
        <v>1</v>
      </c>
      <c r="J16" s="161">
        <v>24</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19885</v>
      </c>
      <c r="E21" s="730">
        <f>SUM(E11:E20)</f>
        <v>11.457999999999998</v>
      </c>
      <c r="F21" s="731"/>
      <c r="G21" s="729">
        <f>SUM(G11:G20)</f>
        <v>1836</v>
      </c>
      <c r="H21" s="729"/>
      <c r="I21" s="729">
        <f>SUM(I11:I20)</f>
        <v>43</v>
      </c>
      <c r="J21" s="729">
        <f>SUM(J11:J20)</f>
        <v>474</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1836</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43</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474</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9.2330902690470201E-2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2.1624339954739755E-3</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2.3837063112899171E-2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A13" sqref="A12:IV1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Penn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3" t="s">
        <v>169</v>
      </c>
      <c r="B5" s="773"/>
      <c r="C5" s="773"/>
      <c r="D5" s="773"/>
      <c r="E5" s="773"/>
      <c r="F5" s="773"/>
    </row>
    <row r="6" spans="1:6" ht="14.25" customHeight="1" x14ac:dyDescent="0.25">
      <c r="A6" s="125"/>
      <c r="B6" s="213"/>
      <c r="C6" s="213"/>
      <c r="D6" s="213"/>
      <c r="E6" s="213"/>
      <c r="F6" s="213"/>
    </row>
    <row r="7" spans="1:6" ht="15" customHeight="1" x14ac:dyDescent="0.25">
      <c r="A7" s="214" t="s">
        <v>284</v>
      </c>
      <c r="B7" s="214" t="s">
        <v>610</v>
      </c>
      <c r="C7" s="215" t="s">
        <v>32</v>
      </c>
      <c r="D7" s="215" t="s">
        <v>170</v>
      </c>
      <c r="E7" s="214" t="s">
        <v>171</v>
      </c>
      <c r="F7" s="214" t="s">
        <v>172</v>
      </c>
    </row>
    <row r="8" spans="1:6" ht="15" customHeight="1" x14ac:dyDescent="0.25">
      <c r="A8" s="216" t="s">
        <v>611</v>
      </c>
      <c r="B8" s="216" t="s">
        <v>612</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3500</v>
      </c>
      <c r="D11" s="223">
        <f>gen!$D$43</f>
        <v>3100</v>
      </c>
      <c r="E11" s="223">
        <f>gen!$E$43</f>
        <v>3100</v>
      </c>
      <c r="F11" s="73" t="str">
        <f>IF(C11+D11+E11&gt;0,"80-1406b","")</f>
        <v>80-1406b</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1100</v>
      </c>
      <c r="D13" s="223">
        <f>road!$D$38</f>
        <v>0</v>
      </c>
      <c r="E13" s="223">
        <f>road!$E$38</f>
        <v>1100</v>
      </c>
      <c r="F13" s="73" t="str">
        <f>IF(C13+D13+E13&gt;0,"68-141g","")</f>
        <v>68-141g</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4600</v>
      </c>
      <c r="D27" s="228">
        <f>SUM(D10:D26)</f>
        <v>3100</v>
      </c>
      <c r="E27" s="228">
        <f>SUM(E10:E26)</f>
        <v>4200</v>
      </c>
      <c r="F27" s="129"/>
    </row>
    <row r="28" spans="1:6" x14ac:dyDescent="0.25">
      <c r="A28" s="129"/>
      <c r="B28" s="227" t="s">
        <v>609</v>
      </c>
      <c r="C28" s="129"/>
      <c r="D28" s="224"/>
      <c r="E28" s="224"/>
      <c r="F28" s="129"/>
    </row>
    <row r="29" spans="1:6" x14ac:dyDescent="0.25">
      <c r="A29" s="129"/>
      <c r="B29" s="179" t="s">
        <v>177</v>
      </c>
      <c r="C29" s="229">
        <f>C27</f>
        <v>4600</v>
      </c>
      <c r="D29" s="229">
        <f>SUM(D27-D28)</f>
        <v>3100</v>
      </c>
      <c r="E29" s="229">
        <f>SUM(E27-E28)</f>
        <v>4200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613</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0"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710</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711</v>
      </c>
    </row>
    <row r="13" spans="1:1" x14ac:dyDescent="0.25">
      <c r="A13" s="165"/>
    </row>
    <row r="14" spans="1:1" x14ac:dyDescent="0.25">
      <c r="A14" s="165"/>
    </row>
    <row r="15" spans="1:1" ht="63" x14ac:dyDescent="0.25">
      <c r="A15" s="485" t="s">
        <v>712</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765</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2012-07-11T16:47:05Z</cp:lastPrinted>
  <dcterms:created xsi:type="dcterms:W3CDTF">1998-08-26T16:30:41Z</dcterms:created>
  <dcterms:modified xsi:type="dcterms:W3CDTF">2012-12-05T17:10:15Z</dcterms:modified>
</cp:coreProperties>
</file>