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s="1"/>
  <c r="D8" i="35"/>
  <c r="D20" i="35" s="1"/>
  <c r="D48" i="10"/>
  <c r="D8" i="10"/>
  <c r="D20" i="10" s="1"/>
  <c r="D48" i="9"/>
  <c r="D8" i="9"/>
  <c r="D20" i="9"/>
  <c r="D48" i="8"/>
  <c r="D8" i="8"/>
  <c r="D8" i="7"/>
  <c r="D8" i="6"/>
  <c r="D26" i="6" s="1"/>
  <c r="G18" i="2"/>
  <c r="D79" i="35"/>
  <c r="D39" i="35"/>
  <c r="D19" i="3"/>
  <c r="C61" i="6"/>
  <c r="D75" i="35"/>
  <c r="C75" i="35"/>
  <c r="C35" i="35"/>
  <c r="D35" i="35"/>
  <c r="B45" i="35"/>
  <c r="B19" i="3"/>
  <c r="B46" i="12"/>
  <c r="B47" i="12"/>
  <c r="G21" i="31"/>
  <c r="G23" i="3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B84" i="34" s="1"/>
  <c r="E14" i="34"/>
  <c r="B8" i="34"/>
  <c r="B7" i="34"/>
  <c r="B5" i="34"/>
  <c r="B5" i="35"/>
  <c r="E1" i="35"/>
  <c r="H79" i="35" s="1"/>
  <c r="B1" i="35"/>
  <c r="D73" i="35"/>
  <c r="E20" i="12" s="1"/>
  <c r="C73" i="35"/>
  <c r="C20" i="12" s="1"/>
  <c r="C60" i="35"/>
  <c r="C61" i="35" s="1"/>
  <c r="C74" i="35" s="1"/>
  <c r="D33" i="35"/>
  <c r="E19" i="12"/>
  <c r="C33" i="35"/>
  <c r="C93" i="35" s="1"/>
  <c r="C19" i="12"/>
  <c r="C20" i="35"/>
  <c r="C21" i="35" s="1"/>
  <c r="B78" i="34"/>
  <c r="B89" i="34"/>
  <c r="B2" i="4"/>
  <c r="J148" i="32"/>
  <c r="H134" i="32"/>
  <c r="C137" i="32" s="1"/>
  <c r="J137" i="32" s="1"/>
  <c r="H120" i="32"/>
  <c r="C123" i="32"/>
  <c r="H114" i="32"/>
  <c r="F117" i="32" s="1"/>
  <c r="H117" i="32" s="1"/>
  <c r="F123" i="32" s="1"/>
  <c r="H100" i="32"/>
  <c r="C103" i="32" s="1"/>
  <c r="H94" i="32"/>
  <c r="F97" i="32"/>
  <c r="H97" i="32" s="1"/>
  <c r="F103" i="32" s="1"/>
  <c r="H80" i="32"/>
  <c r="C83" i="32"/>
  <c r="H74" i="32"/>
  <c r="F77" i="32" s="1"/>
  <c r="H77" i="32" s="1"/>
  <c r="F83" i="32" s="1"/>
  <c r="H48" i="32"/>
  <c r="F50" i="32"/>
  <c r="J50" i="32" s="1"/>
  <c r="H41" i="32"/>
  <c r="B28" i="32"/>
  <c r="H28" i="32" s="1"/>
  <c r="H25" i="32"/>
  <c r="C25" i="32"/>
  <c r="G25" i="2"/>
  <c r="G24" i="2"/>
  <c r="G23" i="2"/>
  <c r="G22" i="2"/>
  <c r="G21" i="2"/>
  <c r="G20" i="2"/>
  <c r="G19" i="2"/>
  <c r="G17" i="2"/>
  <c r="G16" i="2"/>
  <c r="C31" i="12"/>
  <c r="D34" i="3"/>
  <c r="D30" i="3"/>
  <c r="D29" i="3"/>
  <c r="D28" i="3"/>
  <c r="D27" i="3"/>
  <c r="D26" i="3"/>
  <c r="D25" i="3"/>
  <c r="D24" i="3"/>
  <c r="D21" i="3"/>
  <c r="C59" i="7"/>
  <c r="C58" i="7"/>
  <c r="C57" i="7"/>
  <c r="C63" i="7" s="1"/>
  <c r="C65" i="7" s="1"/>
  <c r="D39" i="10"/>
  <c r="D79" i="10"/>
  <c r="D39" i="9"/>
  <c r="D79" i="9"/>
  <c r="E79" i="9" s="1"/>
  <c r="D39" i="8"/>
  <c r="D79" i="8"/>
  <c r="D49" i="7"/>
  <c r="D56" i="6"/>
  <c r="E56" i="6"/>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H17" i="24"/>
  <c r="H18" i="24"/>
  <c r="F17" i="24"/>
  <c r="F18" i="24"/>
  <c r="D17" i="24"/>
  <c r="D18" i="24"/>
  <c r="B17" i="24"/>
  <c r="B18" i="24"/>
  <c r="K7" i="24"/>
  <c r="E14" i="2"/>
  <c r="G15" i="2" s="1"/>
  <c r="D14" i="2"/>
  <c r="D14" i="4"/>
  <c r="D20" i="4"/>
  <c r="D19" i="4"/>
  <c r="D18" i="4"/>
  <c r="D17" i="4"/>
  <c r="D16" i="4"/>
  <c r="D15" i="4"/>
  <c r="D12" i="4"/>
  <c r="E12" i="21"/>
  <c r="D12" i="21"/>
  <c r="C12" i="21"/>
  <c r="F12" i="21" s="1"/>
  <c r="D11" i="4"/>
  <c r="J6" i="14"/>
  <c r="A26" i="2"/>
  <c r="D43" i="7"/>
  <c r="D74" i="7" s="1"/>
  <c r="C43" i="7"/>
  <c r="C74" i="7" s="1"/>
  <c r="D23" i="7"/>
  <c r="E13" i="7"/>
  <c r="C26" i="6"/>
  <c r="C27" i="6" s="1"/>
  <c r="C44" i="6"/>
  <c r="E13" i="6"/>
  <c r="E14" i="6"/>
  <c r="E26" i="2"/>
  <c r="G23" i="4"/>
  <c r="I25" i="4"/>
  <c r="J27" i="4"/>
  <c r="C20" i="10"/>
  <c r="C21" i="10"/>
  <c r="C33" i="10"/>
  <c r="G38" i="10" s="1"/>
  <c r="D33" i="10"/>
  <c r="D60" i="10"/>
  <c r="D59" i="10"/>
  <c r="C60" i="10"/>
  <c r="C61" i="10"/>
  <c r="C73" i="10"/>
  <c r="G78" i="10"/>
  <c r="D73" i="10"/>
  <c r="D72" i="10"/>
  <c r="C20" i="9"/>
  <c r="C21" i="9"/>
  <c r="C33" i="9"/>
  <c r="G38" i="9"/>
  <c r="D33" i="9"/>
  <c r="C73" i="9"/>
  <c r="G78" i="9" s="1"/>
  <c r="C60" i="9"/>
  <c r="C59" i="9" s="1"/>
  <c r="D60" i="9"/>
  <c r="D73" i="9"/>
  <c r="D72" i="9"/>
  <c r="D60" i="8"/>
  <c r="C20" i="8"/>
  <c r="C21" i="8" s="1"/>
  <c r="C33" i="8"/>
  <c r="G38" i="8"/>
  <c r="D20" i="8"/>
  <c r="D33" i="8"/>
  <c r="D92" i="8" s="1"/>
  <c r="C73" i="8"/>
  <c r="G78" i="8" s="1"/>
  <c r="C60" i="8"/>
  <c r="D11" i="21"/>
  <c r="D27" i="21" s="1"/>
  <c r="D29" i="21" s="1"/>
  <c r="E33" i="12" s="1"/>
  <c r="E13" i="21"/>
  <c r="D13" i="21"/>
  <c r="C13" i="21"/>
  <c r="C11" i="21"/>
  <c r="C27" i="21"/>
  <c r="C29" i="21" s="1"/>
  <c r="C33" i="12" s="1"/>
  <c r="C23" i="7"/>
  <c r="C24" i="7" s="1"/>
  <c r="D73" i="8"/>
  <c r="D94" i="8" s="1"/>
  <c r="E1" i="10"/>
  <c r="H38" i="10" s="1"/>
  <c r="B35" i="10"/>
  <c r="E1" i="9"/>
  <c r="H86" i="9" s="1"/>
  <c r="C40" i="9"/>
  <c r="E1" i="8"/>
  <c r="H38" i="8"/>
  <c r="C80" i="8"/>
  <c r="E1" i="7"/>
  <c r="H55" i="7" s="1"/>
  <c r="E1" i="6"/>
  <c r="H62" i="6" s="1"/>
  <c r="D28" i="17"/>
  <c r="C28" i="17"/>
  <c r="C27" i="17" s="1"/>
  <c r="D59" i="17"/>
  <c r="E29" i="12" s="1"/>
  <c r="C59" i="17"/>
  <c r="E1" i="17"/>
  <c r="B30" i="17" s="1"/>
  <c r="C30" i="17"/>
  <c r="D61" i="17"/>
  <c r="C61" i="17"/>
  <c r="D30" i="17"/>
  <c r="D31" i="2"/>
  <c r="A31" i="2"/>
  <c r="A55" i="2"/>
  <c r="A54" i="2"/>
  <c r="D40" i="2"/>
  <c r="G11" i="14"/>
  <c r="E14" i="14"/>
  <c r="E15" i="14"/>
  <c r="G18" i="14"/>
  <c r="E22" i="14"/>
  <c r="E1" i="20"/>
  <c r="A39" i="20" s="1"/>
  <c r="D37" i="3"/>
  <c r="D38" i="3"/>
  <c r="D6" i="22"/>
  <c r="E6" i="22"/>
  <c r="E47" i="6" s="1"/>
  <c r="E50" i="6" s="1"/>
  <c r="D7" i="22"/>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s="1"/>
  <c r="D21" i="22"/>
  <c r="D23" i="22"/>
  <c r="D25" i="22" s="1"/>
  <c r="E46" i="17"/>
  <c r="E45" i="17" s="1"/>
  <c r="D46" i="17"/>
  <c r="D45" i="17" s="1"/>
  <c r="C46" i="17"/>
  <c r="C45" i="17" s="1"/>
  <c r="E59" i="17"/>
  <c r="E58" i="17" s="1"/>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16" i="17"/>
  <c r="C29" i="17"/>
  <c r="C32" i="17" s="1"/>
  <c r="A57" i="20"/>
  <c r="A56" i="20"/>
  <c r="A55" i="20"/>
  <c r="A54" i="20"/>
  <c r="A53" i="20"/>
  <c r="A52" i="20"/>
  <c r="A51" i="20"/>
  <c r="A50" i="20"/>
  <c r="A49" i="20"/>
  <c r="A47" i="20"/>
  <c r="A46" i="20"/>
  <c r="E12" i="4"/>
  <c r="E14" i="4"/>
  <c r="E15" i="4"/>
  <c r="E17" i="4"/>
  <c r="E18" i="4"/>
  <c r="E19" i="4"/>
  <c r="E20" i="4"/>
  <c r="E11" i="4"/>
  <c r="J1" i="4"/>
  <c r="B10" i="4" s="1"/>
  <c r="G37" i="12"/>
  <c r="G27" i="34"/>
  <c r="G28" i="12"/>
  <c r="E28" i="12"/>
  <c r="D27" i="20"/>
  <c r="F27" i="12"/>
  <c r="G84" i="10"/>
  <c r="F26" i="12"/>
  <c r="G44" i="10"/>
  <c r="F25" i="12"/>
  <c r="G84" i="9"/>
  <c r="F24" i="12"/>
  <c r="G44" i="9"/>
  <c r="F23" i="12"/>
  <c r="G84" i="8" s="1"/>
  <c r="F22" i="12"/>
  <c r="G44" i="8" s="1"/>
  <c r="F21" i="12"/>
  <c r="G54" i="7"/>
  <c r="F19" i="12"/>
  <c r="G44" i="35"/>
  <c r="F18" i="12"/>
  <c r="G61" i="6"/>
  <c r="C37" i="12"/>
  <c r="A26" i="20"/>
  <c r="A25" i="20"/>
  <c r="A24" i="20"/>
  <c r="A23" i="20"/>
  <c r="A22" i="20"/>
  <c r="A21" i="20"/>
  <c r="A20" i="20"/>
  <c r="A18" i="20"/>
  <c r="A17" i="20"/>
  <c r="H25" i="4"/>
  <c r="F15" i="13"/>
  <c r="G41" i="12" s="1"/>
  <c r="F1" i="21"/>
  <c r="D9" i="21" s="1"/>
  <c r="A2" i="21"/>
  <c r="E37" i="12"/>
  <c r="E27" i="34" s="1"/>
  <c r="E28" i="34" s="1"/>
  <c r="H1" i="3"/>
  <c r="C41" i="3"/>
  <c r="A52" i="2"/>
  <c r="E42" i="12"/>
  <c r="E41" i="12"/>
  <c r="C42" i="12"/>
  <c r="C41" i="12"/>
  <c r="E40" i="12"/>
  <c r="E43" i="12"/>
  <c r="C40" i="12"/>
  <c r="C43" i="12" s="1"/>
  <c r="E58" i="2"/>
  <c r="D58" i="2"/>
  <c r="A8" i="20"/>
  <c r="A2" i="20"/>
  <c r="A1" i="20"/>
  <c r="A41" i="2"/>
  <c r="A13" i="2"/>
  <c r="A7" i="16"/>
  <c r="A11" i="16"/>
  <c r="A26" i="16"/>
  <c r="A30" i="16"/>
  <c r="F11" i="13"/>
  <c r="G40" i="12"/>
  <c r="L15" i="13"/>
  <c r="K15" i="13"/>
  <c r="J15" i="13"/>
  <c r="I15" i="13"/>
  <c r="L11" i="13"/>
  <c r="L16" i="13" s="1"/>
  <c r="K11" i="13"/>
  <c r="K16" i="13" s="1"/>
  <c r="J11" i="13"/>
  <c r="J16" i="13" s="1"/>
  <c r="I11" i="13"/>
  <c r="I16" i="13"/>
  <c r="I1" i="12"/>
  <c r="K43" i="12"/>
  <c r="D19" i="12"/>
  <c r="B12" i="4"/>
  <c r="L1" i="13"/>
  <c r="G23" i="13"/>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s="1"/>
  <c r="C59" i="8"/>
  <c r="E35" i="12"/>
  <c r="J5" i="14"/>
  <c r="J7" i="14" s="1"/>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s="1"/>
  <c r="D29" i="17" s="1"/>
  <c r="E32" i="3"/>
  <c r="J29" i="24"/>
  <c r="J30" i="24" s="1"/>
  <c r="H29" i="24"/>
  <c r="H30" i="24" s="1"/>
  <c r="F29" i="24"/>
  <c r="F30" i="24" s="1"/>
  <c r="D29" i="24"/>
  <c r="D30" i="24" s="1"/>
  <c r="K28" i="24"/>
  <c r="C30" i="12" s="1"/>
  <c r="H23" i="13"/>
  <c r="E39" i="12"/>
  <c r="B75" i="9"/>
  <c r="B11" i="12"/>
  <c r="E9" i="4"/>
  <c r="B29" i="24"/>
  <c r="B30" i="24"/>
  <c r="K18" i="24"/>
  <c r="K17" i="24"/>
  <c r="D58" i="17"/>
  <c r="C58" i="17"/>
  <c r="E31" i="3"/>
  <c r="D27" i="17"/>
  <c r="C25" i="12"/>
  <c r="C32" i="8"/>
  <c r="D42" i="7"/>
  <c r="A19" i="22"/>
  <c r="F13" i="21"/>
  <c r="E11" i="21"/>
  <c r="E27" i="21" s="1"/>
  <c r="E29" i="21" s="1"/>
  <c r="G33" i="12" s="1"/>
  <c r="D44" i="6"/>
  <c r="D31" i="17"/>
  <c r="C62" i="17"/>
  <c r="C31" i="17"/>
  <c r="C72" i="9"/>
  <c r="C80" i="9"/>
  <c r="D94" i="10"/>
  <c r="C94" i="10"/>
  <c r="D92" i="10"/>
  <c r="C92" i="10"/>
  <c r="D94" i="9"/>
  <c r="C94" i="9"/>
  <c r="D92" i="9"/>
  <c r="C34" i="9"/>
  <c r="C92" i="9"/>
  <c r="B37" i="9" s="1"/>
  <c r="C94" i="8"/>
  <c r="B77" i="8" s="1"/>
  <c r="C92" i="8"/>
  <c r="B37" i="8" s="1"/>
  <c r="C21" i="12"/>
  <c r="C42" i="7"/>
  <c r="D21" i="4"/>
  <c r="G30" i="4" s="1"/>
  <c r="G14" i="4" s="1"/>
  <c r="G13" i="4"/>
  <c r="C22" i="7"/>
  <c r="G18" i="4"/>
  <c r="E50" i="9" s="1"/>
  <c r="G20" i="4"/>
  <c r="E50" i="10" s="1"/>
  <c r="G19" i="4"/>
  <c r="E10" i="10" s="1"/>
  <c r="G15" i="4"/>
  <c r="E10" i="8" s="1"/>
  <c r="G17" i="4"/>
  <c r="E10" i="9" s="1"/>
  <c r="G16" i="4"/>
  <c r="E50" i="8" s="1"/>
  <c r="C39" i="12"/>
  <c r="C57" i="6"/>
  <c r="C50" i="7"/>
  <c r="K27" i="12"/>
  <c r="K40" i="12"/>
  <c r="K28" i="12"/>
  <c r="K32" i="12"/>
  <c r="K41" i="12"/>
  <c r="K29" i="24"/>
  <c r="C46" i="6"/>
  <c r="C50" i="6" s="1"/>
  <c r="K30" i="24"/>
  <c r="A43" i="20"/>
  <c r="D58" i="7"/>
  <c r="G22" i="31"/>
  <c r="G20" i="31"/>
  <c r="G24" i="31"/>
  <c r="B15" i="3"/>
  <c r="E21" i="4"/>
  <c r="B77" i="9"/>
  <c r="G16" i="14"/>
  <c r="G20" i="14" s="1"/>
  <c r="C95" i="35"/>
  <c r="B32" i="21"/>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s="1"/>
  <c r="D10" i="4"/>
  <c r="J83" i="32"/>
  <c r="J123" i="32"/>
  <c r="J103" i="32"/>
  <c r="I19" i="4"/>
  <c r="E11" i="10" s="1"/>
  <c r="I20" i="4"/>
  <c r="E51" i="10" s="1"/>
  <c r="I17" i="4"/>
  <c r="E11" i="9" s="1"/>
  <c r="I18" i="4"/>
  <c r="E51" i="9" s="1"/>
  <c r="D5" i="6"/>
  <c r="D5" i="9" s="1"/>
  <c r="D45" i="9" s="1"/>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E5" i="6"/>
  <c r="E5" i="7" s="1"/>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s="1"/>
  <c r="J18" i="4"/>
  <c r="E52" i="9" s="1"/>
  <c r="J17" i="4"/>
  <c r="E12" i="9" s="1"/>
  <c r="J20" i="4"/>
  <c r="E52" i="10" s="1"/>
  <c r="C34" i="35"/>
  <c r="C94" i="35" s="1"/>
  <c r="D32" i="35"/>
  <c r="D93" i="35"/>
  <c r="C72" i="35"/>
  <c r="G48" i="7"/>
  <c r="C19" i="8"/>
  <c r="C34" i="10"/>
  <c r="C93" i="10" s="1"/>
  <c r="C74" i="10"/>
  <c r="E70" i="35"/>
  <c r="E73" i="35" s="1"/>
  <c r="E40" i="7"/>
  <c r="E43" i="7" s="1"/>
  <c r="F32" i="12"/>
  <c r="G86" i="35" s="1"/>
  <c r="K35" i="12"/>
  <c r="K25" i="12"/>
  <c r="K42" i="12"/>
  <c r="K34" i="12"/>
  <c r="K21" i="12"/>
  <c r="N42" i="12"/>
  <c r="G14" i="12"/>
  <c r="C14" i="12"/>
  <c r="H15" i="12"/>
  <c r="B12" i="12"/>
  <c r="G84" i="35"/>
  <c r="E6" i="17"/>
  <c r="E16" i="17"/>
  <c r="E29" i="17" s="1"/>
  <c r="E30" i="17" s="1"/>
  <c r="D32" i="17"/>
  <c r="D46" i="10"/>
  <c r="D61" i="10"/>
  <c r="D74" i="10" s="1"/>
  <c r="C95" i="10"/>
  <c r="D6" i="10"/>
  <c r="D46" i="9"/>
  <c r="D61" i="9"/>
  <c r="D74" i="9" s="1"/>
  <c r="C95" i="9"/>
  <c r="D95" i="35"/>
  <c r="B77" i="35" s="1"/>
  <c r="D46" i="35"/>
  <c r="C96" i="35"/>
  <c r="C59" i="35"/>
  <c r="D6" i="35"/>
  <c r="C5" i="7"/>
  <c r="C5" i="17"/>
  <c r="C36" i="17" s="1"/>
  <c r="C5" i="10"/>
  <c r="C45" i="10" s="1"/>
  <c r="C5" i="9"/>
  <c r="C45" i="9" s="1"/>
  <c r="C5" i="8"/>
  <c r="C45" i="8" s="1"/>
  <c r="E5" i="17"/>
  <c r="E36" i="17" s="1"/>
  <c r="E5" i="10"/>
  <c r="E45" i="10" s="1"/>
  <c r="E5" i="9"/>
  <c r="E45" i="9" s="1"/>
  <c r="E5" i="8"/>
  <c r="E45" i="8" s="1"/>
  <c r="D5" i="17"/>
  <c r="D36" i="17" s="1"/>
  <c r="D5" i="8"/>
  <c r="D45" i="8" s="1"/>
  <c r="D5" i="10"/>
  <c r="D45" i="10" s="1"/>
  <c r="D5" i="7"/>
  <c r="E39" i="10"/>
  <c r="E39" i="9"/>
  <c r="E39" i="35"/>
  <c r="G46" i="9"/>
  <c r="G63" i="6"/>
  <c r="G86" i="9"/>
  <c r="G56"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F76" i="9"/>
  <c r="E77" i="9"/>
  <c r="G25" i="12"/>
  <c r="E72" i="9"/>
  <c r="E28" i="3"/>
  <c r="E72" i="8"/>
  <c r="E77" i="8"/>
  <c r="E26" i="3"/>
  <c r="F76" i="8"/>
  <c r="G23" i="12"/>
  <c r="E77" i="10"/>
  <c r="F76" i="10"/>
  <c r="G27" i="12"/>
  <c r="E72" i="10"/>
  <c r="E30" i="3"/>
  <c r="G19" i="12"/>
  <c r="E22" i="3"/>
  <c r="E37" i="35"/>
  <c r="F36" i="35"/>
  <c r="E32" i="35"/>
  <c r="G18" i="12"/>
  <c r="E54" i="6"/>
  <c r="F53" i="6"/>
  <c r="E21" i="3"/>
  <c r="E49" i="6"/>
  <c r="G24" i="14"/>
  <c r="G26" i="14" s="1"/>
  <c r="D25" i="6"/>
  <c r="D19" i="9"/>
  <c r="D21" i="10"/>
  <c r="D34" i="10"/>
  <c r="D19" i="10"/>
  <c r="E27" i="3"/>
  <c r="E37" i="9"/>
  <c r="F36" i="9"/>
  <c r="G24" i="12"/>
  <c r="E32" i="9"/>
  <c r="E25" i="3"/>
  <c r="G22" i="12"/>
  <c r="F36" i="8"/>
  <c r="E32" i="8"/>
  <c r="E37" i="8"/>
  <c r="E37" i="10"/>
  <c r="E32" i="10"/>
  <c r="F36" i="10"/>
  <c r="G26" i="12"/>
  <c r="E29" i="3"/>
  <c r="N27" i="12"/>
  <c r="N35" i="12" s="1"/>
  <c r="G46" i="8"/>
  <c r="G46" i="10"/>
  <c r="G86" i="8"/>
  <c r="G86" i="10"/>
  <c r="N23" i="12"/>
  <c r="E16" i="22"/>
  <c r="H84" i="9"/>
  <c r="H76" i="9"/>
  <c r="G71" i="9"/>
  <c r="H45" i="9"/>
  <c r="H36" i="9"/>
  <c r="G31" i="9"/>
  <c r="H54" i="7"/>
  <c r="H46" i="7"/>
  <c r="G41" i="7"/>
  <c r="H83" i="9"/>
  <c r="H75" i="9"/>
  <c r="G68" i="9"/>
  <c r="H44" i="9"/>
  <c r="H35" i="9"/>
  <c r="G28" i="9"/>
  <c r="H56" i="7"/>
  <c r="H48" i="7"/>
  <c r="H43" i="7"/>
  <c r="B5" i="22"/>
  <c r="I32" i="4"/>
  <c r="I15" i="4" s="1"/>
  <c r="I13" i="4"/>
  <c r="E51" i="35" s="1"/>
  <c r="G9" i="4"/>
  <c r="J34" i="4"/>
  <c r="J15" i="4" s="1"/>
  <c r="E12" i="8" s="1"/>
  <c r="B46" i="34"/>
  <c r="H78" i="35"/>
  <c r="H75" i="35"/>
  <c r="D45" i="35"/>
  <c r="H33" i="35"/>
  <c r="G28" i="35"/>
  <c r="E5" i="35"/>
  <c r="H86" i="35"/>
  <c r="H84" i="35"/>
  <c r="C80" i="35"/>
  <c r="H74" i="35"/>
  <c r="G68" i="35"/>
  <c r="H46" i="35"/>
  <c r="E45" i="35"/>
  <c r="H44" i="35"/>
  <c r="H39" i="35"/>
  <c r="H36" i="35"/>
  <c r="B35" i="35"/>
  <c r="E15" i="34"/>
  <c r="E22" i="34" s="1"/>
  <c r="B9" i="3"/>
  <c r="C51" i="3"/>
  <c r="F11" i="21"/>
  <c r="C5" i="22"/>
  <c r="B35" i="9"/>
  <c r="B13" i="14"/>
  <c r="B3" i="22"/>
  <c r="B45" i="7"/>
  <c r="B8" i="3"/>
  <c r="B5" i="14"/>
  <c r="B9" i="14"/>
  <c r="C15" i="14"/>
  <c r="B32" i="14"/>
  <c r="D61" i="35"/>
  <c r="D74" i="35"/>
  <c r="E46" i="35" s="1"/>
  <c r="D59" i="35"/>
  <c r="D19" i="35"/>
  <c r="D21" i="35"/>
  <c r="D34" i="35"/>
  <c r="G33" i="35" s="1"/>
  <c r="G11" i="4"/>
  <c r="E50" i="35"/>
  <c r="E20" i="9"/>
  <c r="E60" i="9"/>
  <c r="G34" i="9"/>
  <c r="D94" i="35"/>
  <c r="J12" i="4"/>
  <c r="E6" i="10"/>
  <c r="G33" i="10"/>
  <c r="D93" i="10"/>
  <c r="J13" i="4"/>
  <c r="E52" i="35" s="1"/>
  <c r="G19" i="34" s="1"/>
  <c r="I12" i="4"/>
  <c r="E11" i="35" s="1"/>
  <c r="I14" i="4"/>
  <c r="E11" i="7" s="1"/>
  <c r="D96" i="35"/>
  <c r="B78" i="35" s="1"/>
  <c r="G73" i="35"/>
  <c r="E10" i="6"/>
  <c r="G17" i="34"/>
  <c r="I11" i="4"/>
  <c r="E11" i="6" s="1"/>
  <c r="E12" i="35"/>
  <c r="J11" i="4"/>
  <c r="E12" i="6"/>
  <c r="G19" i="31"/>
  <c r="D9" i="31" l="1"/>
  <c r="J28" i="14"/>
  <c r="J30" i="14" s="1"/>
  <c r="D16" i="22"/>
  <c r="D72" i="8"/>
  <c r="C95" i="8"/>
  <c r="D46" i="8"/>
  <c r="D61" i="8" s="1"/>
  <c r="D74" i="8" s="1"/>
  <c r="G73" i="8" s="1"/>
  <c r="C34" i="8"/>
  <c r="B47" i="7"/>
  <c r="C44" i="7"/>
  <c r="C39" i="7"/>
  <c r="J14" i="4"/>
  <c r="E12" i="7" s="1"/>
  <c r="D32" i="12"/>
  <c r="I16" i="4"/>
  <c r="E51" i="8" s="1"/>
  <c r="E20" i="10"/>
  <c r="J16" i="4"/>
  <c r="E52" i="8" s="1"/>
  <c r="E11" i="8"/>
  <c r="E20" i="8" s="1"/>
  <c r="G34" i="8" s="1"/>
  <c r="I21" i="4"/>
  <c r="E26" i="6"/>
  <c r="G51" i="6" s="1"/>
  <c r="E20" i="35"/>
  <c r="G18" i="34"/>
  <c r="E60" i="35"/>
  <c r="E59" i="35" s="1"/>
  <c r="E10" i="7"/>
  <c r="E23" i="7" s="1"/>
  <c r="G44" i="7" s="1"/>
  <c r="G21" i="4"/>
  <c r="E61" i="35"/>
  <c r="C54" i="7"/>
  <c r="E19" i="35"/>
  <c r="G34" i="35"/>
  <c r="E42" i="7"/>
  <c r="G21" i="12"/>
  <c r="E47" i="7"/>
  <c r="E24" i="3"/>
  <c r="F46" i="7"/>
  <c r="E60" i="8"/>
  <c r="E60" i="10"/>
  <c r="G74" i="35"/>
  <c r="G74" i="9"/>
  <c r="E6" i="35"/>
  <c r="E21" i="35" s="1"/>
  <c r="E38" i="35" s="1"/>
  <c r="E40" i="35" s="1"/>
  <c r="G73" i="9"/>
  <c r="D95" i="9"/>
  <c r="B78" i="9" s="1"/>
  <c r="E46" i="9"/>
  <c r="E61" i="9" s="1"/>
  <c r="E78" i="9" s="1"/>
  <c r="E80" i="9" s="1"/>
  <c r="D95" i="10"/>
  <c r="E46" i="10"/>
  <c r="G73" i="10"/>
  <c r="G20" i="12"/>
  <c r="F76" i="35"/>
  <c r="E23" i="3"/>
  <c r="E72" i="35"/>
  <c r="E77" i="35"/>
  <c r="E78" i="35" s="1"/>
  <c r="B38" i="10"/>
  <c r="B38" i="35"/>
  <c r="C51" i="6"/>
  <c r="C49" i="6"/>
  <c r="G55" i="6"/>
  <c r="C72" i="6"/>
  <c r="C18" i="12"/>
  <c r="C32" i="12" s="1"/>
  <c r="C34" i="12" s="1"/>
  <c r="G43" i="12"/>
  <c r="B37" i="35"/>
  <c r="G46" i="35"/>
  <c r="D6" i="9"/>
  <c r="D21" i="9" s="1"/>
  <c r="D34" i="9" s="1"/>
  <c r="C93" i="9"/>
  <c r="B37" i="10"/>
  <c r="G29" i="12"/>
  <c r="C47" i="17"/>
  <c r="C60" i="17" s="1"/>
  <c r="D62" i="17"/>
  <c r="E35" i="3" l="1"/>
  <c r="D95" i="8"/>
  <c r="B78" i="8" s="1"/>
  <c r="E46" i="8"/>
  <c r="C93" i="8"/>
  <c r="D6" i="8"/>
  <c r="D21" i="8" s="1"/>
  <c r="D34" i="8" s="1"/>
  <c r="D6" i="7"/>
  <c r="D24" i="7" s="1"/>
  <c r="C75" i="7"/>
  <c r="J21" i="4"/>
  <c r="E21" i="10"/>
  <c r="E38" i="10" s="1"/>
  <c r="E40" i="10" s="1"/>
  <c r="G34" i="10"/>
  <c r="E59" i="9"/>
  <c r="G75" i="9"/>
  <c r="K75" i="9" s="1"/>
  <c r="H25" i="12"/>
  <c r="I25" i="12"/>
  <c r="G83" i="9" s="1"/>
  <c r="G28" i="3"/>
  <c r="F28" i="3"/>
  <c r="D37" i="17"/>
  <c r="D47" i="17" s="1"/>
  <c r="D60" i="17" s="1"/>
  <c r="C63" i="17"/>
  <c r="C73" i="6"/>
  <c r="D6" i="6"/>
  <c r="D27" i="6" s="1"/>
  <c r="J32" i="14"/>
  <c r="J34" i="14" s="1"/>
  <c r="F22" i="3"/>
  <c r="G35" i="35"/>
  <c r="K35" i="35" s="1"/>
  <c r="G22" i="3"/>
  <c r="H19" i="12"/>
  <c r="I19" i="12"/>
  <c r="G43" i="35" s="1"/>
  <c r="E61" i="10"/>
  <c r="E78" i="10" s="1"/>
  <c r="E80" i="10" s="1"/>
  <c r="G74" i="10"/>
  <c r="E59" i="10"/>
  <c r="G36" i="35"/>
  <c r="G39" i="35" s="1"/>
  <c r="D93" i="9"/>
  <c r="E6" i="9"/>
  <c r="E21" i="9" s="1"/>
  <c r="E38" i="9" s="1"/>
  <c r="E40" i="9" s="1"/>
  <c r="G33" i="9"/>
  <c r="B38" i="9"/>
  <c r="E79" i="35"/>
  <c r="E80" i="35" s="1"/>
  <c r="G32" i="12"/>
  <c r="G34" i="12" s="1"/>
  <c r="G76" i="9"/>
  <c r="G79" i="9" s="1"/>
  <c r="G74" i="8"/>
  <c r="E61" i="8"/>
  <c r="E78" i="8" s="1"/>
  <c r="E80" i="8" s="1"/>
  <c r="E59" i="8" s="1"/>
  <c r="G33" i="8" l="1"/>
  <c r="D93" i="8"/>
  <c r="B38" i="8" s="1"/>
  <c r="E6" i="8"/>
  <c r="E21" i="8" s="1"/>
  <c r="E38" i="8" s="1"/>
  <c r="E40" i="8" s="1"/>
  <c r="D44" i="7"/>
  <c r="D39" i="7"/>
  <c r="E19" i="10"/>
  <c r="H26" i="12"/>
  <c r="F29" i="3"/>
  <c r="G29" i="3"/>
  <c r="G35" i="10"/>
  <c r="I26" i="12"/>
  <c r="G43" i="10" s="1"/>
  <c r="G23" i="3"/>
  <c r="H20" i="12"/>
  <c r="G15" i="34"/>
  <c r="G22" i="34" s="1"/>
  <c r="F23" i="3"/>
  <c r="I20" i="12"/>
  <c r="G75" i="8"/>
  <c r="K75" i="8" s="1"/>
  <c r="F26" i="3"/>
  <c r="G26" i="3"/>
  <c r="H23" i="12"/>
  <c r="I23" i="12"/>
  <c r="G83" i="8" s="1"/>
  <c r="D46" i="6"/>
  <c r="D50" i="6" s="1"/>
  <c r="D51" i="6" s="1"/>
  <c r="G75" i="35"/>
  <c r="G27" i="3"/>
  <c r="E19" i="9"/>
  <c r="F27" i="3"/>
  <c r="I24" i="12"/>
  <c r="G43" i="9" s="1"/>
  <c r="G35" i="9"/>
  <c r="K35" i="9" s="1"/>
  <c r="H24" i="12"/>
  <c r="H27" i="12"/>
  <c r="I27" i="12"/>
  <c r="G83" i="10" s="1"/>
  <c r="G75" i="10"/>
  <c r="K75" i="10" s="1"/>
  <c r="G30" i="3"/>
  <c r="F30" i="3"/>
  <c r="E37" i="17"/>
  <c r="E47" i="17" s="1"/>
  <c r="E60" i="17" s="1"/>
  <c r="E61" i="17" s="1"/>
  <c r="D63" i="17"/>
  <c r="F25" i="3" l="1"/>
  <c r="E19" i="8"/>
  <c r="G35" i="8"/>
  <c r="K35" i="8" s="1"/>
  <c r="G25" i="3"/>
  <c r="H22" i="12"/>
  <c r="I22" i="12" s="1"/>
  <c r="G43" i="8" s="1"/>
  <c r="G36" i="8"/>
  <c r="G39" i="8" s="1"/>
  <c r="E6" i="7"/>
  <c r="E24" i="7" s="1"/>
  <c r="G43" i="7"/>
  <c r="D75" i="7"/>
  <c r="B48" i="7" s="1"/>
  <c r="G36" i="10"/>
  <c r="G39" i="10" s="1"/>
  <c r="K35" i="10"/>
  <c r="D73" i="6"/>
  <c r="B55" i="6" s="1"/>
  <c r="G50" i="6"/>
  <c r="E6" i="6"/>
  <c r="E27" i="6" s="1"/>
  <c r="G76" i="8"/>
  <c r="G79" i="8" s="1"/>
  <c r="G76" i="10"/>
  <c r="G79" i="10" s="1"/>
  <c r="K75" i="35"/>
  <c r="G76" i="35"/>
  <c r="G79" i="35" s="1"/>
  <c r="D49" i="6"/>
  <c r="D72" i="6"/>
  <c r="B54" i="6" s="1"/>
  <c r="E18" i="12"/>
  <c r="E32" i="12" s="1"/>
  <c r="E34" i="12" s="1"/>
  <c r="G36" i="9"/>
  <c r="G39" i="9" s="1"/>
  <c r="G29" i="34"/>
  <c r="E30" i="34" s="1"/>
  <c r="D31" i="34" s="1"/>
  <c r="G83" i="35"/>
  <c r="D24" i="34"/>
  <c r="E23" i="34"/>
  <c r="E48" i="7" l="1"/>
  <c r="E50" i="7" s="1"/>
  <c r="F33" i="34"/>
  <c r="F80" i="35" s="1"/>
  <c r="E55" i="6"/>
  <c r="E57" i="6" s="1"/>
  <c r="E46" i="6" s="1"/>
  <c r="H21" i="12" l="1"/>
  <c r="F24" i="3"/>
  <c r="G45" i="7"/>
  <c r="G24" i="3"/>
  <c r="I21" i="12"/>
  <c r="G53" i="7" s="1"/>
  <c r="E22" i="7"/>
  <c r="E39" i="7"/>
  <c r="F21" i="3"/>
  <c r="H18" i="12"/>
  <c r="H32" i="12" s="1"/>
  <c r="N34" i="12" s="1"/>
  <c r="N36" i="12" s="1"/>
  <c r="G21" i="3"/>
  <c r="G35" i="3" s="1"/>
  <c r="I18" i="12"/>
  <c r="G52" i="6"/>
  <c r="E25" i="6"/>
  <c r="K45" i="7" l="1"/>
  <c r="G46" i="7"/>
  <c r="G49" i="7" s="1"/>
  <c r="G60" i="6"/>
  <c r="I32" i="12"/>
  <c r="N30" i="12"/>
  <c r="K30" i="12" s="1"/>
  <c r="N29" i="12"/>
  <c r="K29" i="12" s="1"/>
  <c r="K52" i="6"/>
  <c r="G53" i="6"/>
  <c r="G56" i="6" s="1"/>
  <c r="F35" i="3"/>
  <c r="F37" i="3" s="1"/>
  <c r="E44" i="6"/>
  <c r="G85" i="10" l="1"/>
  <c r="G62" i="6"/>
  <c r="G85" i="8"/>
  <c r="G45" i="8"/>
  <c r="N40" i="12"/>
  <c r="G45" i="35"/>
  <c r="G85" i="9"/>
  <c r="G55" i="7"/>
  <c r="G45" i="9"/>
  <c r="G85" i="35"/>
  <c r="G45" i="10"/>
</calcChain>
</file>

<file path=xl/sharedStrings.xml><?xml version="1.0" encoding="utf-8"?>
<sst xmlns="http://schemas.openxmlformats.org/spreadsheetml/2006/main" count="1572" uniqueCount="954">
  <si>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</si>
  <si>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</si>
  <si>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</si>
  <si>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</si>
  <si>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</si>
  <si>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</si>
  <si>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</si>
  <si>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</si>
  <si>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</si>
  <si>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</si>
  <si>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</si>
  <si>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</si>
  <si>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</si>
  <si>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</si>
  <si>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</si>
  <si>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</si>
  <si>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</si>
  <si>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</si>
  <si>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</si>
  <si>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</si>
  <si>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</si>
  <si>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</si>
  <si>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</si>
  <si>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</si>
  <si>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</si>
  <si>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</si>
  <si>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</si>
  <si>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</si>
  <si>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</si>
  <si>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</si>
  <si>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</si>
  <si>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</si>
  <si>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</si>
  <si>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</si>
  <si>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</si>
  <si>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</si>
  <si>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</si>
  <si>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</si>
  <si>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</si>
  <si>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</si>
  <si>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</si>
  <si>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</si>
  <si>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</si>
  <si>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</si>
  <si>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</si>
  <si>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</si>
  <si>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</si>
  <si>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</si>
  <si>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</si>
  <si>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</si>
  <si>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</si>
  <si>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</si>
  <si>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</si>
  <si>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</si>
  <si>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</si>
  <si>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</si>
  <si>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</si>
  <si>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</si>
  <si>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</si>
  <si>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</si>
  <si>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</si>
  <si>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</si>
  <si>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</si>
  <si>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</si>
  <si>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</si>
  <si>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</si>
  <si>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</si>
  <si>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</si>
  <si>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</si>
  <si>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</si>
  <si>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</si>
  <si>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</si>
  <si>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</si>
  <si>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</si>
  <si>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</si>
  <si>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</si>
  <si>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</si>
  <si>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</si>
  <si>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</si>
  <si>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</si>
  <si>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</si>
  <si>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</si>
  <si>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</si>
  <si>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</si>
  <si>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</si>
  <si>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</si>
  <si>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</si>
  <si>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</si>
  <si>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</si>
  <si>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</si>
  <si>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</si>
  <si>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</si>
  <si>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</si>
  <si>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</si>
  <si>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</si>
  <si>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</si>
  <si>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</si>
  <si>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</si>
  <si>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</si>
  <si>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</si>
  <si>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</si>
  <si>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</si>
  <si>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</si>
  <si>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</si>
  <si>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</si>
  <si>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</si>
  <si>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</si>
  <si>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</si>
  <si>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</si>
  <si>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</si>
  <si>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</si>
  <si>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</si>
  <si>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</si>
  <si>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</si>
  <si>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</si>
  <si>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</si>
  <si>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</si>
  <si>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</si>
  <si>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</si>
  <si>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</si>
  <si>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</si>
  <si>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</si>
  <si>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</si>
  <si>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</si>
  <si>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</si>
  <si>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</si>
  <si>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</si>
  <si>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</si>
  <si>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</si>
  <si>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</si>
  <si>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</si>
  <si>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</si>
  <si>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</si>
  <si>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</si>
  <si>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</si>
  <si>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</si>
  <si>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</si>
  <si>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</si>
  <si>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</si>
  <si>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</si>
  <si>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</si>
  <si>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</si>
  <si>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</si>
  <si>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</si>
  <si>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</si>
  <si>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</si>
  <si>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</si>
  <si>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</si>
  <si>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</si>
  <si>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</si>
  <si>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</si>
  <si>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</si>
  <si>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</si>
  <si>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</si>
  <si>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</si>
  <si>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</si>
  <si>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</si>
  <si>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</si>
  <si>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</si>
  <si>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</si>
  <si>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</si>
  <si>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</si>
  <si>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</si>
  <si>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</si>
  <si>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</si>
  <si>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</si>
  <si>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</si>
  <si>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</si>
  <si>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</si>
  <si>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</si>
  <si>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</si>
  <si>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</si>
  <si>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</si>
  <si>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</si>
  <si>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</si>
  <si>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</si>
  <si>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</si>
  <si>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</si>
  <si>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</si>
  <si>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</si>
  <si>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</si>
  <si>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</si>
  <si>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</si>
  <si>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</si>
  <si>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</si>
  <si>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</si>
  <si>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</si>
  <si>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</si>
  <si>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</si>
  <si>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</si>
  <si>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</si>
  <si>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</si>
  <si>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</si>
  <si>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</si>
  <si>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</si>
  <si>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</si>
  <si>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</si>
  <si>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</si>
  <si>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</si>
  <si>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</si>
  <si>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</si>
  <si>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</si>
  <si>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</si>
  <si>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</si>
  <si>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</si>
  <si>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</si>
  <si>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</si>
  <si>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</si>
  <si>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</si>
  <si>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</si>
  <si>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</si>
  <si>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</si>
  <si>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</si>
  <si>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</si>
  <si>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</si>
  <si>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</si>
  <si>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</si>
  <si>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</si>
  <si>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</si>
  <si>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</si>
  <si>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</si>
  <si>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</si>
  <si>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</si>
  <si>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</si>
  <si>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</si>
  <si>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</si>
  <si>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</si>
  <si>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</si>
  <si>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</si>
  <si>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</si>
  <si>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</si>
  <si>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</si>
  <si>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</si>
  <si>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</si>
  <si>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</si>
  <si>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</si>
  <si>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</si>
  <si>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</si>
  <si>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</si>
  <si>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</si>
  <si>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</si>
  <si>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</si>
  <si>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</si>
  <si>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</si>
  <si>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</si>
  <si>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</si>
  <si>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</si>
  <si>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</si>
  <si>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</si>
  <si>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</si>
  <si>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</si>
  <si>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</si>
  <si>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</si>
  <si>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</si>
  <si>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</si>
  <si>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</si>
  <si>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</si>
  <si>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</si>
  <si>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</si>
  <si>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</si>
  <si>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</si>
  <si>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</si>
  <si>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</si>
  <si>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</si>
  <si>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</si>
  <si>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</si>
  <si>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</si>
  <si>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</si>
  <si>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</si>
  <si>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</si>
  <si>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</si>
  <si>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</si>
  <si>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</si>
  <si>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</si>
  <si>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</si>
  <si>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</si>
  <si>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</si>
  <si>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</si>
  <si>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</si>
  <si>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</si>
  <si>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</si>
  <si>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</si>
  <si>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</si>
  <si>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</si>
  <si>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</si>
  <si>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</si>
  <si>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</si>
  <si>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</si>
  <si>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</si>
  <si>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</si>
  <si>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</si>
  <si>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</si>
  <si>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</si>
  <si>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</si>
  <si>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</si>
  <si>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</si>
  <si>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</si>
  <si>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</si>
  <si>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</si>
  <si>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</si>
  <si>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</si>
  <si>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</si>
  <si>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</si>
  <si>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</si>
  <si>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</si>
  <si>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</si>
  <si>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</si>
  <si>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</si>
  <si>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</si>
  <si>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</si>
  <si>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</si>
  <si>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</si>
  <si>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</si>
  <si>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</si>
  <si>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</si>
  <si>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</si>
  <si>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</si>
  <si>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</si>
  <si>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</si>
  <si>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</si>
  <si>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</si>
  <si>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</si>
  <si>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</si>
  <si>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</si>
  <si>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</si>
  <si>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</si>
  <si>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</si>
  <si>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</si>
  <si>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</si>
  <si>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</si>
  <si>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</si>
  <si>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</si>
  <si>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</si>
  <si>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</si>
  <si>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</si>
  <si>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</si>
  <si>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</si>
  <si>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</si>
  <si>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</si>
  <si>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</si>
  <si>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</si>
  <si>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</si>
  <si>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</si>
  <si>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</si>
  <si>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</si>
  <si>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</si>
  <si>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</si>
  <si>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</si>
  <si>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</si>
  <si>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</si>
  <si>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</si>
  <si>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</si>
  <si>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</si>
  <si>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</si>
  <si>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</si>
  <si>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</si>
  <si>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</si>
  <si>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</si>
  <si>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</si>
  <si>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</si>
  <si>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</si>
  <si>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</si>
  <si>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</si>
  <si>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</si>
  <si>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</si>
  <si>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</si>
  <si>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</si>
  <si>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</si>
  <si>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</si>
  <si>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</si>
  <si>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</si>
  <si>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</si>
  <si>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</si>
  <si>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</si>
  <si>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</si>
  <si>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</si>
  <si>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</si>
  <si>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</si>
  <si>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</si>
  <si>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</si>
  <si>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</si>
  <si>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</si>
  <si>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</si>
  <si>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</si>
  <si>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</si>
  <si>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</si>
  <si>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</si>
  <si>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</si>
  <si>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</si>
  <si>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</si>
  <si>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</si>
  <si>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</si>
  <si>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</si>
  <si>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</si>
  <si>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</si>
  <si>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</si>
  <si>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</si>
  <si>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</si>
  <si>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</si>
  <si>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</si>
  <si>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</si>
  <si>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</si>
  <si>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</si>
  <si>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</si>
  <si>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</si>
  <si>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</si>
  <si>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</si>
  <si>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</si>
  <si>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</si>
  <si>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</si>
  <si>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</si>
  <si>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</si>
  <si>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</si>
  <si>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</si>
  <si>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</si>
  <si>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</si>
  <si>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</si>
  <si>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</si>
  <si>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</si>
  <si>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</si>
  <si>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</si>
  <si>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</si>
  <si>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</si>
  <si>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</si>
  <si>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</si>
  <si>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</si>
  <si>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</si>
  <si>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</si>
  <si>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</si>
  <si>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</si>
  <si>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</si>
  <si>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</si>
  <si>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</si>
  <si>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</si>
  <si>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</si>
  <si>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</si>
  <si>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</si>
  <si>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</si>
  <si>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</si>
  <si>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</si>
  <si>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</si>
  <si>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</si>
  <si>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</si>
  <si>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</si>
  <si>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</si>
  <si>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</si>
  <si>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</si>
  <si>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</si>
  <si>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</si>
  <si>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</si>
  <si>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</si>
  <si>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</si>
  <si>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</si>
  <si>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</si>
  <si>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</si>
  <si>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</si>
  <si>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</si>
  <si>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</si>
  <si>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</si>
  <si>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</si>
  <si>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</si>
  <si>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</si>
  <si>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</si>
  <si>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</si>
  <si>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</si>
  <si>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</si>
  <si>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</si>
  <si>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</si>
  <si>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</si>
  <si>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</si>
  <si>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</si>
  <si>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</si>
  <si>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</si>
  <si>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</si>
  <si>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</si>
  <si>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</si>
  <si>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</si>
  <si>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</si>
  <si>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</si>
  <si>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</si>
  <si>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</si>
  <si>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</si>
  <si>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</si>
  <si>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</si>
  <si>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</si>
  <si>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</si>
  <si>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</si>
  <si>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</si>
  <si>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</si>
  <si>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</si>
  <si>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</si>
  <si>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</si>
  <si>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</si>
  <si>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</si>
  <si>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</si>
  <si>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</si>
  <si>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</si>
  <si>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</si>
  <si>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</si>
  <si>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</si>
  <si>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</si>
  <si>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</si>
  <si>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</si>
  <si>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</si>
  <si>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</si>
  <si>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</si>
  <si>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</si>
  <si>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</si>
  <si>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</si>
  <si>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</si>
  <si>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</si>
  <si>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</si>
  <si>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</si>
  <si>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</si>
  <si>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</si>
  <si>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</si>
  <si>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</si>
  <si>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</si>
  <si>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</si>
  <si>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</si>
  <si>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</si>
  <si>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</si>
  <si>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</si>
  <si>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</si>
  <si>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</si>
  <si>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</si>
  <si>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</si>
  <si>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</si>
  <si>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</si>
  <si>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</si>
  <si>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</si>
  <si>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</si>
  <si>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</si>
  <si>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</si>
  <si>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</si>
  <si>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</si>
  <si>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</si>
  <si>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</si>
  <si>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</si>
  <si>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</si>
  <si>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</si>
  <si>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</si>
  <si>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</si>
  <si>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</si>
  <si>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</si>
  <si>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</si>
  <si>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</si>
  <si>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</si>
  <si>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</si>
  <si>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</si>
  <si>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</si>
  <si>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</si>
  <si>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</si>
  <si>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</si>
  <si>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</si>
  <si>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</si>
  <si>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</si>
  <si>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</si>
  <si>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</si>
  <si>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</si>
  <si>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</si>
  <si>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</si>
  <si>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</si>
  <si>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</si>
  <si>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</si>
  <si>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</si>
  <si>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</si>
  <si>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</si>
  <si>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</si>
  <si>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</si>
  <si>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</si>
  <si>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</si>
  <si>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</si>
  <si>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</si>
  <si>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</si>
  <si>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</si>
  <si>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</si>
  <si>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</si>
  <si>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</si>
  <si>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</si>
  <si>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</si>
  <si>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</si>
  <si>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</si>
  <si>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</si>
  <si>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</si>
  <si>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</si>
  <si>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</si>
  <si>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</si>
  <si>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</si>
  <si>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</si>
  <si>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</si>
  <si>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</si>
  <si>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</si>
  <si>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</si>
  <si>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</si>
  <si>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</si>
  <si>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</si>
  <si>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</si>
  <si>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</si>
  <si>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</si>
  <si>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</si>
  <si>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</si>
  <si>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</si>
  <si>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</si>
  <si>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</si>
  <si>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</si>
  <si>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</si>
  <si>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</si>
  <si>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</si>
  <si>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</si>
  <si>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</si>
  <si>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</si>
  <si>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</si>
  <si>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</si>
  <si>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</si>
  <si>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</si>
  <si>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</si>
  <si>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</si>
  <si>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</si>
  <si>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</si>
  <si>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</si>
  <si>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</si>
  <si>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</si>
  <si>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</si>
  <si>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</si>
  <si>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</si>
  <si>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</si>
  <si>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</si>
  <si>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</si>
  <si>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</si>
  <si>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</si>
  <si>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</si>
  <si>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</si>
  <si>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</si>
  <si>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</si>
  <si>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</si>
  <si>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</si>
  <si>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</si>
  <si>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</si>
  <si>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</si>
  <si>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</si>
  <si>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</si>
  <si>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</si>
  <si>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</si>
  <si>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</si>
  <si>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</si>
  <si>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</si>
  <si>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</si>
  <si>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</si>
  <si>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</si>
  <si>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</si>
  <si>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</si>
  <si>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</si>
  <si>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</si>
  <si>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</si>
  <si>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</si>
  <si>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</si>
  <si>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</si>
  <si>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</si>
  <si>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</si>
  <si>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</si>
  <si>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</si>
  <si>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</si>
  <si>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</si>
  <si>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</si>
  <si>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</si>
  <si>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</si>
  <si>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</si>
  <si>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</si>
  <si>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</si>
  <si>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</si>
  <si>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</si>
  <si>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</si>
  <si>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</si>
  <si>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</si>
  <si>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</si>
  <si>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</si>
  <si>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</si>
  <si>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</si>
  <si>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</si>
  <si>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</si>
  <si>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</si>
  <si>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</si>
  <si>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</si>
  <si>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</si>
  <si>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</si>
  <si>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</si>
  <si>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</si>
  <si>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</si>
  <si>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</si>
  <si>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</si>
  <si>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</si>
  <si>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</si>
  <si>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</si>
  <si>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</si>
  <si>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</si>
  <si>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</si>
  <si>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</si>
  <si>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</si>
  <si>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</si>
  <si>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</si>
  <si>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</si>
  <si>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</si>
  <si>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</si>
  <si>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</si>
  <si>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</si>
  <si>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</si>
  <si>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</si>
  <si>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</si>
  <si>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</si>
  <si>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</si>
  <si>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</si>
  <si>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</si>
  <si>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</si>
  <si>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</si>
  <si>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</si>
  <si>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</si>
  <si>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</si>
  <si>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</si>
  <si>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</si>
  <si>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</si>
  <si>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</si>
  <si>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</si>
  <si>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</si>
  <si>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</si>
  <si>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</si>
  <si>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</si>
  <si>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</si>
  <si>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</si>
  <si>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</si>
  <si>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</si>
  <si>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</si>
  <si>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</si>
  <si>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</si>
  <si>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</si>
  <si>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</si>
  <si>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</si>
  <si>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</si>
  <si>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</si>
  <si>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</si>
  <si>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</si>
  <si>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</si>
  <si>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</si>
  <si>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</si>
  <si>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</si>
  <si>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</si>
  <si>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</si>
  <si>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</si>
  <si>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</si>
  <si>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</si>
  <si>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</si>
  <si>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</si>
  <si>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</si>
  <si>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</si>
  <si>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</si>
  <si>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</si>
  <si>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</si>
  <si>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</si>
  <si>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</si>
  <si>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</si>
  <si>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</si>
  <si>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</si>
  <si>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</si>
  <si>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</si>
  <si>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</si>
  <si>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</si>
  <si>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</si>
  <si>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</si>
  <si>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</si>
  <si>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</si>
  <si>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</si>
  <si>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</si>
  <si>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</si>
  <si>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</si>
  <si>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</si>
  <si>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</si>
  <si>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</si>
  <si>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</si>
  <si>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</si>
  <si>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</si>
  <si>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</si>
  <si>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</si>
  <si>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</si>
  <si>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</si>
  <si>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</si>
  <si>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</si>
  <si>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</si>
  <si>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</si>
  <si>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</si>
  <si>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</si>
  <si>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</si>
  <si>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</si>
  <si>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</si>
  <si>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</si>
  <si>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</si>
  <si>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</si>
  <si>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</si>
  <si>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</si>
  <si>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</si>
  <si>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</si>
  <si>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</si>
  <si>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</si>
  <si>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</si>
  <si>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</si>
  <si>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</si>
  <si>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</si>
  <si>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</si>
  <si>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</si>
  <si>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</si>
  <si>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</si>
  <si>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</si>
  <si>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</si>
  <si>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</si>
  <si>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</si>
  <si>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</si>
  <si>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</si>
  <si>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</si>
  <si>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</si>
  <si>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</si>
  <si>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</si>
  <si>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</si>
  <si>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</si>
  <si>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</si>
  <si>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</si>
  <si>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</si>
  <si>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</si>
  <si>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</si>
  <si>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</si>
  <si>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</si>
  <si>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</si>
  <si>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</si>
  <si>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</si>
  <si>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</si>
  <si>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</si>
  <si>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</si>
  <si>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</si>
  <si>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</si>
  <si>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</si>
  <si>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</si>
  <si>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</si>
  <si>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</si>
  <si>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</si>
  <si>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</si>
  <si>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</si>
  <si>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</si>
  <si>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</si>
  <si>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</si>
  <si>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</si>
  <si>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</si>
  <si>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</si>
  <si>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</si>
  <si>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</si>
  <si>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</si>
  <si>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</si>
  <si>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</si>
  <si>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</si>
  <si>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</si>
  <si>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</si>
  <si>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</si>
  <si>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</si>
  <si>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</si>
  <si>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</si>
  <si>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</si>
  <si>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</si>
  <si>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</si>
  <si>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</si>
  <si>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</si>
  <si>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</si>
  <si>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</si>
  <si>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</si>
  <si>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</si>
  <si>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</si>
  <si>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</si>
  <si>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</si>
  <si>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</si>
  <si>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</si>
  <si>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</si>
  <si>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</si>
  <si>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</si>
  <si>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</si>
  <si>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</si>
  <si>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</si>
  <si>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</si>
  <si>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</si>
  <si>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</si>
  <si>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</si>
  <si>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</si>
  <si>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</si>
  <si>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</si>
  <si>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</si>
  <si>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</si>
  <si>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</si>
  <si>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</si>
  <si>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</si>
  <si>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</si>
  <si>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</si>
  <si>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</si>
  <si>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</si>
  <si>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</si>
  <si>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</si>
  <si>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</si>
  <si>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</si>
  <si>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</si>
  <si>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</si>
  <si>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</si>
  <si>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</si>
  <si>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</si>
  <si>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</si>
  <si>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</si>
  <si>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</si>
  <si>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</si>
  <si>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</si>
  <si>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</si>
  <si>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</si>
  <si>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</si>
  <si>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</si>
  <si>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</si>
  <si>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</si>
  <si>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</si>
  <si>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</si>
  <si>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</si>
  <si>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</si>
  <si>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</si>
  <si>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</si>
  <si>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</si>
  <si>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</si>
  <si>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</si>
  <si>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</si>
  <si>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</si>
  <si>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</si>
  <si>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</si>
  <si>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</si>
  <si>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</si>
  <si>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</si>
  <si>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Round Mound Township</t>
  </si>
  <si>
    <t>Osborne County</t>
  </si>
  <si>
    <t>Cemetery</t>
  </si>
  <si>
    <t>Weed</t>
  </si>
  <si>
    <t>Bookkeeping</t>
  </si>
  <si>
    <t>Publication</t>
  </si>
  <si>
    <t>C.W. Seaman</t>
  </si>
  <si>
    <t>Phone</t>
  </si>
  <si>
    <t>Officers pay</t>
  </si>
  <si>
    <t>Mowing-Alan Beisner</t>
  </si>
  <si>
    <t>Osborne County Weed</t>
  </si>
  <si>
    <t>David Griffin-Spraying</t>
  </si>
  <si>
    <t>July 30, 2012</t>
  </si>
  <si>
    <t>8:00 p.m.</t>
  </si>
  <si>
    <t>Schneider Pellets, 2716 W. 210th Drive, Round Mound Township</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</si>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</sst>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177" fontId="35" fillId="13" borderId="1" xfId="0" applyNumberFormat="1" applyFont="1" applyFill="1" applyBorder="1" applyAlignment="1" applyProtection="1">
      <alignment horizontal="center"/>
      <protection locked="0"/>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54" fillId="12" borderId="21" xfId="0" applyFont="1" applyFill="1" applyBorder="1" applyAlignment="1">
      <alignment horizontal="center" vertic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0" fontId="35" fillId="12" borderId="0" xfId="0" applyFont="1" applyFill="1" applyBorder="1" applyAlignment="1">
      <alignment wrapText="1"/>
    </xf>
    <xf numFmtId="0" fontId="35" fillId="0" borderId="0" xfId="0" applyFont="1" applyAlignment="1">
      <alignment wrapText="1"/>
    </xf>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177" fontId="35" fillId="12" borderId="0" xfId="0" applyNumberFormat="1" applyFont="1" applyFill="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Round Mound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Round Mound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4359113</v>
      </c>
      <c r="F27" s="565"/>
      <c r="G27" s="570">
        <f>summ!G37</f>
        <v>3991890</v>
      </c>
      <c r="H27" s="565"/>
      <c r="I27" s="565"/>
    </row>
    <row r="28" spans="2:9" ht="15.75" x14ac:dyDescent="0.2">
      <c r="B28" s="565" t="s">
        <v>780</v>
      </c>
      <c r="C28" s="565"/>
      <c r="D28" s="565"/>
      <c r="E28" s="575" t="str">
        <f>IF(G27-E27&gt;0,"No","Yes")</f>
        <v>Yes</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25" workbookViewId="0">
      <selection activeCell="E39" sqref="E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Round Mound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2427</v>
      </c>
      <c r="D6" s="390">
        <f>C51</f>
        <v>3595</v>
      </c>
      <c r="E6" s="32">
        <f>D51</f>
        <v>1807</v>
      </c>
    </row>
    <row r="7" spans="2:5" x14ac:dyDescent="0.25">
      <c r="B7" s="27" t="s">
        <v>120</v>
      </c>
      <c r="C7" s="390"/>
      <c r="D7" s="390"/>
      <c r="E7" s="33"/>
    </row>
    <row r="8" spans="2:5" x14ac:dyDescent="0.25">
      <c r="B8" s="27" t="s">
        <v>16</v>
      </c>
      <c r="C8" s="29">
        <v>2187</v>
      </c>
      <c r="D8" s="390">
        <f>IF(inputPrYr!H15&gt;0,inputPrYr!G16,inputPrYr!E16)</f>
        <v>0</v>
      </c>
      <c r="E8" s="33" t="s">
        <v>290</v>
      </c>
    </row>
    <row r="9" spans="2:5" x14ac:dyDescent="0.25">
      <c r="B9" s="27" t="s">
        <v>17</v>
      </c>
      <c r="C9" s="29">
        <v>0</v>
      </c>
      <c r="D9" s="29"/>
      <c r="E9" s="34"/>
    </row>
    <row r="10" spans="2:5" x14ac:dyDescent="0.25">
      <c r="B10" s="27" t="s">
        <v>18</v>
      </c>
      <c r="C10" s="29">
        <v>36</v>
      </c>
      <c r="D10" s="29">
        <v>29</v>
      </c>
      <c r="E10" s="32">
        <f>mvalloc!G11</f>
        <v>0</v>
      </c>
    </row>
    <row r="11" spans="2:5" x14ac:dyDescent="0.25">
      <c r="B11" s="27" t="s">
        <v>19</v>
      </c>
      <c r="C11" s="29">
        <v>0</v>
      </c>
      <c r="D11" s="29"/>
      <c r="E11" s="32">
        <f>mvalloc!I11</f>
        <v>0</v>
      </c>
    </row>
    <row r="12" spans="2:5" x14ac:dyDescent="0.25">
      <c r="B12" s="35" t="s">
        <v>69</v>
      </c>
      <c r="C12" s="29">
        <v>3</v>
      </c>
      <c r="D12" s="29">
        <v>4</v>
      </c>
      <c r="E12" s="32">
        <f>mvalloc!J11</f>
        <v>0</v>
      </c>
    </row>
    <row r="13" spans="2:5" x14ac:dyDescent="0.25">
      <c r="B13" s="35" t="s">
        <v>161</v>
      </c>
      <c r="C13" s="29"/>
      <c r="D13" s="29"/>
      <c r="E13" s="32">
        <f>inputOth!E35</f>
        <v>0</v>
      </c>
    </row>
    <row r="14" spans="2:5" x14ac:dyDescent="0.25">
      <c r="B14" s="27" t="s">
        <v>20</v>
      </c>
      <c r="C14" s="29">
        <v>885</v>
      </c>
      <c r="D14" s="29">
        <v>679</v>
      </c>
      <c r="E14" s="32">
        <f>inputOth!E12</f>
        <v>492</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3111</v>
      </c>
      <c r="D26" s="392">
        <f>SUM(D8:D24)</f>
        <v>712</v>
      </c>
      <c r="E26" s="42">
        <f>SUM(E8:E24)</f>
        <v>492</v>
      </c>
    </row>
    <row r="27" spans="2:5" x14ac:dyDescent="0.25">
      <c r="B27" s="43" t="s">
        <v>24</v>
      </c>
      <c r="C27" s="392">
        <f>C26+C6</f>
        <v>5538</v>
      </c>
      <c r="D27" s="392">
        <f>D26+D6</f>
        <v>4307</v>
      </c>
      <c r="E27" s="42">
        <f>E26+E6</f>
        <v>2299</v>
      </c>
    </row>
    <row r="28" spans="2:5" x14ac:dyDescent="0.25">
      <c r="B28" s="27" t="s">
        <v>25</v>
      </c>
      <c r="C28" s="390"/>
      <c r="D28" s="390"/>
      <c r="E28" s="32"/>
    </row>
    <row r="29" spans="2:5" x14ac:dyDescent="0.25">
      <c r="B29" s="37"/>
      <c r="C29" s="29"/>
      <c r="D29" s="29"/>
      <c r="E29" s="34"/>
    </row>
    <row r="30" spans="2:5" x14ac:dyDescent="0.25">
      <c r="B30" s="38" t="s">
        <v>101</v>
      </c>
      <c r="C30" s="29">
        <v>1311</v>
      </c>
      <c r="D30" s="29">
        <v>1600</v>
      </c>
      <c r="E30" s="34">
        <v>1500</v>
      </c>
    </row>
    <row r="31" spans="2:5" x14ac:dyDescent="0.25">
      <c r="B31" s="38" t="s">
        <v>125</v>
      </c>
      <c r="C31" s="29"/>
      <c r="D31" s="29">
        <v>250</v>
      </c>
      <c r="E31" s="34"/>
    </row>
    <row r="32" spans="2:5" x14ac:dyDescent="0.25">
      <c r="B32" s="38" t="s">
        <v>102</v>
      </c>
      <c r="C32" s="29"/>
      <c r="D32" s="29"/>
      <c r="E32" s="34"/>
    </row>
    <row r="33" spans="2:10" x14ac:dyDescent="0.25">
      <c r="B33" s="38" t="s">
        <v>36</v>
      </c>
      <c r="C33" s="29">
        <v>82</v>
      </c>
      <c r="D33" s="29">
        <v>100</v>
      </c>
      <c r="E33" s="34">
        <v>100</v>
      </c>
    </row>
    <row r="34" spans="2:10" x14ac:dyDescent="0.25">
      <c r="B34" s="37" t="s">
        <v>103</v>
      </c>
      <c r="C34" s="29"/>
      <c r="D34" s="29"/>
      <c r="E34" s="34"/>
    </row>
    <row r="35" spans="2:10" x14ac:dyDescent="0.25">
      <c r="B35" s="37" t="s">
        <v>126</v>
      </c>
      <c r="C35" s="29"/>
      <c r="D35" s="29"/>
      <c r="E35" s="34"/>
    </row>
    <row r="36" spans="2:10" x14ac:dyDescent="0.25">
      <c r="B36" s="38" t="s">
        <v>128</v>
      </c>
      <c r="C36" s="29"/>
      <c r="D36" s="29"/>
      <c r="E36" s="34"/>
    </row>
    <row r="37" spans="2:10" x14ac:dyDescent="0.25">
      <c r="B37" s="38" t="s">
        <v>938</v>
      </c>
      <c r="C37" s="29">
        <v>400</v>
      </c>
      <c r="D37" s="29">
        <v>350</v>
      </c>
      <c r="E37" s="34">
        <v>500</v>
      </c>
    </row>
    <row r="38" spans="2:10" x14ac:dyDescent="0.25">
      <c r="B38" s="37" t="s">
        <v>939</v>
      </c>
      <c r="C38" s="29">
        <v>150</v>
      </c>
      <c r="D38" s="29">
        <v>200</v>
      </c>
      <c r="E38" s="34">
        <v>150</v>
      </c>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1943</v>
      </c>
      <c r="D50" s="384">
        <f>SUM(D29:D48)</f>
        <v>2500</v>
      </c>
      <c r="E50" s="47">
        <f>SUM(E29:E43,E45,E47:E48)</f>
        <v>2250</v>
      </c>
      <c r="G50" s="490">
        <f>D51</f>
        <v>1807</v>
      </c>
      <c r="H50" s="491" t="str">
        <f>CONCATENATE("",E1-1," Ending Cash Balance (est.)")</f>
        <v>2012 Ending Cash Balance (est.)</v>
      </c>
      <c r="I50" s="492"/>
      <c r="J50" s="489"/>
    </row>
    <row r="51" spans="2:11" x14ac:dyDescent="0.25">
      <c r="B51" s="27" t="s">
        <v>119</v>
      </c>
      <c r="C51" s="385">
        <f>C27-C50</f>
        <v>3595</v>
      </c>
      <c r="D51" s="385">
        <f>SUM(D27-D50)</f>
        <v>1807</v>
      </c>
      <c r="E51" s="33" t="s">
        <v>290</v>
      </c>
      <c r="G51" s="490">
        <f>E26</f>
        <v>492</v>
      </c>
      <c r="H51" s="493" t="str">
        <f>CONCATENATE("",E1," Non-AV Receipts (est.)")</f>
        <v>2013 Non-AV Receipts (est.)</v>
      </c>
      <c r="I51" s="492"/>
      <c r="J51" s="489"/>
    </row>
    <row r="52" spans="2:11" x14ac:dyDescent="0.2">
      <c r="B52" s="48" t="str">
        <f>CONCATENATE("",E1-2,"/",E1-1," Budget Authority Amount:")</f>
        <v>2011/2012 Budget Authority Amount:</v>
      </c>
      <c r="C52" s="132">
        <f>inputOth!B46</f>
        <v>3125</v>
      </c>
      <c r="D52" s="161">
        <f>inputPrYr!D16</f>
        <v>2500</v>
      </c>
      <c r="E52" s="33" t="s">
        <v>290</v>
      </c>
      <c r="F52" s="50"/>
      <c r="G52" s="494">
        <f>IF(D56&gt;0,E55,E57)</f>
        <v>0</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2299</v>
      </c>
      <c r="H53" s="493" t="str">
        <f>CONCATENATE("Total ",E1," Resources Available")</f>
        <v>Total 2013 Resources Available</v>
      </c>
      <c r="I53" s="492"/>
      <c r="J53" s="489"/>
    </row>
    <row r="54" spans="2:11" x14ac:dyDescent="0.25">
      <c r="B54" s="399" t="str">
        <f>CONCATENATE(C72,"     ",D72)</f>
        <v xml:space="preserve">     </v>
      </c>
      <c r="C54" s="810" t="s">
        <v>624</v>
      </c>
      <c r="D54" s="811"/>
      <c r="E54" s="32">
        <f>E50+E53</f>
        <v>2250</v>
      </c>
      <c r="G54" s="495"/>
      <c r="H54" s="493"/>
      <c r="I54" s="493"/>
      <c r="J54" s="489"/>
    </row>
    <row r="55" spans="2:11" x14ac:dyDescent="0.25">
      <c r="B55" s="399" t="str">
        <f>CONCATENATE(C73,"     ",D73)</f>
        <v xml:space="preserve">     </v>
      </c>
      <c r="C55" s="60"/>
      <c r="D55" s="52" t="s">
        <v>28</v>
      </c>
      <c r="E55" s="46">
        <f>IF(E54-E27&gt;0,E54-E27,0)</f>
        <v>0</v>
      </c>
      <c r="G55" s="494">
        <f>ROUND(C50*0.05+C50,0)</f>
        <v>2040</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259</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0</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t="str">
        <f>summ!I18</f>
        <v xml:space="preserve"> </v>
      </c>
      <c r="H60" s="491" t="str">
        <f>CONCATENATE("",E1," Fund Mill Rate")</f>
        <v>2013 Fund Mill Rate</v>
      </c>
      <c r="I60" s="700"/>
      <c r="J60" s="713"/>
      <c r="K60" s="16"/>
    </row>
    <row r="61" spans="2:11" x14ac:dyDescent="0.25">
      <c r="B61" s="52" t="s">
        <v>9</v>
      </c>
      <c r="C61" s="405">
        <f>IF(inputPrYr!D18&gt;0,7,6)</f>
        <v>6</v>
      </c>
      <c r="D61" s="14"/>
      <c r="E61" s="55"/>
      <c r="G61" s="715" t="str">
        <f>summ!F18</f>
        <v xml:space="preserve">  </v>
      </c>
      <c r="H61" s="491" t="str">
        <f>CONCATENATE("",E1-1," Fund Mill Rate")</f>
        <v>2012 Fund Mill Rate</v>
      </c>
      <c r="I61" s="700"/>
      <c r="J61" s="713"/>
    </row>
    <row r="62" spans="2:11" x14ac:dyDescent="0.25">
      <c r="G62" s="716">
        <f>summ!I32</f>
        <v>11.863999999999999</v>
      </c>
      <c r="H62" s="491" t="str">
        <f>CONCATENATE("Total ",E1," Mill Rate")</f>
        <v>Total 2013 Mill Rate</v>
      </c>
      <c r="I62" s="700"/>
      <c r="J62" s="713"/>
    </row>
    <row r="63" spans="2:11" x14ac:dyDescent="0.25">
      <c r="B63" s="12"/>
      <c r="G63" s="715">
        <f>summ!F32</f>
        <v>10.556000000000001</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Round Mound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11.863999999999999</v>
      </c>
      <c r="H45" s="641" t="str">
        <f>CONCATENATE("Total ",E1," Mill Rate")</f>
        <v>Total 2013 Mill Rate</v>
      </c>
      <c r="I45" s="665"/>
      <c r="J45" s="666"/>
    </row>
    <row r="46" spans="2:11" x14ac:dyDescent="0.25">
      <c r="B46" s="603" t="s">
        <v>144</v>
      </c>
      <c r="C46" s="608">
        <v>0</v>
      </c>
      <c r="D46" s="605">
        <f>C74</f>
        <v>0</v>
      </c>
      <c r="E46" s="606">
        <f>D74</f>
        <v>0</v>
      </c>
      <c r="F46" s="644"/>
      <c r="G46" s="668">
        <f>summ!F32</f>
        <v>10.556000000000001</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11.863999999999999</v>
      </c>
      <c r="H85" s="641" t="str">
        <f>CONCATENATE("Total ",E1," Mill Rate")</f>
        <v>Total 2013 Mill Rate</v>
      </c>
      <c r="I85" s="665"/>
      <c r="J85" s="666"/>
    </row>
    <row r="86" spans="2:10" x14ac:dyDescent="0.25">
      <c r="G86" s="668">
        <f>summ!F32</f>
        <v>10.556000000000001</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2" zoomScaleNormal="100"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Round Mound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15859</v>
      </c>
      <c r="D6" s="390">
        <f>C44</f>
        <v>23511</v>
      </c>
      <c r="E6" s="32">
        <f>D44</f>
        <v>7697</v>
      </c>
    </row>
    <row r="7" spans="2:5" x14ac:dyDescent="0.25">
      <c r="B7" s="27" t="s">
        <v>120</v>
      </c>
      <c r="C7" s="390"/>
      <c r="D7" s="390"/>
      <c r="E7" s="33"/>
    </row>
    <row r="8" spans="2:5" x14ac:dyDescent="0.25">
      <c r="B8" s="27" t="s">
        <v>16</v>
      </c>
      <c r="C8" s="29">
        <v>39418</v>
      </c>
      <c r="D8" s="390">
        <f>IF(inputPrYr!H15&gt;0,inputPrYr!G19,inputPrYr!E19)</f>
        <v>43618</v>
      </c>
      <c r="E8" s="33" t="s">
        <v>290</v>
      </c>
    </row>
    <row r="9" spans="2:5" x14ac:dyDescent="0.25">
      <c r="B9" s="27" t="s">
        <v>17</v>
      </c>
      <c r="C9" s="29">
        <v>0</v>
      </c>
      <c r="D9" s="29"/>
      <c r="E9" s="34"/>
    </row>
    <row r="10" spans="2:5" x14ac:dyDescent="0.25">
      <c r="B10" s="27" t="s">
        <v>18</v>
      </c>
      <c r="C10" s="29">
        <v>515</v>
      </c>
      <c r="D10" s="29">
        <v>528</v>
      </c>
      <c r="E10" s="32">
        <f>mvalloc!G14</f>
        <v>684</v>
      </c>
    </row>
    <row r="11" spans="2:5" x14ac:dyDescent="0.25">
      <c r="B11" s="27" t="s">
        <v>19</v>
      </c>
      <c r="C11" s="29">
        <v>0</v>
      </c>
      <c r="D11" s="29">
        <v>0</v>
      </c>
      <c r="E11" s="32">
        <f>mvalloc!I14</f>
        <v>0</v>
      </c>
    </row>
    <row r="12" spans="2:5" x14ac:dyDescent="0.25">
      <c r="B12" s="27" t="s">
        <v>99</v>
      </c>
      <c r="C12" s="29">
        <v>74</v>
      </c>
      <c r="D12" s="29">
        <v>79</v>
      </c>
      <c r="E12" s="32">
        <f>mvalloc!J14</f>
        <v>90</v>
      </c>
    </row>
    <row r="13" spans="2:5" x14ac:dyDescent="0.25">
      <c r="B13" s="27" t="s">
        <v>100</v>
      </c>
      <c r="C13" s="29">
        <v>1178</v>
      </c>
      <c r="D13" s="29">
        <v>1200</v>
      </c>
      <c r="E13" s="32">
        <f>inputOth!E36</f>
        <v>1000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41186</v>
      </c>
      <c r="D23" s="392">
        <f>SUM(D8:D21)</f>
        <v>45425</v>
      </c>
      <c r="E23" s="42">
        <f>SUM(E8:E21)</f>
        <v>1774</v>
      </c>
    </row>
    <row r="24" spans="2:5" x14ac:dyDescent="0.25">
      <c r="B24" s="43" t="s">
        <v>24</v>
      </c>
      <c r="C24" s="392">
        <f>C23+C6</f>
        <v>57045</v>
      </c>
      <c r="D24" s="392">
        <f>D23+D6</f>
        <v>68936</v>
      </c>
      <c r="E24" s="42">
        <f>E23+E6</f>
        <v>9471</v>
      </c>
    </row>
    <row r="25" spans="2:5" x14ac:dyDescent="0.25">
      <c r="B25" s="27" t="s">
        <v>25</v>
      </c>
      <c r="C25" s="390"/>
      <c r="D25" s="390"/>
      <c r="E25" s="32"/>
    </row>
    <row r="26" spans="2:5" x14ac:dyDescent="0.25">
      <c r="B26" s="38" t="s">
        <v>125</v>
      </c>
      <c r="C26" s="29">
        <v>5199</v>
      </c>
      <c r="D26" s="29">
        <v>4600</v>
      </c>
      <c r="E26" s="34">
        <v>5200</v>
      </c>
    </row>
    <row r="27" spans="2:5" x14ac:dyDescent="0.25">
      <c r="B27" s="37" t="s">
        <v>102</v>
      </c>
      <c r="C27" s="29">
        <v>1427</v>
      </c>
      <c r="D27" s="29">
        <v>1800</v>
      </c>
      <c r="E27" s="34">
        <v>1500</v>
      </c>
    </row>
    <row r="28" spans="2:5" x14ac:dyDescent="0.25">
      <c r="B28" s="38" t="s">
        <v>127</v>
      </c>
      <c r="C28" s="29">
        <v>1114</v>
      </c>
      <c r="D28" s="29">
        <v>1000</v>
      </c>
      <c r="E28" s="34">
        <v>1200</v>
      </c>
    </row>
    <row r="29" spans="2:5" x14ac:dyDescent="0.25">
      <c r="B29" s="38" t="s">
        <v>105</v>
      </c>
      <c r="C29" s="29">
        <v>1374</v>
      </c>
      <c r="D29" s="29">
        <v>4500</v>
      </c>
      <c r="E29" s="34">
        <v>10400</v>
      </c>
    </row>
    <row r="30" spans="2:5" x14ac:dyDescent="0.25">
      <c r="B30" s="38" t="s">
        <v>103</v>
      </c>
      <c r="C30" s="29">
        <v>15172</v>
      </c>
      <c r="D30" s="29">
        <v>29059</v>
      </c>
      <c r="E30" s="34">
        <v>25000</v>
      </c>
    </row>
    <row r="31" spans="2:5" x14ac:dyDescent="0.25">
      <c r="B31" s="38" t="s">
        <v>128</v>
      </c>
      <c r="C31" s="29">
        <v>4220</v>
      </c>
      <c r="D31" s="29">
        <v>4100</v>
      </c>
      <c r="E31" s="34">
        <v>4500</v>
      </c>
    </row>
    <row r="32" spans="2:5" x14ac:dyDescent="0.25">
      <c r="B32" s="38" t="s">
        <v>940</v>
      </c>
      <c r="C32" s="29">
        <v>5028</v>
      </c>
      <c r="D32" s="29">
        <v>10000</v>
      </c>
      <c r="E32" s="34"/>
    </row>
    <row r="33" spans="2:11" x14ac:dyDescent="0.25">
      <c r="B33" s="38" t="s">
        <v>21</v>
      </c>
      <c r="C33" s="29"/>
      <c r="D33" s="29">
        <v>6000</v>
      </c>
      <c r="E33" s="34">
        <v>5762</v>
      </c>
    </row>
    <row r="34" spans="2:11" x14ac:dyDescent="0.25">
      <c r="B34" s="37" t="s">
        <v>941</v>
      </c>
      <c r="C34" s="29"/>
      <c r="D34" s="29">
        <v>100</v>
      </c>
      <c r="E34" s="34"/>
      <c r="G34" s="812" t="str">
        <f>CONCATENATE("Desired Carryover Into ",E1+1,"")</f>
        <v>Desired Carryover Into 2014</v>
      </c>
      <c r="H34" s="813"/>
      <c r="I34" s="813"/>
      <c r="J34" s="814"/>
    </row>
    <row r="35" spans="2:11" x14ac:dyDescent="0.25">
      <c r="B35" s="37" t="s">
        <v>942</v>
      </c>
      <c r="C35" s="29"/>
      <c r="D35" s="29">
        <v>80</v>
      </c>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33534</v>
      </c>
      <c r="D43" s="392">
        <f>SUM(D26:D38,D40:D41)</f>
        <v>61239</v>
      </c>
      <c r="E43" s="42">
        <f>SUM(E26:E38,E40:E41)</f>
        <v>53562</v>
      </c>
      <c r="G43" s="490">
        <f>D44</f>
        <v>7697</v>
      </c>
      <c r="H43" s="491" t="str">
        <f>CONCATENATE("",E1-1," Ending Cash Balance (est.)")</f>
        <v>2012 Ending Cash Balance (est.)</v>
      </c>
      <c r="I43" s="492"/>
      <c r="J43" s="489"/>
    </row>
    <row r="44" spans="2:11" x14ac:dyDescent="0.25">
      <c r="B44" s="27" t="s">
        <v>119</v>
      </c>
      <c r="C44" s="385">
        <f>C24-C43</f>
        <v>23511</v>
      </c>
      <c r="D44" s="385">
        <f>D24-D43</f>
        <v>7697</v>
      </c>
      <c r="E44" s="33" t="s">
        <v>290</v>
      </c>
      <c r="G44" s="490">
        <f>E23</f>
        <v>1774</v>
      </c>
      <c r="H44" s="493" t="str">
        <f>CONCATENATE("",E1," Non-AV Receipts (est.)")</f>
        <v>2013 Non-AV Receipts (est.)</v>
      </c>
      <c r="I44" s="492"/>
      <c r="J44" s="489"/>
    </row>
    <row r="45" spans="2:11" x14ac:dyDescent="0.2">
      <c r="B45" s="48" t="str">
        <f>CONCATENATE("",E1-2,"/",E1-1," Budget Authority Amount:")</f>
        <v>2011/2012 Budget Authority Amount:</v>
      </c>
      <c r="C45" s="132">
        <f>inputOth!B49</f>
        <v>49000</v>
      </c>
      <c r="D45" s="161">
        <f>inputPrYr!D19</f>
        <v>61239</v>
      </c>
      <c r="E45" s="33" t="s">
        <v>290</v>
      </c>
      <c r="F45" s="50"/>
      <c r="G45" s="494">
        <f>IF(D49&gt;0,E48,E50)</f>
        <v>44091</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53562</v>
      </c>
      <c r="H46" s="493" t="str">
        <f>CONCATENATE("Total ",E1," Resources Available")</f>
        <v>Total 2013 Resources Available</v>
      </c>
      <c r="I46" s="492"/>
      <c r="J46" s="489"/>
    </row>
    <row r="47" spans="2:11" x14ac:dyDescent="0.25">
      <c r="B47" s="399" t="str">
        <f>CONCATENATE(C74,"     ",D74)</f>
        <v xml:space="preserve">     </v>
      </c>
      <c r="C47" s="810" t="s">
        <v>624</v>
      </c>
      <c r="D47" s="811"/>
      <c r="E47" s="32">
        <f>E43+E46</f>
        <v>53562</v>
      </c>
      <c r="G47" s="495"/>
      <c r="H47" s="493"/>
      <c r="I47" s="493"/>
      <c r="J47" s="489"/>
    </row>
    <row r="48" spans="2:11" x14ac:dyDescent="0.25">
      <c r="B48" s="399" t="str">
        <f>CONCATENATE(C75,"     ",D75)</f>
        <v xml:space="preserve">     </v>
      </c>
      <c r="C48" s="60"/>
      <c r="D48" s="52" t="s">
        <v>28</v>
      </c>
      <c r="E48" s="46">
        <f>IF(E47-E24&gt;0,E47-E24,0)</f>
        <v>44091</v>
      </c>
      <c r="G48" s="494">
        <f>ROUND(C43*0.05+C43,0)</f>
        <v>35211</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18351</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44091</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11.045</v>
      </c>
      <c r="H53" s="491" t="str">
        <f>CONCATENATE("",E1," Fund Mill Rate")</f>
        <v>2013 Fund Mill Rate</v>
      </c>
      <c r="I53" s="700"/>
      <c r="J53" s="713"/>
    </row>
    <row r="54" spans="2:10" x14ac:dyDescent="0.25">
      <c r="B54" s="71" t="s">
        <v>31</v>
      </c>
      <c r="C54" s="404" t="str">
        <f>CONCATENATE("",E1-2," Actual Year")</f>
        <v>2011 Actual Year</v>
      </c>
      <c r="D54" s="14"/>
      <c r="E54" s="14"/>
      <c r="G54" s="715">
        <f>summ!F21</f>
        <v>10.007</v>
      </c>
      <c r="H54" s="491" t="str">
        <f>CONCATENATE("",E1-1," Fund Mill Rate")</f>
        <v>2012 Fund Mill Rate</v>
      </c>
      <c r="I54" s="700"/>
      <c r="J54" s="713"/>
    </row>
    <row r="55" spans="2:10" x14ac:dyDescent="0.25">
      <c r="B55" s="72" t="s">
        <v>14</v>
      </c>
      <c r="C55" s="538"/>
      <c r="D55" s="14"/>
      <c r="E55" s="14"/>
      <c r="G55" s="716">
        <f>summ!I32</f>
        <v>11.863999999999999</v>
      </c>
      <c r="H55" s="491" t="str">
        <f>CONCATENATE("Total ",E1," Mill Rate")</f>
        <v>Total 2013 Mill Rate</v>
      </c>
      <c r="I55" s="700"/>
      <c r="J55" s="713"/>
    </row>
    <row r="56" spans="2:10" x14ac:dyDescent="0.25">
      <c r="B56" s="72" t="s">
        <v>33</v>
      </c>
      <c r="C56" s="132"/>
      <c r="D56" s="14"/>
      <c r="E56" s="14"/>
      <c r="G56" s="715">
        <f>summ!F32</f>
        <v>10.556000000000001</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0</v>
      </c>
      <c r="D63" s="14"/>
      <c r="E63" s="14"/>
    </row>
    <row r="64" spans="2:10" x14ac:dyDescent="0.25">
      <c r="B64" s="77" t="s">
        <v>26</v>
      </c>
      <c r="C64" s="538"/>
      <c r="D64" s="14"/>
      <c r="E64" s="14"/>
    </row>
    <row r="65" spans="2:5" x14ac:dyDescent="0.25">
      <c r="B65" s="77" t="s">
        <v>27</v>
      </c>
      <c r="C65" s="401">
        <f>SUM(C63-C64)</f>
        <v>0</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1" zoomScaleNormal="100" workbookViewId="0">
      <selection activeCell="E24" sqref="E2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Round Mound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2999</v>
      </c>
      <c r="D6" s="390">
        <f>C34</f>
        <v>4246</v>
      </c>
      <c r="E6" s="32">
        <f>D34</f>
        <v>1560</v>
      </c>
    </row>
    <row r="7" spans="2:5" x14ac:dyDescent="0.25">
      <c r="B7" s="27" t="s">
        <v>120</v>
      </c>
      <c r="C7" s="390"/>
      <c r="D7" s="390"/>
      <c r="E7" s="33"/>
    </row>
    <row r="8" spans="2:5" x14ac:dyDescent="0.25">
      <c r="B8" s="27" t="s">
        <v>16</v>
      </c>
      <c r="C8" s="29">
        <v>1987</v>
      </c>
      <c r="D8" s="390">
        <f>IF(inputPrYr!H15&gt;0,inputPrYr!G20,inputPrYr!E20)</f>
        <v>1000</v>
      </c>
      <c r="E8" s="33" t="s">
        <v>290</v>
      </c>
    </row>
    <row r="9" spans="2:5" x14ac:dyDescent="0.25">
      <c r="B9" s="27" t="s">
        <v>17</v>
      </c>
      <c r="C9" s="29">
        <v>0</v>
      </c>
      <c r="D9" s="29"/>
      <c r="E9" s="34"/>
    </row>
    <row r="10" spans="2:5" x14ac:dyDescent="0.25">
      <c r="B10" s="27" t="s">
        <v>18</v>
      </c>
      <c r="C10" s="29">
        <v>25</v>
      </c>
      <c r="D10" s="29">
        <v>27</v>
      </c>
      <c r="E10" s="32">
        <f>mvalloc!G15</f>
        <v>16</v>
      </c>
    </row>
    <row r="11" spans="2:5" x14ac:dyDescent="0.25">
      <c r="B11" s="27" t="s">
        <v>19</v>
      </c>
      <c r="C11" s="29">
        <v>0</v>
      </c>
      <c r="D11" s="29"/>
      <c r="E11" s="32">
        <f>mvalloc!I15</f>
        <v>0</v>
      </c>
    </row>
    <row r="12" spans="2:5" x14ac:dyDescent="0.25">
      <c r="B12" s="35" t="s">
        <v>69</v>
      </c>
      <c r="C12" s="29">
        <v>0</v>
      </c>
      <c r="D12" s="29">
        <v>4</v>
      </c>
      <c r="E12" s="32">
        <f>mvalloc!J15</f>
        <v>2</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v>5</v>
      </c>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2017</v>
      </c>
      <c r="D20" s="392">
        <f>SUM(D8:D18)</f>
        <v>1031</v>
      </c>
      <c r="E20" s="42">
        <f>SUM(E8:E18)</f>
        <v>18</v>
      </c>
    </row>
    <row r="21" spans="2:11" x14ac:dyDescent="0.25">
      <c r="B21" s="43" t="s">
        <v>24</v>
      </c>
      <c r="C21" s="392">
        <f>C20+C6</f>
        <v>5016</v>
      </c>
      <c r="D21" s="392">
        <f>D20+D6</f>
        <v>5277</v>
      </c>
      <c r="E21" s="42">
        <f>E20+E6</f>
        <v>1578</v>
      </c>
    </row>
    <row r="22" spans="2:11" x14ac:dyDescent="0.25">
      <c r="B22" s="27" t="s">
        <v>25</v>
      </c>
      <c r="C22" s="390"/>
      <c r="D22" s="390"/>
      <c r="E22" s="32"/>
    </row>
    <row r="23" spans="2:11" x14ac:dyDescent="0.25">
      <c r="B23" s="38" t="s">
        <v>943</v>
      </c>
      <c r="C23" s="29">
        <v>770</v>
      </c>
      <c r="D23" s="29">
        <v>3717</v>
      </c>
      <c r="E23" s="34">
        <v>3000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770</v>
      </c>
      <c r="D33" s="392">
        <f>SUM(D23:D31)</f>
        <v>3717</v>
      </c>
      <c r="E33" s="42">
        <f>SUM(E23:E31)</f>
        <v>3000</v>
      </c>
      <c r="G33" s="640">
        <f>D34</f>
        <v>1560</v>
      </c>
      <c r="H33" s="641" t="str">
        <f>CONCATENATE("",E1-1," Ending Cash Balance (est.)")</f>
        <v>2012 Ending Cash Balance (est.)</v>
      </c>
      <c r="I33" s="642"/>
      <c r="J33" s="637"/>
      <c r="K33" s="591"/>
    </row>
    <row r="34" spans="2:11" x14ac:dyDescent="0.25">
      <c r="B34" s="27" t="s">
        <v>119</v>
      </c>
      <c r="C34" s="385">
        <f>C21-C33</f>
        <v>4246</v>
      </c>
      <c r="D34" s="385">
        <f>D21-D33</f>
        <v>1560</v>
      </c>
      <c r="E34" s="33" t="s">
        <v>290</v>
      </c>
      <c r="G34" s="640">
        <f>E20</f>
        <v>18</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2343</v>
      </c>
      <c r="D35" s="161">
        <f>inputPrYr!D20</f>
        <v>3717</v>
      </c>
      <c r="E35" s="33" t="s">
        <v>290</v>
      </c>
      <c r="F35" s="50"/>
      <c r="G35" s="649">
        <f>IF(E39&gt;0,E38,E40)</f>
        <v>1422</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3000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3000</v>
      </c>
      <c r="G37" s="653"/>
      <c r="H37" s="624"/>
      <c r="I37" s="624"/>
      <c r="J37" s="637"/>
      <c r="K37" s="591"/>
    </row>
    <row r="38" spans="2:11" x14ac:dyDescent="0.25">
      <c r="B38" s="399" t="str">
        <f>CONCATENATE(C93,"     ",D93)</f>
        <v xml:space="preserve">     </v>
      </c>
      <c r="C38" s="60"/>
      <c r="D38" s="52" t="s">
        <v>28</v>
      </c>
      <c r="E38" s="46">
        <f>IF(E37-E21&gt;0,E37-E21,0)</f>
        <v>1422</v>
      </c>
      <c r="G38" s="649">
        <f>C33*0.05+C33</f>
        <v>808.5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2191.5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1422</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0.35599999999999998</v>
      </c>
      <c r="H43" s="641" t="str">
        <f>CONCATENATE("",E1," Fund Mill Rate")</f>
        <v>2013 Fund Mill Rate</v>
      </c>
      <c r="I43" s="665"/>
      <c r="J43" s="666"/>
      <c r="K43" s="591"/>
    </row>
    <row r="44" spans="2:11" x14ac:dyDescent="0.25">
      <c r="B44" s="14"/>
      <c r="C44" s="388" t="s">
        <v>11</v>
      </c>
      <c r="D44" s="391" t="s">
        <v>12</v>
      </c>
      <c r="E44" s="23" t="s">
        <v>13</v>
      </c>
      <c r="G44" s="668">
        <f>summ!F22</f>
        <v>0.23</v>
      </c>
      <c r="H44" s="641" t="str">
        <f>CONCATENATE("",E1-1," Fund Mill Rate")</f>
        <v>2012 Fund Mill Rate</v>
      </c>
      <c r="I44" s="665"/>
      <c r="J44" s="666"/>
      <c r="K44" s="591"/>
    </row>
    <row r="45" spans="2:11" x14ac:dyDescent="0.25">
      <c r="B45" s="481" t="str">
        <f>inputPrYr!B21</f>
        <v>Weed</v>
      </c>
      <c r="C45" s="389" t="str">
        <f>C5</f>
        <v>Actual for 2011</v>
      </c>
      <c r="D45" s="389" t="str">
        <f>D5</f>
        <v>Estimate for 2012</v>
      </c>
      <c r="E45" s="26" t="str">
        <f>E5</f>
        <v>Year for 2013</v>
      </c>
      <c r="G45" s="670">
        <f>summ!I32</f>
        <v>11.863999999999999</v>
      </c>
      <c r="H45" s="641" t="str">
        <f>CONCATENATE("Total ",E1," Mill Rate")</f>
        <v>Total 2013 Mill Rate</v>
      </c>
      <c r="I45" s="665"/>
      <c r="J45" s="666"/>
      <c r="K45" s="591"/>
    </row>
    <row r="46" spans="2:11" x14ac:dyDescent="0.25">
      <c r="B46" s="27" t="s">
        <v>118</v>
      </c>
      <c r="C46" s="29">
        <v>1131</v>
      </c>
      <c r="D46" s="390">
        <f>C74</f>
        <v>2002</v>
      </c>
      <c r="E46" s="32">
        <f>D74</f>
        <v>926</v>
      </c>
      <c r="G46" s="668">
        <f>summ!F32</f>
        <v>10.556000000000001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v>2245</v>
      </c>
      <c r="D48" s="390">
        <f>IF(inputPrYr!H15&gt;0,inputPrYr!G21,inputPrYr!E21)</f>
        <v>1389</v>
      </c>
      <c r="E48" s="33" t="s">
        <v>290</v>
      </c>
      <c r="G48" s="591"/>
      <c r="H48" s="591"/>
      <c r="I48" s="591"/>
      <c r="J48" s="591"/>
      <c r="K48" s="591"/>
    </row>
    <row r="49" spans="2:11" x14ac:dyDescent="0.25">
      <c r="B49" s="27" t="s">
        <v>17</v>
      </c>
      <c r="C49" s="29">
        <v>0</v>
      </c>
      <c r="D49" s="29"/>
      <c r="E49" s="34"/>
      <c r="G49" s="591"/>
      <c r="H49" s="591"/>
      <c r="I49" s="591"/>
      <c r="J49" s="591"/>
      <c r="K49" s="591"/>
    </row>
    <row r="50" spans="2:11" x14ac:dyDescent="0.25">
      <c r="B50" s="27" t="s">
        <v>18</v>
      </c>
      <c r="C50" s="29">
        <v>32</v>
      </c>
      <c r="D50" s="29">
        <v>30</v>
      </c>
      <c r="E50" s="32">
        <f>mvalloc!G16</f>
        <v>22</v>
      </c>
      <c r="G50" s="591"/>
      <c r="H50" s="591"/>
      <c r="I50" s="591"/>
      <c r="J50" s="591"/>
      <c r="K50" s="591"/>
    </row>
    <row r="51" spans="2:11" x14ac:dyDescent="0.25">
      <c r="B51" s="27" t="s">
        <v>19</v>
      </c>
      <c r="C51" s="29">
        <v>0</v>
      </c>
      <c r="D51" s="29">
        <v>0</v>
      </c>
      <c r="E51" s="32">
        <f>mvalloc!I16</f>
        <v>0</v>
      </c>
      <c r="G51" s="591"/>
      <c r="H51" s="591"/>
      <c r="I51" s="591"/>
      <c r="J51" s="591"/>
      <c r="K51" s="591"/>
    </row>
    <row r="52" spans="2:11" x14ac:dyDescent="0.25">
      <c r="B52" s="27" t="s">
        <v>99</v>
      </c>
      <c r="C52" s="29">
        <v>3</v>
      </c>
      <c r="D52" s="29">
        <v>5</v>
      </c>
      <c r="E52" s="32">
        <f>mvalloc!J16</f>
        <v>3</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2280</v>
      </c>
      <c r="D60" s="392">
        <f>SUM(D48:D58)</f>
        <v>1424</v>
      </c>
      <c r="E60" s="42">
        <f>SUM(E48:E58)</f>
        <v>25</v>
      </c>
      <c r="G60" s="591"/>
      <c r="H60" s="591"/>
      <c r="I60" s="591"/>
      <c r="J60" s="591"/>
      <c r="K60" s="591"/>
    </row>
    <row r="61" spans="2:11" x14ac:dyDescent="0.25">
      <c r="B61" s="43" t="s">
        <v>24</v>
      </c>
      <c r="C61" s="392">
        <f>C60+C46</f>
        <v>3411</v>
      </c>
      <c r="D61" s="392">
        <f>D60+D46</f>
        <v>3426</v>
      </c>
      <c r="E61" s="42">
        <f>E60+E46</f>
        <v>951</v>
      </c>
      <c r="G61" s="591"/>
      <c r="H61" s="591"/>
      <c r="I61" s="591"/>
      <c r="J61" s="591"/>
      <c r="K61" s="591"/>
    </row>
    <row r="62" spans="2:11" x14ac:dyDescent="0.25">
      <c r="B62" s="27" t="s">
        <v>25</v>
      </c>
      <c r="C62" s="390"/>
      <c r="D62" s="390"/>
      <c r="E62" s="32"/>
      <c r="G62" s="591"/>
      <c r="H62" s="591"/>
      <c r="I62" s="591"/>
      <c r="J62" s="591"/>
      <c r="K62" s="591"/>
    </row>
    <row r="63" spans="2:11" x14ac:dyDescent="0.25">
      <c r="B63" s="38" t="s">
        <v>944</v>
      </c>
      <c r="C63" s="29">
        <v>434</v>
      </c>
      <c r="D63" s="29">
        <v>1000</v>
      </c>
      <c r="E63" s="34">
        <v>1800</v>
      </c>
      <c r="G63" s="591"/>
      <c r="H63" s="591"/>
      <c r="I63" s="591"/>
      <c r="J63" s="591"/>
      <c r="K63" s="591"/>
    </row>
    <row r="64" spans="2:11" x14ac:dyDescent="0.25">
      <c r="B64" s="38" t="s">
        <v>945</v>
      </c>
      <c r="C64" s="29">
        <v>975</v>
      </c>
      <c r="D64" s="29">
        <v>1500</v>
      </c>
      <c r="E64" s="34">
        <v>1000</v>
      </c>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1409</v>
      </c>
      <c r="D73" s="392">
        <f>SUM(D63:D71)</f>
        <v>2500</v>
      </c>
      <c r="E73" s="42">
        <f>SUM(E63:E71)</f>
        <v>2800</v>
      </c>
      <c r="G73" s="640">
        <f>D74</f>
        <v>926</v>
      </c>
      <c r="H73" s="641" t="str">
        <f>CONCATENATE("",E1-1," Ending Cash Balance (est.)")</f>
        <v>2012 Ending Cash Balance (est.)</v>
      </c>
      <c r="I73" s="642"/>
      <c r="J73" s="677"/>
      <c r="K73" s="591"/>
    </row>
    <row r="74" spans="2:11" x14ac:dyDescent="0.25">
      <c r="B74" s="27" t="s">
        <v>119</v>
      </c>
      <c r="C74" s="385">
        <f>C61-C73</f>
        <v>2002</v>
      </c>
      <c r="D74" s="385">
        <f>D61-D73</f>
        <v>926</v>
      </c>
      <c r="E74" s="33" t="s">
        <v>290</v>
      </c>
      <c r="G74" s="640">
        <f>E60</f>
        <v>25</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2343</v>
      </c>
      <c r="D75" s="161">
        <f>inputPrYr!D21</f>
        <v>2500</v>
      </c>
      <c r="E75" s="33" t="s">
        <v>290</v>
      </c>
      <c r="F75" s="50"/>
      <c r="G75" s="649">
        <f>IF(E79&gt;0,E78,E80)</f>
        <v>1849</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2800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2800</v>
      </c>
      <c r="G77" s="681"/>
      <c r="H77" s="682"/>
      <c r="I77" s="623"/>
      <c r="J77" s="677"/>
      <c r="K77" s="591"/>
    </row>
    <row r="78" spans="2:11" x14ac:dyDescent="0.25">
      <c r="B78" s="399" t="str">
        <f>CONCATENATE(C95,"     ",D95)</f>
        <v xml:space="preserve">     </v>
      </c>
      <c r="C78" s="60"/>
      <c r="D78" s="52" t="s">
        <v>28</v>
      </c>
      <c r="E78" s="46">
        <f>IF(E77-E61&gt;0,E77-E61,0)</f>
        <v>1849</v>
      </c>
      <c r="G78" s="649">
        <f>ROUND(C73*0.05+C73,0)</f>
        <v>1479</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1321</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1849</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f>summ!I23</f>
        <v>0.46300000000000002</v>
      </c>
      <c r="H83" s="641" t="str">
        <f>CONCATENATE("",E1," Fund Mill Rate")</f>
        <v>2013 Fund Mill Rate</v>
      </c>
      <c r="I83" s="665"/>
      <c r="J83" s="666"/>
      <c r="K83" s="591"/>
    </row>
    <row r="84" spans="2:11" x14ac:dyDescent="0.25">
      <c r="G84" s="668">
        <f>summ!F23</f>
        <v>0.31900000000000001</v>
      </c>
      <c r="H84" s="641" t="str">
        <f>CONCATENATE("",E1-1," Fund Mill Rate")</f>
        <v>2012 Fund Mill Rate</v>
      </c>
      <c r="I84" s="665"/>
      <c r="J84" s="666"/>
      <c r="K84" s="591"/>
    </row>
    <row r="85" spans="2:11" x14ac:dyDescent="0.25">
      <c r="G85" s="670">
        <f>summ!I32</f>
        <v>11.863999999999999</v>
      </c>
      <c r="H85" s="641" t="str">
        <f>CONCATENATE("Total ",E1," Mill Rate")</f>
        <v>Total 2013 Mill Rate</v>
      </c>
      <c r="I85" s="665"/>
      <c r="J85" s="666"/>
      <c r="K85" s="591"/>
    </row>
    <row r="86" spans="2:11" x14ac:dyDescent="0.25">
      <c r="G86" s="668">
        <f>summ!F32</f>
        <v>10.556000000000001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Round Mound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11.863999999999999</v>
      </c>
      <c r="H45" s="641" t="str">
        <f>CONCATENATE("Total ",E1," Mill Rate")</f>
        <v>Total 2013 Mill Rate</v>
      </c>
      <c r="I45" s="665"/>
      <c r="J45" s="666"/>
      <c r="K45" s="591"/>
    </row>
    <row r="46" spans="2:11" x14ac:dyDescent="0.25">
      <c r="B46" s="27" t="s">
        <v>118</v>
      </c>
      <c r="C46" s="29"/>
      <c r="D46" s="390">
        <f>C74</f>
        <v>0</v>
      </c>
      <c r="E46" s="32">
        <f>D74</f>
        <v>0</v>
      </c>
      <c r="G46" s="668">
        <f>summ!F32</f>
        <v>10.556000000000001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11.863999999999999</v>
      </c>
      <c r="H85" s="641" t="str">
        <f>CONCATENATE("Total ",E1," Mill Rate")</f>
        <v>Total 2013 Mill Rate</v>
      </c>
      <c r="I85" s="665"/>
      <c r="J85" s="666"/>
      <c r="K85" s="591"/>
    </row>
    <row r="86" spans="2:11" x14ac:dyDescent="0.25">
      <c r="G86" s="668">
        <f>summ!F32</f>
        <v>10.556000000000001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Round Mound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11.863999999999999</v>
      </c>
      <c r="H45" s="641" t="str">
        <f>CONCATENATE("Total ",E1," Mill Rate")</f>
        <v>Total 2013 Mill Rate</v>
      </c>
      <c r="I45" s="665"/>
      <c r="J45" s="666"/>
      <c r="K45" s="591"/>
    </row>
    <row r="46" spans="2:11" x14ac:dyDescent="0.25">
      <c r="B46" s="27" t="s">
        <v>118</v>
      </c>
      <c r="C46" s="29"/>
      <c r="D46" s="390">
        <f>C74</f>
        <v>0</v>
      </c>
      <c r="E46" s="32">
        <f>D74</f>
        <v>0</v>
      </c>
      <c r="G46" s="668">
        <f>summ!F32</f>
        <v>10.556000000000001</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11.863999999999999</v>
      </c>
      <c r="H85" s="641" t="str">
        <f>CONCATENATE("Total ",E1," Mill Rate")</f>
        <v>Total 2013 Mill Rate</v>
      </c>
      <c r="I85" s="665"/>
      <c r="J85" s="666"/>
      <c r="K85" s="591"/>
    </row>
    <row r="86" spans="2:11" x14ac:dyDescent="0.25">
      <c r="G86" s="668">
        <f>summ!F32</f>
        <v>10.556000000000001</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76:D76"/>
    <mergeCell ref="C77:D77"/>
    <mergeCell ref="C36:D36"/>
    <mergeCell ref="C37:D37"/>
    <mergeCell ref="G81:J81"/>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Round Mound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Round Mound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935</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2500</v>
      </c>
      <c r="E16" s="187"/>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61239</v>
      </c>
      <c r="E19" s="187">
        <v>43618</v>
      </c>
      <c r="G19" s="32">
        <f>IF(H15&gt;0,ROUND(E19-(E19*H15),0),0)</f>
        <v>0</v>
      </c>
    </row>
    <row r="20" spans="1:7" x14ac:dyDescent="0.25">
      <c r="A20" s="14"/>
      <c r="B20" s="382" t="s">
        <v>936</v>
      </c>
      <c r="C20" s="383"/>
      <c r="D20" s="187">
        <v>3717</v>
      </c>
      <c r="E20" s="187">
        <v>1000</v>
      </c>
      <c r="G20" s="32">
        <f>IF(H15&gt;0,ROUND(E20-(E20*H15),0),0)</f>
        <v>0</v>
      </c>
    </row>
    <row r="21" spans="1:7" x14ac:dyDescent="0.25">
      <c r="A21" s="14"/>
      <c r="B21" s="187" t="s">
        <v>937</v>
      </c>
      <c r="C21" s="395"/>
      <c r="D21" s="187">
        <v>2500</v>
      </c>
      <c r="E21" s="187">
        <v>1389</v>
      </c>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46007</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69956</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0.49</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8.83</v>
      </c>
      <c r="E45" s="14"/>
    </row>
    <row r="46" spans="1:5" x14ac:dyDescent="0.25">
      <c r="A46" s="14"/>
      <c r="B46" s="72" t="str">
        <f t="shared" si="0"/>
        <v>Cemetery</v>
      </c>
      <c r="C46" s="14"/>
      <c r="D46" s="322">
        <v>0.44500000000000001</v>
      </c>
      <c r="E46" s="14"/>
    </row>
    <row r="47" spans="1:5" x14ac:dyDescent="0.25">
      <c r="A47" s="14"/>
      <c r="B47" s="72" t="str">
        <f t="shared" si="0"/>
        <v>Weed</v>
      </c>
      <c r="C47" s="14"/>
      <c r="D47" s="322">
        <v>0.503</v>
      </c>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10.268000000000001</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45831</v>
      </c>
    </row>
    <row r="55" spans="1:5" x14ac:dyDescent="0.25">
      <c r="A55" s="327" t="str">
        <f>CONCATENATE("Assessed Valuation (",D5-2," budget column)")</f>
        <v>Assessed Valuation (2011 budget column)</v>
      </c>
      <c r="B55" s="328"/>
      <c r="C55" s="267"/>
      <c r="D55" s="28"/>
      <c r="E55" s="187">
        <v>4464143</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Round Mound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34" t="str">
        <f>CONCATENATE("will meet on ",inputBudSum!B8," at ",inputBudSum!B10," at ",inputBudSum!B12," for the purpose of hearing and")</f>
        <v>will meet on July 30, 2012 at 8:00 p.m. at Schneider Pellets, 2716 W. 210th Drive, Round Mound Township for the purpose of hearing and</v>
      </c>
      <c r="C7" s="834"/>
      <c r="D7" s="834"/>
      <c r="E7" s="834"/>
      <c r="F7" s="834"/>
      <c r="G7" s="834"/>
      <c r="H7" s="834"/>
      <c r="I7" s="83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32"/>
      <c r="I16" s="156" t="s">
        <v>41</v>
      </c>
      <c r="J16" s="149"/>
    </row>
    <row r="17" spans="2:14" x14ac:dyDescent="0.25">
      <c r="B17" s="25" t="s">
        <v>286</v>
      </c>
      <c r="C17" s="26" t="s">
        <v>42</v>
      </c>
      <c r="D17" s="26" t="s">
        <v>43</v>
      </c>
      <c r="E17" s="26" t="s">
        <v>42</v>
      </c>
      <c r="F17" s="26" t="s">
        <v>43</v>
      </c>
      <c r="G17" s="26" t="s">
        <v>720</v>
      </c>
      <c r="H17" s="833"/>
      <c r="I17" s="26" t="s">
        <v>43</v>
      </c>
      <c r="J17" s="149"/>
    </row>
    <row r="18" spans="2:14" x14ac:dyDescent="0.25">
      <c r="B18" s="85" t="str">
        <f>inputPrYr!B16</f>
        <v>General</v>
      </c>
      <c r="C18" s="63">
        <f>IF(gen!$C$50&lt;&gt;0,gen!$C$50,"  ")</f>
        <v>1943</v>
      </c>
      <c r="D18" s="530">
        <f>IF(inputPrYr!D42&gt;0,inputPrYr!D42,"  ")</f>
        <v>0.49</v>
      </c>
      <c r="E18" s="32">
        <f>IF(gen!$D$50&lt;&gt;0,gen!$D$50,"  ")</f>
        <v>2500</v>
      </c>
      <c r="F18" s="235" t="str">
        <f>IF(inputOth!D17&gt;0,inputOth!D17,"  ")</f>
        <v xml:space="preserve">  </v>
      </c>
      <c r="G18" s="32">
        <f>IF(gen!$E$50&lt;&gt;0,gen!$E$50,"  ")</f>
        <v>2250</v>
      </c>
      <c r="H18" s="32" t="str">
        <f>IF(gen!$E$57&lt;&gt;0,gen!$E$57," ")</f>
        <v xml:space="preserve"> </v>
      </c>
      <c r="I18" s="532" t="str">
        <f>IF(gen!E57&gt;0,ROUND(H18/$G$37*1000,3)," ")</f>
        <v xml:space="preserve"> </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33534</v>
      </c>
      <c r="D21" s="530">
        <f>IF(inputPrYr!D45&gt;0,inputPrYr!D45,"  ")</f>
        <v>8.83</v>
      </c>
      <c r="E21" s="32">
        <f>IF(road!$D$43&lt;&gt;0,road!$D$43,"  ")</f>
        <v>61239</v>
      </c>
      <c r="F21" s="235">
        <f>IF(inputOth!D20&gt;0,inputOth!D20,"  ")</f>
        <v>10.007</v>
      </c>
      <c r="G21" s="32">
        <f>IF(road!$E$43&lt;&gt;0,road!$E$43,"  ")</f>
        <v>53562</v>
      </c>
      <c r="H21" s="32">
        <f>IF(road!$E$50&lt;&gt;0,road!$E$50,"  ")</f>
        <v>44091</v>
      </c>
      <c r="I21" s="532">
        <f>IF(road!E50&gt;0,ROUND(H21/$G$37*1000,3)," ")</f>
        <v>11.045</v>
      </c>
      <c r="K21" s="838" t="str">
        <f>CONCATENATE("Estimated Value Of One Mill For ",I1,"")</f>
        <v>Estimated Value Of One Mill For 2013</v>
      </c>
      <c r="L21" s="843"/>
      <c r="M21" s="843"/>
      <c r="N21" s="844"/>
    </row>
    <row r="22" spans="2:14" x14ac:dyDescent="0.25">
      <c r="B22" s="85" t="str">
        <f>IF(inputPrYr!$B20&gt;"  ",inputPrYr!$B20,"  ")</f>
        <v>Cemetery</v>
      </c>
      <c r="C22" s="32">
        <f>IF(levypage9!$C$33&lt;&gt;0,levypage9!$C$33,"  ")</f>
        <v>770</v>
      </c>
      <c r="D22" s="530">
        <f>IF(inputPrYr!D46&gt;0,inputPrYr!D46,"  ")</f>
        <v>0.44500000000000001</v>
      </c>
      <c r="E22" s="32">
        <f>IF(levypage9!$D$33&lt;&gt;0,levypage9!$D$33,"  ")</f>
        <v>3717</v>
      </c>
      <c r="F22" s="235">
        <f>IF(inputOth!D21&gt;0,inputOth!D21,"  ")</f>
        <v>0.23</v>
      </c>
      <c r="G22" s="32">
        <f>IF(levypage9!$E$33&lt;&gt;0,levypage9!$E$33,"  ")</f>
        <v>3000</v>
      </c>
      <c r="H22" s="32">
        <f>IF(levypage9!$E$40&lt;&gt;0,levypage9!$E$40,"  ")</f>
        <v>1422</v>
      </c>
      <c r="I22" s="532">
        <f>IF(levypage9!E40&gt;0,ROUND(H22/$G$37*1000,3)," ")</f>
        <v>0.35599999999999998</v>
      </c>
      <c r="K22" s="506"/>
      <c r="L22" s="507"/>
      <c r="M22" s="507"/>
      <c r="N22" s="508"/>
    </row>
    <row r="23" spans="2:14" x14ac:dyDescent="0.25">
      <c r="B23" s="85" t="str">
        <f>IF(inputPrYr!$B21&gt;"  ",inputPrYr!$B21,"  ")</f>
        <v>Weed</v>
      </c>
      <c r="C23" s="32">
        <f>IF(levypage9!$C$73&lt;&gt;0,levypage9!$C$73,"  ")</f>
        <v>1409</v>
      </c>
      <c r="D23" s="530">
        <f>IF(inputPrYr!D47&gt;0,inputPrYr!D47,"  ")</f>
        <v>0.503</v>
      </c>
      <c r="E23" s="32">
        <f>IF(levypage9!$D$73&lt;&gt;0,levypage9!$D$73,"  ")</f>
        <v>2500</v>
      </c>
      <c r="F23" s="235">
        <f>IF(inputOth!D22&gt;0,inputOth!D22,"  ")</f>
        <v>0.31900000000000001</v>
      </c>
      <c r="G23" s="32">
        <f>IF(levypage9!$E$73&lt;&gt;0,levypage9!$E$73,"  ")</f>
        <v>2800</v>
      </c>
      <c r="H23" s="32">
        <f>IF(levypage9!$E$80&lt;&gt;0,levypage9!$E$80,"  ")</f>
        <v>1849</v>
      </c>
      <c r="I23" s="532">
        <f>IF(levypage9!E80&gt;0,ROUND(H23/$G$37*1000,3)," ")</f>
        <v>0.46300000000000002</v>
      </c>
      <c r="K23" s="509" t="s">
        <v>717</v>
      </c>
      <c r="L23" s="510"/>
      <c r="M23" s="510"/>
      <c r="N23" s="511">
        <f>ROUND(G37/1000,0)</f>
        <v>3992</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8" t="str">
        <f>CONCATENATE("Want The Mill Rate The Same As For ",I1-1,"?")</f>
        <v>Want The Mill Rate The Same As For 2012?</v>
      </c>
      <c r="L25" s="841"/>
      <c r="M25" s="841"/>
      <c r="N25" s="842"/>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10.556000000000001</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
      </c>
      <c r="L29" s="517"/>
      <c r="M29" s="517"/>
      <c r="N29" s="523">
        <f>IF(N36&lt;0,N36*-1,0)</f>
        <v>0</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Reduced By:</v>
      </c>
      <c r="L30" s="505"/>
      <c r="M30" s="505"/>
      <c r="N30" s="525">
        <f>IF(N36&gt;0,N36*-1,0)</f>
        <v>-5224</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37656</v>
      </c>
      <c r="D32" s="482">
        <f t="shared" si="0"/>
        <v>10.268000000000001</v>
      </c>
      <c r="E32" s="533">
        <f t="shared" si="0"/>
        <v>69956</v>
      </c>
      <c r="F32" s="482">
        <f t="shared" si="0"/>
        <v>10.556000000000001</v>
      </c>
      <c r="G32" s="533">
        <f t="shared" si="0"/>
        <v>61612</v>
      </c>
      <c r="H32" s="533">
        <f t="shared" si="0"/>
        <v>47362</v>
      </c>
      <c r="I32" s="536">
        <f t="shared" si="0"/>
        <v>11.863999999999999</v>
      </c>
      <c r="K32" s="838" t="str">
        <f>CONCATENATE("Impact On Keeping The Same Mill Rate As For ",I1-1,"")</f>
        <v>Impact On Keeping The Same Mill Rate As For 2012</v>
      </c>
      <c r="L32" s="839"/>
      <c r="M32" s="839"/>
      <c r="N32" s="840"/>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37656</v>
      </c>
      <c r="D34" s="14"/>
      <c r="E34" s="534">
        <f>E32-E33</f>
        <v>69956</v>
      </c>
      <c r="F34" s="14"/>
      <c r="G34" s="534">
        <f>G32-G33</f>
        <v>61612</v>
      </c>
      <c r="H34" s="14"/>
      <c r="I34" s="14"/>
      <c r="K34" s="513" t="str">
        <f>CONCATENATE("",I1," Ad Valorem Tax Revenue:")</f>
        <v>2013 Ad Valorem Tax Revenue:</v>
      </c>
      <c r="L34" s="507"/>
      <c r="M34" s="507"/>
      <c r="N34" s="508">
        <f>H32</f>
        <v>47362</v>
      </c>
    </row>
    <row r="35" spans="2:14" ht="16.5" thickTop="1" x14ac:dyDescent="0.25">
      <c r="B35" s="274" t="s">
        <v>46</v>
      </c>
      <c r="C35" s="535">
        <f>inputPrYr!E54</f>
        <v>45831</v>
      </c>
      <c r="D35" s="61"/>
      <c r="E35" s="535">
        <f>inputPrYr!E26</f>
        <v>46007</v>
      </c>
      <c r="F35" s="14"/>
      <c r="G35" s="526" t="s">
        <v>290</v>
      </c>
      <c r="H35" s="14"/>
      <c r="I35" s="14"/>
      <c r="K35" s="513" t="str">
        <f>CONCATENATE("",I1-1," Ad Valorem Tax Revenue:")</f>
        <v>2012 Ad Valorem Tax Revenue:</v>
      </c>
      <c r="L35" s="507"/>
      <c r="M35" s="507"/>
      <c r="N35" s="521">
        <f>ROUND(G37*N27/1000,0)</f>
        <v>42138</v>
      </c>
    </row>
    <row r="36" spans="2:14" x14ac:dyDescent="0.25">
      <c r="B36" s="274" t="s">
        <v>47</v>
      </c>
      <c r="C36" s="55"/>
      <c r="D36" s="61"/>
      <c r="E36" s="55"/>
      <c r="F36" s="61"/>
      <c r="G36" s="14"/>
      <c r="H36" s="14"/>
      <c r="I36" s="14"/>
      <c r="K36" s="518" t="s">
        <v>718</v>
      </c>
      <c r="L36" s="519"/>
      <c r="M36" s="519"/>
      <c r="N36" s="511">
        <f>N34-N35</f>
        <v>5224</v>
      </c>
    </row>
    <row r="37" spans="2:14" x14ac:dyDescent="0.25">
      <c r="B37" s="274" t="s">
        <v>48</v>
      </c>
      <c r="C37" s="32">
        <f>inputPrYr!E55</f>
        <v>4464143</v>
      </c>
      <c r="D37" s="14"/>
      <c r="E37" s="32">
        <f>inputOth!E29</f>
        <v>4359113</v>
      </c>
      <c r="F37" s="14"/>
      <c r="G37" s="32">
        <f>inputOth!E7</f>
        <v>3991890</v>
      </c>
      <c r="H37" s="14"/>
      <c r="I37" s="14"/>
      <c r="K37" s="512"/>
      <c r="L37" s="512"/>
      <c r="M37" s="512"/>
      <c r="N37" s="520"/>
    </row>
    <row r="38" spans="2:14" x14ac:dyDescent="0.25">
      <c r="B38" s="22" t="s">
        <v>49</v>
      </c>
      <c r="C38" s="14"/>
      <c r="D38" s="14"/>
      <c r="E38" s="14"/>
      <c r="F38" s="14"/>
      <c r="G38" s="14"/>
      <c r="H38" s="14"/>
      <c r="I38" s="14"/>
      <c r="K38" s="838" t="s">
        <v>719</v>
      </c>
      <c r="L38" s="841"/>
      <c r="M38" s="841"/>
      <c r="N38" s="842"/>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11.863999999999999</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7">
        <f>inputBudSum!B4</f>
        <v>0</v>
      </c>
      <c r="C46" s="837"/>
      <c r="D46" s="14"/>
      <c r="E46" s="14"/>
      <c r="F46" s="14"/>
      <c r="G46" s="14"/>
      <c r="H46" s="14"/>
      <c r="I46" s="14"/>
    </row>
    <row r="47" spans="2:14" x14ac:dyDescent="0.25">
      <c r="B47" s="835">
        <f>inputBudSum!B6</f>
        <v>0</v>
      </c>
      <c r="C47" s="836"/>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47:C47"/>
    <mergeCell ref="B46:C46"/>
    <mergeCell ref="K32:N32"/>
    <mergeCell ref="K38:N38"/>
    <mergeCell ref="K21:N21"/>
    <mergeCell ref="K25:N25"/>
    <mergeCell ref="B2:I2"/>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Round Mound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t="str">
        <f>inputPrYr!B21</f>
        <v>Weed</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3991890</v>
      </c>
      <c r="E19" s="14"/>
      <c r="F19" s="129"/>
    </row>
    <row r="20" spans="1:6" x14ac:dyDescent="0.25">
      <c r="A20" s="14"/>
      <c r="B20" s="14"/>
      <c r="C20" s="14"/>
      <c r="D20" s="14"/>
      <c r="E20" s="14"/>
      <c r="F20" s="129"/>
    </row>
    <row r="21" spans="1:6" x14ac:dyDescent="0.25">
      <c r="A21" s="14"/>
      <c r="B21" s="847" t="s">
        <v>366</v>
      </c>
      <c r="C21" s="847"/>
      <c r="D21" s="137">
        <f>IF(D19&gt;0,(D19*0.001),"")</f>
        <v>3991.89</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5" t="s">
        <v>129</v>
      </c>
      <c r="B1" s="855"/>
      <c r="C1" s="855"/>
      <c r="D1" s="855"/>
      <c r="E1" s="855"/>
      <c r="F1" s="855"/>
      <c r="G1" s="855"/>
    </row>
    <row r="2" spans="1:9" x14ac:dyDescent="0.25">
      <c r="A2" s="1"/>
    </row>
    <row r="3" spans="1:9" x14ac:dyDescent="0.25">
      <c r="A3" s="856" t="s">
        <v>130</v>
      </c>
      <c r="B3" s="856"/>
      <c r="C3" s="856"/>
      <c r="D3" s="856"/>
      <c r="E3" s="856"/>
      <c r="F3" s="856"/>
      <c r="G3" s="856"/>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Round Mound Township </v>
      </c>
      <c r="I6" t="str">
        <f>CONCATENATE(I7)</f>
        <v/>
      </c>
    </row>
    <row r="7" spans="1:9" x14ac:dyDescent="0.25">
      <c r="A7" s="857" t="str">
        <f>CONCATENATE("   with respect to financing the ",inputPrYr!D5," annual budget for ",(inputPrYr!D2)," , ",(inputPrYr!D3)," , Kansas.")</f>
        <v xml:space="preserve">   with respect to financing the 2013 annual budget for Round Mound Township , Osborne County , Kansas.</v>
      </c>
      <c r="B7" s="850"/>
      <c r="C7" s="850"/>
      <c r="D7" s="850"/>
      <c r="E7" s="850"/>
      <c r="F7" s="850"/>
      <c r="G7" s="850"/>
    </row>
    <row r="8" spans="1:9" x14ac:dyDescent="0.25">
      <c r="A8" s="850"/>
      <c r="B8" s="850"/>
      <c r="C8" s="850"/>
      <c r="D8" s="850"/>
      <c r="E8" s="850"/>
      <c r="F8" s="850"/>
      <c r="G8" s="850"/>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Round Mound Township budget exceed the amount levied to finance the 2012</v>
      </c>
    </row>
    <row r="12" spans="1:9" x14ac:dyDescent="0.25">
      <c r="A12" s="853" t="str">
        <f>CONCATENATE((inputPrYr!D2)," Township budget, except with regard to revenue produced and attributable to the taxation of 1) new improvements to real property; 2) increased personal property valuation, other than increased")</f>
        <v>Round Mound Township Township budget, except with regard to revenue produced and attributable to the taxation of 1) new improvements to real property; 2) increased personal property valuation, other than increased</v>
      </c>
      <c r="B12" s="850"/>
      <c r="C12" s="850"/>
      <c r="D12" s="850"/>
      <c r="E12" s="850"/>
      <c r="F12" s="850"/>
      <c r="G12" s="850"/>
    </row>
    <row r="13" spans="1:9" x14ac:dyDescent="0.25">
      <c r="A13" s="850"/>
      <c r="B13" s="850"/>
      <c r="C13" s="850"/>
      <c r="D13" s="850"/>
      <c r="E13" s="850"/>
      <c r="F13" s="850"/>
      <c r="G13" s="850"/>
    </row>
    <row r="14" spans="1:9" x14ac:dyDescent="0.25">
      <c r="A14" s="853" t="s">
        <v>136</v>
      </c>
      <c r="B14" s="850"/>
      <c r="C14" s="850"/>
      <c r="D14" s="850"/>
      <c r="E14" s="850"/>
      <c r="F14" s="850"/>
      <c r="G14" s="850"/>
    </row>
    <row r="15" spans="1:9" x14ac:dyDescent="0.25">
      <c r="A15" s="850"/>
      <c r="B15" s="850"/>
      <c r="C15" s="850"/>
      <c r="D15" s="850"/>
      <c r="E15" s="850"/>
      <c r="F15" s="850"/>
      <c r="G15" s="850"/>
    </row>
    <row r="16" spans="1:9" x14ac:dyDescent="0.25">
      <c r="A16" s="854"/>
      <c r="B16" s="854"/>
      <c r="C16" s="854"/>
      <c r="D16" s="854"/>
      <c r="E16" s="854"/>
      <c r="F16" s="854"/>
      <c r="G16" s="854"/>
    </row>
    <row r="17" spans="1:7" x14ac:dyDescent="0.25">
      <c r="A17" s="2"/>
    </row>
    <row r="18" spans="1:7" x14ac:dyDescent="0.25">
      <c r="A18" s="851" t="s">
        <v>132</v>
      </c>
      <c r="B18" s="850"/>
      <c r="C18" s="850"/>
      <c r="D18" s="850"/>
      <c r="E18" s="850"/>
      <c r="F18" s="850"/>
      <c r="G18" s="850"/>
    </row>
    <row r="19" spans="1:7" x14ac:dyDescent="0.25">
      <c r="A19" s="850"/>
      <c r="B19" s="850"/>
      <c r="C19" s="850"/>
      <c r="D19" s="850"/>
      <c r="E19" s="850"/>
      <c r="F19" s="850"/>
      <c r="G19" s="850"/>
    </row>
    <row r="20" spans="1:7" x14ac:dyDescent="0.25">
      <c r="A20" s="2"/>
    </row>
    <row r="21" spans="1:7" x14ac:dyDescent="0.25">
      <c r="A21" s="851" t="str">
        <f>CONCATENATE("Whereas, ",(inputPrYr!D2)," provides essential services to protect the safety and well being of the citizens of the township; and")</f>
        <v>Whereas, Round Mound Township provides essential services to protect the safety and well being of the citizens of the township; and</v>
      </c>
      <c r="B21" s="850"/>
      <c r="C21" s="850"/>
      <c r="D21" s="850"/>
      <c r="E21" s="850"/>
      <c r="F21" s="850"/>
      <c r="G21" s="850"/>
    </row>
    <row r="22" spans="1:7" x14ac:dyDescent="0.25">
      <c r="A22" s="850"/>
      <c r="B22" s="850"/>
      <c r="C22" s="850"/>
      <c r="D22" s="850"/>
      <c r="E22" s="850"/>
      <c r="F22" s="850"/>
      <c r="G22" s="850"/>
    </row>
    <row r="23" spans="1:7" x14ac:dyDescent="0.25">
      <c r="A23" s="4"/>
    </row>
    <row r="24" spans="1:7" x14ac:dyDescent="0.25">
      <c r="A24" s="3" t="s">
        <v>133</v>
      </c>
    </row>
    <row r="25" spans="1:7" x14ac:dyDescent="0.25">
      <c r="A25" s="4"/>
    </row>
    <row r="26" spans="1:7" x14ac:dyDescent="0.25">
      <c r="A26" s="851" t="str">
        <f>CONCATENATE("NOW, THEREFORE, BE IT RESOLVED by the Board of ",(inputPrYr!D2)," of ",(inputPrYr!D3),", Kansas that is our desire to notify the public of increased property taxes to finance the ",inputPrYr!D5," ",(inputPrYr!D2),"  budget as defined above.")</f>
        <v>NOW, THEREFORE, BE IT RESOLVED by the Board of Round Mound Township of Osborne County, Kansas that is our desire to notify the public of increased property taxes to finance the 2013 Round Mound Township  budget as defined above.</v>
      </c>
      <c r="B26" s="850"/>
      <c r="C26" s="850"/>
      <c r="D26" s="850"/>
      <c r="E26" s="850"/>
      <c r="F26" s="850"/>
      <c r="G26" s="850"/>
    </row>
    <row r="27" spans="1:7" x14ac:dyDescent="0.25">
      <c r="A27" s="850"/>
      <c r="B27" s="850"/>
      <c r="C27" s="850"/>
      <c r="D27" s="850"/>
      <c r="E27" s="850"/>
      <c r="F27" s="850"/>
      <c r="G27" s="850"/>
    </row>
    <row r="28" spans="1:7" x14ac:dyDescent="0.25">
      <c r="A28" s="850"/>
      <c r="B28" s="850"/>
      <c r="C28" s="850"/>
      <c r="D28" s="850"/>
      <c r="E28" s="850"/>
      <c r="F28" s="850"/>
      <c r="G28" s="850"/>
    </row>
    <row r="29" spans="1:7" x14ac:dyDescent="0.25">
      <c r="A29" s="4"/>
    </row>
    <row r="30" spans="1:7" x14ac:dyDescent="0.25">
      <c r="A30" s="849" t="str">
        <f>CONCATENATE("Adopted this _________ day of ___________, ",inputPrYr!D5-1," by the ",(inputPrYr!D2)," Board, ",(inputPrYr!D3),", Kansas.")</f>
        <v>Adopted this _________ day of ___________, 2012 by the Round Mound Township Board, Osborne County, Kansas.</v>
      </c>
      <c r="B30" s="850"/>
      <c r="C30" s="850"/>
      <c r="D30" s="850"/>
      <c r="E30" s="850"/>
      <c r="F30" s="850"/>
      <c r="G30" s="850"/>
    </row>
    <row r="31" spans="1:7" x14ac:dyDescent="0.25">
      <c r="A31" s="850"/>
      <c r="B31" s="850"/>
      <c r="C31" s="850"/>
      <c r="D31" s="850"/>
      <c r="E31" s="850"/>
      <c r="F31" s="850"/>
      <c r="G31" s="850"/>
    </row>
    <row r="32" spans="1:7" x14ac:dyDescent="0.25">
      <c r="A32" s="4"/>
    </row>
    <row r="33" spans="1:7" x14ac:dyDescent="0.25">
      <c r="D33" s="852" t="str">
        <f>CONCATENATE((inputPrYr!D2)," Board")</f>
        <v>Round Mound Township Board</v>
      </c>
      <c r="E33" s="852"/>
      <c r="F33" s="852"/>
      <c r="G33" s="852"/>
    </row>
    <row r="35" spans="1:7" x14ac:dyDescent="0.25">
      <c r="D35" s="848" t="s">
        <v>134</v>
      </c>
      <c r="E35" s="848"/>
      <c r="F35" s="848"/>
      <c r="G35" s="848"/>
    </row>
    <row r="36" spans="1:7" x14ac:dyDescent="0.25">
      <c r="A36" s="5"/>
      <c r="D36" s="848" t="s">
        <v>138</v>
      </c>
      <c r="E36" s="848"/>
      <c r="F36" s="848"/>
      <c r="G36" s="848"/>
    </row>
    <row r="37" spans="1:7" x14ac:dyDescent="0.25">
      <c r="D37" s="848"/>
      <c r="E37" s="848"/>
      <c r="F37" s="848"/>
      <c r="G37" s="848"/>
    </row>
    <row r="38" spans="1:7" x14ac:dyDescent="0.25">
      <c r="D38" s="848" t="s">
        <v>134</v>
      </c>
      <c r="E38" s="848"/>
      <c r="F38" s="848"/>
      <c r="G38" s="848"/>
    </row>
    <row r="39" spans="1:7" x14ac:dyDescent="0.25">
      <c r="A39" s="4"/>
      <c r="D39" s="848" t="s">
        <v>139</v>
      </c>
      <c r="E39" s="848"/>
      <c r="F39" s="848"/>
      <c r="G39" s="848"/>
    </row>
    <row r="40" spans="1:7" x14ac:dyDescent="0.25">
      <c r="D40" s="848"/>
      <c r="E40" s="848"/>
      <c r="F40" s="848"/>
      <c r="G40" s="848"/>
    </row>
    <row r="41" spans="1:7" x14ac:dyDescent="0.25">
      <c r="D41" s="848" t="s">
        <v>137</v>
      </c>
      <c r="E41" s="848"/>
      <c r="F41" s="848"/>
      <c r="G41" s="848"/>
    </row>
    <row r="42" spans="1:7" x14ac:dyDescent="0.25">
      <c r="A42" s="4"/>
      <c r="D42" s="848" t="s">
        <v>140</v>
      </c>
      <c r="E42" s="848"/>
      <c r="F42" s="848"/>
      <c r="G42" s="848"/>
    </row>
    <row r="43" spans="1:7" x14ac:dyDescent="0.25">
      <c r="A43" s="6"/>
    </row>
    <row r="44" spans="1:7" x14ac:dyDescent="0.25">
      <c r="A44" s="6"/>
    </row>
    <row r="45" spans="1:7" x14ac:dyDescent="0.25">
      <c r="A45" s="6" t="s">
        <v>135</v>
      </c>
    </row>
    <row r="50" spans="3:4" x14ac:dyDescent="0.25">
      <c r="C50" s="10" t="s">
        <v>9</v>
      </c>
      <c r="D50" s="11"/>
    </row>
  </sheetData>
  <mergeCells count="18">
    <mergeCell ref="A12:G13"/>
    <mergeCell ref="A14:G16"/>
    <mergeCell ref="A1:G1"/>
    <mergeCell ref="A3:G3"/>
    <mergeCell ref="A7:G8"/>
    <mergeCell ref="A18:G19"/>
    <mergeCell ref="A21:G22"/>
    <mergeCell ref="A26:G28"/>
    <mergeCell ref="D33:G33"/>
    <mergeCell ref="D36:G36"/>
    <mergeCell ref="D39:G39"/>
    <mergeCell ref="A30:G31"/>
    <mergeCell ref="D42:G42"/>
    <mergeCell ref="D37:G37"/>
    <mergeCell ref="D38:G38"/>
    <mergeCell ref="D40:G40"/>
    <mergeCell ref="D41:G41"/>
    <mergeCell ref="D35:G35"/>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69" t="s">
        <v>627</v>
      </c>
      <c r="C6" s="877"/>
      <c r="D6" s="877"/>
      <c r="E6" s="877"/>
      <c r="F6" s="877"/>
      <c r="G6" s="877"/>
      <c r="H6" s="877"/>
      <c r="I6" s="877"/>
      <c r="J6" s="877"/>
      <c r="K6" s="877"/>
      <c r="L6" s="409"/>
    </row>
    <row r="7" spans="1:12" ht="40.5" customHeight="1" x14ac:dyDescent="0.2">
      <c r="A7" s="406"/>
      <c r="B7" s="887" t="s">
        <v>628</v>
      </c>
      <c r="C7" s="888"/>
      <c r="D7" s="888"/>
      <c r="E7" s="888"/>
      <c r="F7" s="888"/>
      <c r="G7" s="888"/>
      <c r="H7" s="888"/>
      <c r="I7" s="888"/>
      <c r="J7" s="888"/>
      <c r="K7" s="888"/>
      <c r="L7" s="406"/>
    </row>
    <row r="8" spans="1:12" x14ac:dyDescent="0.2">
      <c r="A8" s="406"/>
      <c r="B8" s="879" t="s">
        <v>629</v>
      </c>
      <c r="C8" s="879"/>
      <c r="D8" s="879"/>
      <c r="E8" s="879"/>
      <c r="F8" s="879"/>
      <c r="G8" s="879"/>
      <c r="H8" s="879"/>
      <c r="I8" s="879"/>
      <c r="J8" s="879"/>
      <c r="K8" s="879"/>
      <c r="L8" s="406"/>
    </row>
    <row r="9" spans="1:12" x14ac:dyDescent="0.2">
      <c r="A9" s="406"/>
      <c r="L9" s="406"/>
    </row>
    <row r="10" spans="1:12" x14ac:dyDescent="0.2">
      <c r="A10" s="406"/>
      <c r="B10" s="879" t="s">
        <v>630</v>
      </c>
      <c r="C10" s="879"/>
      <c r="D10" s="879"/>
      <c r="E10" s="879"/>
      <c r="F10" s="879"/>
      <c r="G10" s="879"/>
      <c r="H10" s="879"/>
      <c r="I10" s="879"/>
      <c r="J10" s="879"/>
      <c r="K10" s="879"/>
      <c r="L10" s="406"/>
    </row>
    <row r="11" spans="1:12" x14ac:dyDescent="0.2">
      <c r="A11" s="406"/>
      <c r="B11" s="550"/>
      <c r="C11" s="550"/>
      <c r="D11" s="550"/>
      <c r="E11" s="550"/>
      <c r="F11" s="550"/>
      <c r="G11" s="550"/>
      <c r="H11" s="550"/>
      <c r="I11" s="550"/>
      <c r="J11" s="550"/>
      <c r="K11" s="550"/>
      <c r="L11" s="406"/>
    </row>
    <row r="12" spans="1:12" ht="32.25" customHeight="1" x14ac:dyDescent="0.2">
      <c r="A12" s="406"/>
      <c r="B12" s="870" t="s">
        <v>631</v>
      </c>
      <c r="C12" s="870"/>
      <c r="D12" s="870"/>
      <c r="E12" s="870"/>
      <c r="F12" s="870"/>
      <c r="G12" s="870"/>
      <c r="H12" s="870"/>
      <c r="I12" s="870"/>
      <c r="J12" s="870"/>
      <c r="K12" s="870"/>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3">
        <v>312000000</v>
      </c>
      <c r="G23" s="863"/>
      <c r="L23" s="406"/>
    </row>
    <row r="24" spans="1:12" x14ac:dyDescent="0.2">
      <c r="A24" s="406"/>
      <c r="L24" s="406"/>
    </row>
    <row r="25" spans="1:12" x14ac:dyDescent="0.2">
      <c r="A25" s="406"/>
      <c r="C25" s="886">
        <f>F23</f>
        <v>312000000</v>
      </c>
      <c r="D25" s="886"/>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8" t="s">
        <v>628</v>
      </c>
      <c r="C30" s="868"/>
      <c r="D30" s="868"/>
      <c r="E30" s="868"/>
      <c r="F30" s="868"/>
      <c r="G30" s="868"/>
      <c r="H30" s="868"/>
      <c r="I30" s="868"/>
      <c r="J30" s="868"/>
      <c r="K30" s="868"/>
      <c r="L30" s="406"/>
    </row>
    <row r="31" spans="1:12" x14ac:dyDescent="0.2">
      <c r="A31" s="406"/>
      <c r="B31" s="879" t="s">
        <v>640</v>
      </c>
      <c r="C31" s="879"/>
      <c r="D31" s="879"/>
      <c r="E31" s="879"/>
      <c r="F31" s="879"/>
      <c r="G31" s="879"/>
      <c r="H31" s="879"/>
      <c r="I31" s="879"/>
      <c r="J31" s="879"/>
      <c r="K31" s="879"/>
      <c r="L31" s="406"/>
    </row>
    <row r="32" spans="1:12" x14ac:dyDescent="0.2">
      <c r="A32" s="406"/>
      <c r="L32" s="406"/>
    </row>
    <row r="33" spans="1:12" x14ac:dyDescent="0.2">
      <c r="A33" s="406"/>
      <c r="B33" s="879" t="s">
        <v>641</v>
      </c>
      <c r="C33" s="879"/>
      <c r="D33" s="879"/>
      <c r="E33" s="879"/>
      <c r="F33" s="879"/>
      <c r="G33" s="879"/>
      <c r="H33" s="879"/>
      <c r="I33" s="879"/>
      <c r="J33" s="879"/>
      <c r="K33" s="879"/>
      <c r="L33" s="406"/>
    </row>
    <row r="34" spans="1:12" x14ac:dyDescent="0.2">
      <c r="A34" s="406"/>
      <c r="L34" s="406"/>
    </row>
    <row r="35" spans="1:12" ht="89.25" customHeight="1" x14ac:dyDescent="0.2">
      <c r="A35" s="406"/>
      <c r="B35" s="870" t="s">
        <v>642</v>
      </c>
      <c r="C35" s="873"/>
      <c r="D35" s="873"/>
      <c r="E35" s="873"/>
      <c r="F35" s="873"/>
      <c r="G35" s="873"/>
      <c r="H35" s="873"/>
      <c r="I35" s="873"/>
      <c r="J35" s="873"/>
      <c r="K35" s="873"/>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80">
        <v>312000000</v>
      </c>
      <c r="D41" s="880"/>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81">
        <v>312000000</v>
      </c>
      <c r="C48" s="863"/>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82" t="s">
        <v>650</v>
      </c>
      <c r="H50" s="883"/>
      <c r="I50" s="555" t="s">
        <v>636</v>
      </c>
      <c r="J50" s="426">
        <f>B50/F50</f>
        <v>0.16025641025641027</v>
      </c>
      <c r="K50" s="418"/>
      <c r="L50" s="406"/>
    </row>
    <row r="51" spans="1:24" ht="15" thickBot="1" x14ac:dyDescent="0.25">
      <c r="A51" s="406"/>
      <c r="B51" s="419"/>
      <c r="C51" s="420"/>
      <c r="D51" s="420"/>
      <c r="E51" s="420"/>
      <c r="F51" s="420"/>
      <c r="G51" s="420"/>
      <c r="H51" s="420"/>
      <c r="I51" s="884" t="s">
        <v>651</v>
      </c>
      <c r="J51" s="884"/>
      <c r="K51" s="885"/>
      <c r="L51" s="406"/>
      <c r="O51" s="427"/>
    </row>
    <row r="52" spans="1:24" ht="40.5" customHeight="1" x14ac:dyDescent="0.2">
      <c r="A52" s="406"/>
      <c r="B52" s="868" t="s">
        <v>628</v>
      </c>
      <c r="C52" s="868"/>
      <c r="D52" s="868"/>
      <c r="E52" s="868"/>
      <c r="F52" s="868"/>
      <c r="G52" s="868"/>
      <c r="H52" s="868"/>
      <c r="I52" s="868"/>
      <c r="J52" s="868"/>
      <c r="K52" s="868"/>
      <c r="L52" s="406"/>
    </row>
    <row r="53" spans="1:24" x14ac:dyDescent="0.2">
      <c r="A53" s="406"/>
      <c r="B53" s="879" t="s">
        <v>652</v>
      </c>
      <c r="C53" s="879"/>
      <c r="D53" s="879"/>
      <c r="E53" s="879"/>
      <c r="F53" s="879"/>
      <c r="G53" s="879"/>
      <c r="H53" s="879"/>
      <c r="I53" s="879"/>
      <c r="J53" s="879"/>
      <c r="K53" s="879"/>
      <c r="L53" s="406"/>
    </row>
    <row r="54" spans="1:24" x14ac:dyDescent="0.2">
      <c r="A54" s="406"/>
      <c r="B54" s="550"/>
      <c r="C54" s="550"/>
      <c r="D54" s="550"/>
      <c r="E54" s="550"/>
      <c r="F54" s="550"/>
      <c r="G54" s="550"/>
      <c r="H54" s="550"/>
      <c r="I54" s="550"/>
      <c r="J54" s="550"/>
      <c r="K54" s="550"/>
      <c r="L54" s="406"/>
    </row>
    <row r="55" spans="1:24" x14ac:dyDescent="0.2">
      <c r="A55" s="406"/>
      <c r="B55" s="869" t="s">
        <v>653</v>
      </c>
      <c r="C55" s="869"/>
      <c r="D55" s="869"/>
      <c r="E55" s="869"/>
      <c r="F55" s="869"/>
      <c r="G55" s="869"/>
      <c r="H55" s="869"/>
      <c r="I55" s="869"/>
      <c r="J55" s="869"/>
      <c r="K55" s="869"/>
      <c r="L55" s="406"/>
    </row>
    <row r="56" spans="1:24" ht="15" customHeight="1" x14ac:dyDescent="0.2">
      <c r="A56" s="406"/>
      <c r="L56" s="406"/>
    </row>
    <row r="57" spans="1:24" ht="74.25" customHeight="1" x14ac:dyDescent="0.2">
      <c r="A57" s="406"/>
      <c r="B57" s="870" t="s">
        <v>654</v>
      </c>
      <c r="C57" s="873"/>
      <c r="D57" s="873"/>
      <c r="E57" s="873"/>
      <c r="F57" s="873"/>
      <c r="G57" s="873"/>
      <c r="H57" s="873"/>
      <c r="I57" s="873"/>
      <c r="J57" s="873"/>
      <c r="K57" s="873"/>
      <c r="L57" s="406"/>
      <c r="M57" s="428"/>
      <c r="N57" s="429"/>
      <c r="O57" s="429"/>
      <c r="P57" s="429"/>
      <c r="Q57" s="429"/>
      <c r="R57" s="429"/>
      <c r="S57" s="429"/>
      <c r="T57" s="429"/>
      <c r="U57" s="429"/>
      <c r="V57" s="429"/>
      <c r="W57" s="429"/>
      <c r="X57" s="429"/>
    </row>
    <row r="58" spans="1:24" ht="15" customHeight="1" x14ac:dyDescent="0.2">
      <c r="A58" s="406"/>
      <c r="B58" s="870"/>
      <c r="C58" s="873"/>
      <c r="D58" s="873"/>
      <c r="E58" s="873"/>
      <c r="F58" s="873"/>
      <c r="G58" s="873"/>
      <c r="H58" s="873"/>
      <c r="I58" s="873"/>
      <c r="J58" s="873"/>
      <c r="K58" s="873"/>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3">
        <v>312000000</v>
      </c>
      <c r="D74" s="863"/>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3">
        <v>50000</v>
      </c>
      <c r="D77" s="863"/>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3">
        <v>100000</v>
      </c>
      <c r="D80" s="863"/>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8" t="s">
        <v>628</v>
      </c>
      <c r="C85" s="868"/>
      <c r="D85" s="868"/>
      <c r="E85" s="868"/>
      <c r="F85" s="868"/>
      <c r="G85" s="868"/>
      <c r="H85" s="868"/>
      <c r="I85" s="868"/>
      <c r="J85" s="868"/>
      <c r="K85" s="868"/>
      <c r="L85" s="406"/>
    </row>
    <row r="86" spans="1:12" x14ac:dyDescent="0.2">
      <c r="A86" s="406"/>
      <c r="B86" s="869" t="s">
        <v>670</v>
      </c>
      <c r="C86" s="869"/>
      <c r="D86" s="869"/>
      <c r="E86" s="869"/>
      <c r="F86" s="869"/>
      <c r="G86" s="869"/>
      <c r="H86" s="869"/>
      <c r="I86" s="869"/>
      <c r="J86" s="869"/>
      <c r="K86" s="869"/>
      <c r="L86" s="406"/>
    </row>
    <row r="87" spans="1:12" x14ac:dyDescent="0.2">
      <c r="A87" s="406"/>
      <c r="B87" s="440"/>
      <c r="C87" s="440"/>
      <c r="D87" s="440"/>
      <c r="E87" s="440"/>
      <c r="F87" s="440"/>
      <c r="G87" s="440"/>
      <c r="H87" s="440"/>
      <c r="I87" s="440"/>
      <c r="J87" s="440"/>
      <c r="K87" s="440"/>
      <c r="L87" s="406"/>
    </row>
    <row r="88" spans="1:12" x14ac:dyDescent="0.2">
      <c r="A88" s="406"/>
      <c r="B88" s="869" t="s">
        <v>671</v>
      </c>
      <c r="C88" s="869"/>
      <c r="D88" s="869"/>
      <c r="E88" s="869"/>
      <c r="F88" s="869"/>
      <c r="G88" s="869"/>
      <c r="H88" s="869"/>
      <c r="I88" s="869"/>
      <c r="J88" s="869"/>
      <c r="K88" s="869"/>
      <c r="L88" s="406"/>
    </row>
    <row r="89" spans="1:12" x14ac:dyDescent="0.2">
      <c r="A89" s="406"/>
      <c r="B89" s="549"/>
      <c r="C89" s="549"/>
      <c r="D89" s="549"/>
      <c r="E89" s="549"/>
      <c r="F89" s="549"/>
      <c r="G89" s="549"/>
      <c r="H89" s="549"/>
      <c r="I89" s="549"/>
      <c r="J89" s="549"/>
      <c r="K89" s="549"/>
      <c r="L89" s="406"/>
    </row>
    <row r="90" spans="1:12" ht="45" customHeight="1" x14ac:dyDescent="0.2">
      <c r="A90" s="406"/>
      <c r="B90" s="870" t="s">
        <v>672</v>
      </c>
      <c r="C90" s="870"/>
      <c r="D90" s="870"/>
      <c r="E90" s="870"/>
      <c r="F90" s="870"/>
      <c r="G90" s="870"/>
      <c r="H90" s="870"/>
      <c r="I90" s="870"/>
      <c r="J90" s="870"/>
      <c r="K90" s="870"/>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3">
        <v>312000000</v>
      </c>
      <c r="D94" s="863"/>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3">
        <v>50000</v>
      </c>
      <c r="D97" s="863"/>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3">
        <v>2500000</v>
      </c>
      <c r="D100" s="863"/>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8" t="s">
        <v>628</v>
      </c>
      <c r="C105" s="875"/>
      <c r="D105" s="875"/>
      <c r="E105" s="875"/>
      <c r="F105" s="875"/>
      <c r="G105" s="875"/>
      <c r="H105" s="875"/>
      <c r="I105" s="875"/>
      <c r="J105" s="875"/>
      <c r="K105" s="875"/>
      <c r="L105" s="406"/>
    </row>
    <row r="106" spans="1:12" ht="15" customHeight="1" x14ac:dyDescent="0.2">
      <c r="A106" s="406"/>
      <c r="B106" s="876" t="s">
        <v>674</v>
      </c>
      <c r="C106" s="877"/>
      <c r="D106" s="877"/>
      <c r="E106" s="877"/>
      <c r="F106" s="877"/>
      <c r="G106" s="877"/>
      <c r="H106" s="877"/>
      <c r="I106" s="877"/>
      <c r="J106" s="877"/>
      <c r="K106" s="877"/>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8"/>
      <c r="D108" s="878"/>
      <c r="E108" s="878"/>
      <c r="F108" s="878"/>
      <c r="G108" s="878"/>
      <c r="H108" s="878"/>
      <c r="I108" s="878"/>
      <c r="J108" s="878"/>
      <c r="K108" s="878"/>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2" t="s">
        <v>676</v>
      </c>
      <c r="C110" s="873"/>
      <c r="D110" s="873"/>
      <c r="E110" s="873"/>
      <c r="F110" s="873"/>
      <c r="G110" s="873"/>
      <c r="H110" s="873"/>
      <c r="I110" s="873"/>
      <c r="J110" s="873"/>
      <c r="K110" s="873"/>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3">
        <v>312000000</v>
      </c>
      <c r="D114" s="863"/>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3">
        <v>50000</v>
      </c>
      <c r="D117" s="863"/>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3">
        <v>2500000</v>
      </c>
      <c r="D120" s="863"/>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8" t="s">
        <v>628</v>
      </c>
      <c r="C125" s="868"/>
      <c r="D125" s="868"/>
      <c r="E125" s="868"/>
      <c r="F125" s="868"/>
      <c r="G125" s="868"/>
      <c r="H125" s="868"/>
      <c r="I125" s="868"/>
      <c r="J125" s="868"/>
      <c r="K125" s="868"/>
      <c r="L125" s="452"/>
    </row>
    <row r="126" spans="1:12" x14ac:dyDescent="0.2">
      <c r="A126" s="406"/>
      <c r="B126" s="869" t="s">
        <v>677</v>
      </c>
      <c r="C126" s="869"/>
      <c r="D126" s="869"/>
      <c r="E126" s="869"/>
      <c r="F126" s="869"/>
      <c r="G126" s="869"/>
      <c r="H126" s="869"/>
      <c r="I126" s="869"/>
      <c r="J126" s="869"/>
      <c r="K126" s="869"/>
      <c r="L126" s="452"/>
    </row>
    <row r="127" spans="1:12" x14ac:dyDescent="0.2">
      <c r="A127" s="406"/>
      <c r="B127" s="550"/>
      <c r="C127" s="550"/>
      <c r="D127" s="550"/>
      <c r="E127" s="550"/>
      <c r="F127" s="550"/>
      <c r="G127" s="550"/>
      <c r="H127" s="550"/>
      <c r="I127" s="550"/>
      <c r="J127" s="550"/>
      <c r="K127" s="550"/>
      <c r="L127" s="452"/>
    </row>
    <row r="128" spans="1:12" x14ac:dyDescent="0.2">
      <c r="A128" s="406"/>
      <c r="B128" s="869" t="s">
        <v>678</v>
      </c>
      <c r="C128" s="869"/>
      <c r="D128" s="869"/>
      <c r="E128" s="869"/>
      <c r="F128" s="869"/>
      <c r="G128" s="869"/>
      <c r="H128" s="869"/>
      <c r="I128" s="869"/>
      <c r="J128" s="869"/>
      <c r="K128" s="86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70" t="s">
        <v>679</v>
      </c>
      <c r="C130" s="870"/>
      <c r="D130" s="870"/>
      <c r="E130" s="870"/>
      <c r="F130" s="870"/>
      <c r="G130" s="870"/>
      <c r="H130" s="870"/>
      <c r="I130" s="870"/>
      <c r="J130" s="870"/>
      <c r="K130" s="870"/>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1" t="s">
        <v>680</v>
      </c>
      <c r="D133" s="871"/>
      <c r="E133" s="416"/>
      <c r="F133" s="555" t="s">
        <v>681</v>
      </c>
      <c r="G133" s="416"/>
      <c r="H133" s="871" t="s">
        <v>666</v>
      </c>
      <c r="I133" s="871"/>
      <c r="J133" s="416"/>
      <c r="K133" s="418"/>
      <c r="L133" s="406"/>
    </row>
    <row r="134" spans="1:12" x14ac:dyDescent="0.2">
      <c r="A134" s="406"/>
      <c r="B134" s="424" t="s">
        <v>659</v>
      </c>
      <c r="C134" s="863">
        <v>100000</v>
      </c>
      <c r="D134" s="863"/>
      <c r="E134" s="555" t="s">
        <v>290</v>
      </c>
      <c r="F134" s="555">
        <v>0.115</v>
      </c>
      <c r="G134" s="555" t="s">
        <v>636</v>
      </c>
      <c r="H134" s="858">
        <f>C134*F134</f>
        <v>11500</v>
      </c>
      <c r="I134" s="858"/>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64" t="s">
        <v>666</v>
      </c>
      <c r="D136" s="864"/>
      <c r="E136" s="434"/>
      <c r="F136" s="557" t="s">
        <v>682</v>
      </c>
      <c r="G136" s="557"/>
      <c r="H136" s="434"/>
      <c r="I136" s="434"/>
      <c r="J136" s="434" t="s">
        <v>683</v>
      </c>
      <c r="K136" s="435"/>
      <c r="L136" s="406"/>
    </row>
    <row r="137" spans="1:12" x14ac:dyDescent="0.2">
      <c r="A137" s="406"/>
      <c r="B137" s="424" t="s">
        <v>662</v>
      </c>
      <c r="C137" s="858">
        <f>H134</f>
        <v>11500</v>
      </c>
      <c r="D137" s="858"/>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65" t="s">
        <v>686</v>
      </c>
      <c r="C144" s="866"/>
      <c r="D144" s="866"/>
      <c r="E144" s="866"/>
      <c r="F144" s="866"/>
      <c r="G144" s="866"/>
      <c r="H144" s="866"/>
      <c r="I144" s="866"/>
      <c r="J144" s="866"/>
      <c r="K144" s="86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58" t="s">
        <v>687</v>
      </c>
      <c r="D147" s="858"/>
      <c r="E147" s="555"/>
      <c r="F147" s="470" t="s">
        <v>688</v>
      </c>
      <c r="G147" s="555"/>
      <c r="H147" s="555"/>
      <c r="I147" s="555"/>
      <c r="J147" s="859" t="s">
        <v>689</v>
      </c>
      <c r="K147" s="860"/>
      <c r="L147" s="406"/>
    </row>
    <row r="148" spans="1:12" x14ac:dyDescent="0.2">
      <c r="A148" s="406"/>
      <c r="B148" s="424"/>
      <c r="C148" s="861">
        <v>52.869</v>
      </c>
      <c r="D148" s="861"/>
      <c r="E148" s="555" t="s">
        <v>290</v>
      </c>
      <c r="F148" s="551">
        <v>312000000</v>
      </c>
      <c r="G148" s="475" t="s">
        <v>637</v>
      </c>
      <c r="H148" s="555">
        <v>1000</v>
      </c>
      <c r="I148" s="555" t="s">
        <v>636</v>
      </c>
      <c r="J148" s="859">
        <f>C148*(F148/1000)</f>
        <v>16495128</v>
      </c>
      <c r="K148" s="862"/>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B6:K6"/>
    <mergeCell ref="B7:K7"/>
    <mergeCell ref="B8:K8"/>
    <mergeCell ref="B10:K10"/>
    <mergeCell ref="B12:K12"/>
    <mergeCell ref="F23:G23"/>
    <mergeCell ref="C25:D25"/>
    <mergeCell ref="B30:K30"/>
    <mergeCell ref="B31:K31"/>
    <mergeCell ref="B33:K33"/>
    <mergeCell ref="B35:K35"/>
    <mergeCell ref="C41:D41"/>
    <mergeCell ref="B48:C48"/>
    <mergeCell ref="G50:H50"/>
    <mergeCell ref="I51:K51"/>
    <mergeCell ref="B52:K52"/>
    <mergeCell ref="B53:K53"/>
    <mergeCell ref="B55:K55"/>
    <mergeCell ref="B57:K57"/>
    <mergeCell ref="B58:K58"/>
    <mergeCell ref="C74:D74"/>
    <mergeCell ref="C77:D77"/>
    <mergeCell ref="C80:D80"/>
    <mergeCell ref="C83:D83"/>
    <mergeCell ref="B85:K85"/>
    <mergeCell ref="B86:K86"/>
    <mergeCell ref="B88:K88"/>
    <mergeCell ref="B90:K90"/>
    <mergeCell ref="C94:D94"/>
    <mergeCell ref="C97:D97"/>
    <mergeCell ref="C100:D100"/>
    <mergeCell ref="C103:D103"/>
    <mergeCell ref="B105:K105"/>
    <mergeCell ref="B106:K106"/>
    <mergeCell ref="B108:K108"/>
    <mergeCell ref="B110:K110"/>
    <mergeCell ref="C114:D114"/>
    <mergeCell ref="C117:D117"/>
    <mergeCell ref="C120:D120"/>
    <mergeCell ref="C123:D123"/>
    <mergeCell ref="B125:K125"/>
    <mergeCell ref="B126:K126"/>
    <mergeCell ref="B128:K128"/>
    <mergeCell ref="B130:K130"/>
    <mergeCell ref="C133:D133"/>
    <mergeCell ref="H133:I133"/>
    <mergeCell ref="C147:D147"/>
    <mergeCell ref="J147:K147"/>
    <mergeCell ref="C148:D148"/>
    <mergeCell ref="J148:K148"/>
    <mergeCell ref="C134:D134"/>
    <mergeCell ref="H134:I134"/>
    <mergeCell ref="C136:D136"/>
    <mergeCell ref="C137:D137"/>
    <mergeCell ref="B144:K1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9"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Round Mound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3991890</v>
      </c>
    </row>
    <row r="8" spans="1:5" x14ac:dyDescent="0.25">
      <c r="A8" s="22" t="str">
        <f>CONCATENATE("New Improvements for ",E1-1,"")</f>
        <v>New Improvements for 2012</v>
      </c>
      <c r="B8" s="19"/>
      <c r="C8" s="19"/>
      <c r="D8" s="19"/>
      <c r="E8" s="283">
        <v>5728</v>
      </c>
    </row>
    <row r="9" spans="1:5" x14ac:dyDescent="0.25">
      <c r="A9" s="22" t="str">
        <f>CONCATENATE("Personal Property excluding oil, gas, and mobile homes - ",E1-1,"")</f>
        <v>Personal Property excluding oil, gas, and mobile homes - 2012</v>
      </c>
      <c r="B9" s="19"/>
      <c r="C9" s="19"/>
      <c r="D9" s="19"/>
      <c r="E9" s="283">
        <v>116371</v>
      </c>
    </row>
    <row r="10" spans="1:5" x14ac:dyDescent="0.25">
      <c r="A10" s="22" t="str">
        <f>CONCATENATE("Property that has changed in use for ",E1-1,"")</f>
        <v>Property that has changed in use for 2012</v>
      </c>
      <c r="B10" s="19"/>
      <c r="C10" s="19"/>
      <c r="D10" s="19"/>
      <c r="E10" s="283">
        <v>3879</v>
      </c>
    </row>
    <row r="11" spans="1:5" x14ac:dyDescent="0.25">
      <c r="A11" s="22" t="str">
        <f>CONCATENATE("Personal Property excluding oil, gas, and mobile homes- ",E1-2,"")</f>
        <v>Personal Property excluding oil, gas, and mobile homes- 2011</v>
      </c>
      <c r="B11" s="19"/>
      <c r="C11" s="19"/>
      <c r="D11" s="19"/>
      <c r="E11" s="283">
        <v>11748</v>
      </c>
    </row>
    <row r="12" spans="1:5" x14ac:dyDescent="0.25">
      <c r="A12" s="22" t="str">
        <f>CONCATENATE("Gross earnings (intangible) tax estimate for ",E1,"")</f>
        <v>Gross earnings (intangible) tax estimate for 2013</v>
      </c>
      <c r="B12" s="19"/>
      <c r="C12" s="19"/>
      <c r="D12" s="19"/>
      <c r="E12" s="283">
        <v>492</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0</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10.007</v>
      </c>
      <c r="E20" s="286"/>
    </row>
    <row r="21" spans="1:5" x14ac:dyDescent="0.25">
      <c r="A21" s="71" t="str">
        <f>inputPrYr!B20</f>
        <v>Cemetery</v>
      </c>
      <c r="B21" s="267"/>
      <c r="C21" s="19"/>
      <c r="D21" s="289">
        <v>0.23</v>
      </c>
      <c r="E21" s="286"/>
    </row>
    <row r="22" spans="1:5" x14ac:dyDescent="0.25">
      <c r="A22" s="71" t="str">
        <f>inputPrYr!B21</f>
        <v>Weed</v>
      </c>
      <c r="B22" s="267"/>
      <c r="C22" s="19"/>
      <c r="D22" s="289">
        <v>0.31900000000000001</v>
      </c>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10.556000000000001</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4359113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721</v>
      </c>
    </row>
    <row r="33" spans="1:5" x14ac:dyDescent="0.25">
      <c r="A33" s="296" t="s">
        <v>277</v>
      </c>
      <c r="B33" s="267"/>
      <c r="C33" s="267"/>
      <c r="D33" s="31"/>
      <c r="E33" s="34">
        <v>0</v>
      </c>
    </row>
    <row r="34" spans="1:5" x14ac:dyDescent="0.25">
      <c r="A34" s="296" t="s">
        <v>160</v>
      </c>
      <c r="B34" s="267"/>
      <c r="C34" s="267"/>
      <c r="D34" s="31"/>
      <c r="E34" s="34">
        <v>95</v>
      </c>
    </row>
    <row r="35" spans="1:5" x14ac:dyDescent="0.25">
      <c r="A35" s="296" t="s">
        <v>161</v>
      </c>
      <c r="B35" s="267"/>
      <c r="C35" s="267"/>
      <c r="D35" s="31"/>
      <c r="E35" s="34"/>
    </row>
    <row r="36" spans="1:5" x14ac:dyDescent="0.25">
      <c r="A36" s="296" t="s">
        <v>100</v>
      </c>
      <c r="B36" s="20"/>
      <c r="C36" s="20"/>
      <c r="D36" s="295"/>
      <c r="E36" s="34">
        <v>1000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3125</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49000</v>
      </c>
      <c r="C49" s="140"/>
      <c r="D49" s="140"/>
      <c r="E49" s="140"/>
    </row>
    <row r="50" spans="1:5" x14ac:dyDescent="0.25">
      <c r="A50" s="304" t="str">
        <f>inputPrYr!B20</f>
        <v>Cemetery</v>
      </c>
      <c r="B50" s="36">
        <v>2343</v>
      </c>
      <c r="C50" s="140"/>
      <c r="D50" s="140"/>
      <c r="E50" s="140"/>
    </row>
    <row r="51" spans="1:5" x14ac:dyDescent="0.25">
      <c r="A51" s="304" t="str">
        <f>inputPrYr!B21</f>
        <v>Weed</v>
      </c>
      <c r="B51" s="36">
        <v>2343</v>
      </c>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946</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20, 2012</v>
      </c>
      <c r="E9" s="356"/>
      <c r="F9" s="356"/>
      <c r="J9" s="721" t="s">
        <v>849</v>
      </c>
    </row>
    <row r="10" spans="1:10" x14ac:dyDescent="0.25">
      <c r="A10" s="357" t="s">
        <v>374</v>
      </c>
      <c r="B10" s="359" t="s">
        <v>947</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948</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949</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41110</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20</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9"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Round Mound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2250</v>
      </c>
      <c r="F21" s="732">
        <f>IF(gen!$E$57&lt;&gt;0,gen!$E$57,0)</f>
        <v>0</v>
      </c>
      <c r="G21" s="733" t="str">
        <f>IF(AND(gen!E57=0,$C$40&gt;=0)," ",IF(AND(F21&gt;0,$C$40=0)," ",IF(AND(F21&gt;0,$C$40&gt;0),ROUND(F21/$C$40*1000,3))))</f>
        <v xml:space="preserve"> </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53562</v>
      </c>
      <c r="F24" s="732">
        <f>IF(road!$E$50&lt;&gt;0,road!$E$50,"  ")</f>
        <v>44091</v>
      </c>
      <c r="G24" s="733">
        <f>IF(AND(road!E50=0,$C$40&gt;=0)," ",IF(AND(F24&gt;0,$C$40=0)," ",IF(AND(F24&gt;0,$C$40&gt;0),ROUND(F24/$C$40*1000,3))))</f>
        <v>11.84</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3000</v>
      </c>
      <c r="F25" s="732">
        <f>IF(levypage9!$E$40&lt;&gt;0,levypage9!$E$40,"  ")</f>
        <v>1422</v>
      </c>
      <c r="G25" s="733">
        <f>IF(AND(levypage9!E40=0,$C$40&gt;=0)," ",IF(AND(F25&gt;0,$C$40=0)," ",IF(AND(F25&gt;0,$C$40&gt;0),ROUND(F25/$C$40*1000,3))))</f>
        <v>0.38200000000000001</v>
      </c>
    </row>
    <row r="26" spans="2:7" s="14" customFormat="1" x14ac:dyDescent="0.25">
      <c r="B26" s="85" t="str">
        <f>IF(inputPrYr!$B21&gt;"  ",inputPrYr!$B21,"  ")</f>
        <v>Weed</v>
      </c>
      <c r="C26" s="260" t="str">
        <f>IF(inputPrYr!C21&gt;0,inputPrYr!C21,"  ")</f>
        <v xml:space="preserve">  </v>
      </c>
      <c r="D26" s="261" t="str">
        <f>IF(levypage9!C81&gt;0,levypage9!C81,"  ")</f>
        <v xml:space="preserve">  </v>
      </c>
      <c r="E26" s="732">
        <f>IF(levypage9!$E$73&lt;&gt;0,levypage9!$E$73,"  ")</f>
        <v>2800</v>
      </c>
      <c r="F26" s="732">
        <f>IF(levypage9!$E$80&lt;&gt;0,levypage9!$E$80,"  ")</f>
        <v>1849</v>
      </c>
      <c r="G26" s="733">
        <f>IF(AND(levypage9!E80=0,$C$40&gt;=0)," ",IF(AND(F26&gt;0,$C$40=0)," ",IF(AND(F26&gt;0,$C$40&gt;0),ROUND(F26/$C$40*1000,3))))</f>
        <v>0.497</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61612</v>
      </c>
      <c r="F35" s="734">
        <f>SUM(F21:F30)</f>
        <v>47362</v>
      </c>
      <c r="G35" s="735">
        <f>IF(SUM(G21:G30)&gt;0,SUM(G21:G30),"")</f>
        <v>12.718999999999999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3723835</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950</v>
      </c>
      <c r="C43" s="275"/>
      <c r="E43" s="736" t="s">
        <v>853</v>
      </c>
      <c r="F43" s="736"/>
      <c r="G43" s="736"/>
    </row>
    <row r="44" spans="2:8" s="14" customFormat="1" x14ac:dyDescent="0.25">
      <c r="B44" s="276" t="s">
        <v>951</v>
      </c>
      <c r="C44" s="276"/>
      <c r="E44" s="737"/>
      <c r="F44" s="737"/>
      <c r="G44" s="737"/>
    </row>
    <row r="45" spans="2:8" s="14" customFormat="1" x14ac:dyDescent="0.25">
      <c r="B45" s="274" t="s">
        <v>145</v>
      </c>
      <c r="E45" s="736" t="s">
        <v>853</v>
      </c>
      <c r="F45" s="736"/>
      <c r="G45" s="736"/>
    </row>
    <row r="46" spans="2:8" s="14" customFormat="1" x14ac:dyDescent="0.25">
      <c r="B46" s="275" t="s">
        <v>952</v>
      </c>
      <c r="C46" s="275"/>
      <c r="D46" s="22"/>
      <c r="E46" s="736"/>
      <c r="F46" s="736"/>
      <c r="G46" s="736"/>
    </row>
    <row r="47" spans="2:8" s="14" customFormat="1" x14ac:dyDescent="0.25">
      <c r="B47" s="276" t="s">
        <v>953</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Round Mound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46007</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46007</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5728</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116371</v>
      </c>
      <c r="F14" s="246"/>
      <c r="G14" s="55"/>
      <c r="H14" s="55"/>
      <c r="I14" s="53"/>
      <c r="J14" s="55"/>
    </row>
    <row r="15" spans="1:10" x14ac:dyDescent="0.25">
      <c r="A15" s="245"/>
      <c r="B15" s="14" t="s">
        <v>87</v>
      </c>
      <c r="C15" s="14" t="str">
        <f>CONCATENATE("Personal Property ",J1-2,"")</f>
        <v>Personal Property 2011</v>
      </c>
      <c r="D15" s="245" t="s">
        <v>82</v>
      </c>
      <c r="E15" s="249">
        <f>inputOth!E11</f>
        <v>11748</v>
      </c>
      <c r="F15" s="246"/>
      <c r="G15" s="53"/>
      <c r="H15" s="53"/>
      <c r="I15" s="55"/>
      <c r="J15" s="55"/>
    </row>
    <row r="16" spans="1:10" x14ac:dyDescent="0.25">
      <c r="A16" s="245"/>
      <c r="B16" s="14" t="s">
        <v>88</v>
      </c>
      <c r="C16" s="14" t="s">
        <v>108</v>
      </c>
      <c r="D16" s="14"/>
      <c r="E16" s="55"/>
      <c r="F16" s="55" t="s">
        <v>15</v>
      </c>
      <c r="G16" s="247">
        <f>IF(E14&gt;E15,E14-E15,0)</f>
        <v>104623</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3879</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114230</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3991890</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3877660</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2.9458487850920402E-2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1355</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47362</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47362</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Round Mound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t="str">
        <f>IF(inputPrYr!E16&gt;0,inputPrYr!E16,"  ")</f>
        <v xml:space="preserve">  </v>
      </c>
      <c r="E11" s="131" t="str">
        <f>IF(inputOth!D17&gt;0,inputOth!D17,"  ")</f>
        <v xml:space="preserve">  </v>
      </c>
      <c r="F11" s="727"/>
      <c r="G11" s="161">
        <f>IF(inputPrYr!E16=0,0,G23-SUM(G12:G20))</f>
        <v>0</v>
      </c>
      <c r="H11" s="728"/>
      <c r="I11" s="161">
        <f>IF(inputPrYr!E16=0,0,I25-SUM(I12:I20))</f>
        <v>0</v>
      </c>
      <c r="J11" s="161">
        <f>IF(inputPrYr!E16=0,0,J27-SUM(J12:J20))</f>
        <v>0</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43618</v>
      </c>
      <c r="E14" s="131">
        <f>IF(inputOth!D20&gt;0,inputOth!D20,"  ")</f>
        <v>10.007</v>
      </c>
      <c r="F14" s="727"/>
      <c r="G14" s="161">
        <f>IF(inputPrYr!E19=0,0,ROUND(D14*$G$30,0))</f>
        <v>684</v>
      </c>
      <c r="H14" s="728"/>
      <c r="I14" s="161">
        <f>IF(inputPrYr!$E$19=0,0,ROUND($D$14*$I$32,0))</f>
        <v>0</v>
      </c>
      <c r="J14" s="161">
        <f>IF(inputPrYr!E19=0,0,ROUND($D14*$J$34,0))</f>
        <v>90</v>
      </c>
      <c r="K14" s="90"/>
      <c r="L14" s="90"/>
      <c r="M14" s="559"/>
    </row>
    <row r="15" spans="2:13" x14ac:dyDescent="0.25">
      <c r="B15" s="85" t="str">
        <f>IF(inputPrYr!$B20&gt;"  ",inputPrYr!$B20,"  ")</f>
        <v>Cemetery</v>
      </c>
      <c r="C15" s="234"/>
      <c r="D15" s="161">
        <f>IF(inputPrYr!E20&gt;=0,inputPrYr!E20,"  ")</f>
        <v>1000</v>
      </c>
      <c r="E15" s="131">
        <f>IF(inputOth!D21&gt;0,inputOth!D21,"  ")</f>
        <v>0.23</v>
      </c>
      <c r="F15" s="727"/>
      <c r="G15" s="161">
        <f>IF(inputPrYr!E20=0,0,ROUND(D15*$G$30,0))</f>
        <v>16</v>
      </c>
      <c r="H15" s="728"/>
      <c r="I15" s="161">
        <f>IF(inputPrYr!$E$20=0,0,ROUND($D$15*$I$32,0))</f>
        <v>0</v>
      </c>
      <c r="J15" s="161">
        <f>IF(inputPrYr!E20=0,0,ROUND($D15*$J$34,0))</f>
        <v>2</v>
      </c>
      <c r="K15" s="90"/>
      <c r="L15" s="90"/>
      <c r="M15" s="559"/>
    </row>
    <row r="16" spans="2:13" x14ac:dyDescent="0.25">
      <c r="B16" s="85" t="str">
        <f>IF(inputPrYr!$B21&gt;"  ",inputPrYr!$B21,"  ")</f>
        <v>Weed</v>
      </c>
      <c r="C16" s="234"/>
      <c r="D16" s="161">
        <f>IF(inputPrYr!E21&gt;=0,inputPrYr!E21,"  ")</f>
        <v>1389</v>
      </c>
      <c r="E16" s="131">
        <f>IF(inputOth!D22&gt;0,inputOth!D22,"  ")</f>
        <v>0.31900000000000001</v>
      </c>
      <c r="F16" s="727"/>
      <c r="G16" s="161">
        <f>IF(inputPrYr!E21=0,0,ROUND(D16*$G$30,0))</f>
        <v>22</v>
      </c>
      <c r="H16" s="728"/>
      <c r="I16" s="161">
        <f>IF(inputPrYr!$E$21=0,0,ROUND($D$16*$I$32,0))</f>
        <v>0</v>
      </c>
      <c r="J16" s="161">
        <f>IF(inputPrYr!E21=0,0,ROUND($D16*$J$34,0))</f>
        <v>3</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46007</v>
      </c>
      <c r="E21" s="730">
        <f>SUM(E11:E20)</f>
        <v>10.556000000000001</v>
      </c>
      <c r="F21" s="731"/>
      <c r="G21" s="729">
        <f>SUM(G11:G20)</f>
        <v>722</v>
      </c>
      <c r="H21" s="729"/>
      <c r="I21" s="729">
        <f>SUM(I11:I20)</f>
        <v>0</v>
      </c>
      <c r="J21" s="729">
        <f>SUM(J11:J20)</f>
        <v>95</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721</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0</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95</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1.5671528245701741E-2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0</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2.0649031669093833E-3</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Round Mound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2012-07-06T23:48:47Z</cp:lastPrinted>
  <dcterms:created xsi:type="dcterms:W3CDTF">1998-08-26T16:30:41Z</dcterms:created>
  <dcterms:modified xsi:type="dcterms:W3CDTF">2012-12-05T19:05:01Z</dcterms:modified>
</cp:coreProperties>
</file>