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9630" windowHeight="5160" tabRatio="850" firstSheet="1" activeTab="5"/>
  </bookViews>
  <sheets>
    <sheet name="instructions" sheetId="1" r:id="rId1"/>
    <sheet name="inputPrYr" sheetId="2" r:id="rId2"/>
    <sheet name="inputOth" sheetId="20" r:id="rId3"/>
    <sheet name="inputBudSum" sheetId="31" r:id="rId4"/>
    <sheet name="summ" sheetId="12" r:id="rId5"/>
    <sheet name="cert" sheetId="3" r:id="rId6"/>
    <sheet name="computation" sheetId="14" r:id="rId7"/>
    <sheet name="gen" sheetId="6" r:id="rId8"/>
    <sheet name="road" sheetId="7" r:id="rId9"/>
    <sheet name="levypage9" sheetId="8" r:id="rId10"/>
    <sheet name="levypage10" sheetId="9" r:id="rId11"/>
    <sheet name="levypage11" sheetId="10" r:id="rId12"/>
    <sheet name="levypage12" sheetId="11" r:id="rId13"/>
    <sheet name="nolevypage13" sheetId="17" r:id="rId14"/>
    <sheet name="nolevypage14" sheetId="18" r:id="rId15"/>
    <sheet name="mvalloc" sheetId="4" r:id="rId16"/>
    <sheet name="transfer" sheetId="21" r:id="rId17"/>
    <sheet name="TransferStatutes" sheetId="23" r:id="rId18"/>
    <sheet name="debt" sheetId="13" r:id="rId19"/>
    <sheet name="DebtService" sheetId="19" r:id="rId20"/>
    <sheet name="nonbud" sheetId="24" r:id="rId21"/>
    <sheet name="NonBudFunds" sheetId="30" r:id="rId22"/>
    <sheet name="nhood" sheetId="22" r:id="rId23"/>
    <sheet name="Resolution" sheetId="16" r:id="rId24"/>
    <sheet name="Tab A" sheetId="25" r:id="rId25"/>
    <sheet name="Tab B" sheetId="26" r:id="rId26"/>
    <sheet name="Tab C" sheetId="27" r:id="rId27"/>
    <sheet name="Tab D" sheetId="28" r:id="rId28"/>
    <sheet name="Tab E" sheetId="29" r:id="rId29"/>
    <sheet name="legend" sheetId="15" r:id="rId30"/>
  </sheets>
  <definedNames>
    <definedName name="_xlnm.Print_Area" localSheetId="7">gen!$A$1:$G$60</definedName>
    <definedName name="_xlnm.Print_Area" localSheetId="1">inputPrYr!$A$1:$E$89</definedName>
    <definedName name="_xlnm.Print_Area" localSheetId="8">road!$A$1:$H$67</definedName>
  </definedNames>
  <calcPr calcId="114210"/>
</workbook>
</file>

<file path=xl/calcChain.xml><?xml version="1.0" encoding="utf-8"?>
<calcChain xmlns="http://schemas.openxmlformats.org/spreadsheetml/2006/main">
  <c r="A8" i="29"/>
  <c r="A46" i="28"/>
  <c r="A41"/>
  <c r="A6"/>
  <c r="A38" i="27"/>
  <c r="A33"/>
  <c r="A19"/>
  <c r="A6"/>
  <c r="A34" i="26"/>
  <c r="A33"/>
  <c r="A6"/>
  <c r="A77" i="25"/>
  <c r="A74"/>
  <c r="A33"/>
  <c r="A28"/>
  <c r="A25"/>
  <c r="A16"/>
  <c r="A6"/>
  <c r="A6" i="12"/>
  <c r="A8"/>
  <c r="D20" i="22"/>
  <c r="A32" i="12"/>
  <c r="A35" i="3"/>
  <c r="C35"/>
  <c r="I5" i="24"/>
  <c r="G5"/>
  <c r="E5"/>
  <c r="C5"/>
  <c r="A5"/>
  <c r="K1"/>
  <c r="A1"/>
  <c r="J28"/>
  <c r="H28"/>
  <c r="F28"/>
  <c r="D28"/>
  <c r="B28"/>
  <c r="J17"/>
  <c r="J18"/>
  <c r="H17"/>
  <c r="H18"/>
  <c r="F17"/>
  <c r="F18"/>
  <c r="D17"/>
  <c r="D18"/>
  <c r="B17"/>
  <c r="B18"/>
  <c r="K7"/>
  <c r="F2"/>
  <c r="K21" i="4"/>
  <c r="K20"/>
  <c r="K19"/>
  <c r="K18"/>
  <c r="K17"/>
  <c r="K16"/>
  <c r="K15"/>
  <c r="K13"/>
  <c r="K12"/>
  <c r="K30"/>
  <c r="K14"/>
  <c r="K11"/>
  <c r="J21"/>
  <c r="J20"/>
  <c r="J19"/>
  <c r="J18"/>
  <c r="J17"/>
  <c r="J16"/>
  <c r="J15"/>
  <c r="J13"/>
  <c r="J12"/>
  <c r="I21"/>
  <c r="I20"/>
  <c r="I19"/>
  <c r="I18"/>
  <c r="I17"/>
  <c r="I16"/>
  <c r="I15"/>
  <c r="I13"/>
  <c r="I12"/>
  <c r="G21"/>
  <c r="G20"/>
  <c r="G19"/>
  <c r="G18"/>
  <c r="G17"/>
  <c r="G16"/>
  <c r="G15"/>
  <c r="G13"/>
  <c r="G12"/>
  <c r="E14" i="2"/>
  <c r="D14"/>
  <c r="D13" i="4"/>
  <c r="D21"/>
  <c r="D20"/>
  <c r="D19"/>
  <c r="D18"/>
  <c r="D17"/>
  <c r="D16"/>
  <c r="D15"/>
  <c r="D14"/>
  <c r="J14"/>
  <c r="D12"/>
  <c r="E12" i="21"/>
  <c r="D12"/>
  <c r="C12"/>
  <c r="F12"/>
  <c r="B33" i="12"/>
  <c r="D11" i="4"/>
  <c r="J6" i="14"/>
  <c r="B58" i="7"/>
  <c r="B57"/>
  <c r="A27" i="2"/>
  <c r="E8" i="22"/>
  <c r="G40" i="7"/>
  <c r="G43"/>
  <c r="E43"/>
  <c r="C43"/>
  <c r="E8"/>
  <c r="E23"/>
  <c r="G14"/>
  <c r="E6" i="22"/>
  <c r="C26" i="6"/>
  <c r="C27"/>
  <c r="C46"/>
  <c r="C50"/>
  <c r="C44"/>
  <c r="E8"/>
  <c r="E26"/>
  <c r="G13"/>
  <c r="G16"/>
  <c r="F55"/>
  <c r="G55"/>
  <c r="E27" i="2"/>
  <c r="E8" i="11"/>
  <c r="E20"/>
  <c r="C20"/>
  <c r="C21"/>
  <c r="C31"/>
  <c r="E31"/>
  <c r="G10" i="7"/>
  <c r="G24" i="4"/>
  <c r="G10" i="11"/>
  <c r="I26" i="4"/>
  <c r="G11" i="11"/>
  <c r="J28" i="4"/>
  <c r="G12" i="11"/>
  <c r="G13"/>
  <c r="E15" i="22"/>
  <c r="G28" i="11"/>
  <c r="G31"/>
  <c r="F36"/>
  <c r="G36"/>
  <c r="B33"/>
  <c r="B34"/>
  <c r="E43"/>
  <c r="E55"/>
  <c r="C55"/>
  <c r="C56"/>
  <c r="C66"/>
  <c r="E66"/>
  <c r="G45"/>
  <c r="G46"/>
  <c r="G47"/>
  <c r="G48"/>
  <c r="E16" i="22"/>
  <c r="G63" i="11"/>
  <c r="G66"/>
  <c r="F71"/>
  <c r="G71"/>
  <c r="B68"/>
  <c r="B69"/>
  <c r="E8" i="10"/>
  <c r="E20"/>
  <c r="C20"/>
  <c r="C21"/>
  <c r="C31"/>
  <c r="E31"/>
  <c r="G10"/>
  <c r="G11"/>
  <c r="G12"/>
  <c r="G13"/>
  <c r="E13" i="22"/>
  <c r="G28" i="10"/>
  <c r="G31"/>
  <c r="F36"/>
  <c r="G36"/>
  <c r="B33"/>
  <c r="B34"/>
  <c r="E43"/>
  <c r="E55"/>
  <c r="C55"/>
  <c r="C56"/>
  <c r="C67"/>
  <c r="B70"/>
  <c r="C66"/>
  <c r="E66"/>
  <c r="G45"/>
  <c r="G46"/>
  <c r="G47"/>
  <c r="G48"/>
  <c r="E14" i="22"/>
  <c r="G63" i="10"/>
  <c r="G66"/>
  <c r="F71"/>
  <c r="G71"/>
  <c r="B68"/>
  <c r="B69"/>
  <c r="E8" i="9"/>
  <c r="E20"/>
  <c r="C20"/>
  <c r="C21"/>
  <c r="C31"/>
  <c r="E31"/>
  <c r="E11" i="22"/>
  <c r="G28" i="9"/>
  <c r="G31"/>
  <c r="F36"/>
  <c r="G36"/>
  <c r="B33"/>
  <c r="B34"/>
  <c r="C66"/>
  <c r="B68"/>
  <c r="B69"/>
  <c r="C55"/>
  <c r="E43"/>
  <c r="E55"/>
  <c r="E66"/>
  <c r="G45"/>
  <c r="G46"/>
  <c r="G47"/>
  <c r="G48"/>
  <c r="E12" i="22"/>
  <c r="G63" i="9"/>
  <c r="G66"/>
  <c r="F71"/>
  <c r="G71"/>
  <c r="E43" i="8"/>
  <c r="E55"/>
  <c r="E10" i="22"/>
  <c r="G63" i="8"/>
  <c r="G66"/>
  <c r="F71"/>
  <c r="G71"/>
  <c r="C20"/>
  <c r="C21"/>
  <c r="C31"/>
  <c r="E8"/>
  <c r="E20"/>
  <c r="E31"/>
  <c r="E9" i="22"/>
  <c r="G28" i="8"/>
  <c r="G31"/>
  <c r="F36"/>
  <c r="G36"/>
  <c r="B33"/>
  <c r="B34"/>
  <c r="F48" i="7"/>
  <c r="E9" i="19"/>
  <c r="E29"/>
  <c r="C29"/>
  <c r="C53"/>
  <c r="B55"/>
  <c r="B56"/>
  <c r="E7" i="22"/>
  <c r="G50" i="19"/>
  <c r="G53"/>
  <c r="F58"/>
  <c r="G58"/>
  <c r="C66" i="8"/>
  <c r="C55"/>
  <c r="B68"/>
  <c r="B69"/>
  <c r="B45" i="7"/>
  <c r="B46"/>
  <c r="H46" i="6"/>
  <c r="E11" i="21"/>
  <c r="D11"/>
  <c r="E13"/>
  <c r="D13"/>
  <c r="C13"/>
  <c r="F13"/>
  <c r="C11"/>
  <c r="F11"/>
  <c r="C23" i="7"/>
  <c r="C24"/>
  <c r="C68" i="11"/>
  <c r="C69"/>
  <c r="C33"/>
  <c r="C34"/>
  <c r="C68" i="10"/>
  <c r="C69"/>
  <c r="C33"/>
  <c r="C34"/>
  <c r="C68" i="9"/>
  <c r="C69"/>
  <c r="C33"/>
  <c r="C34"/>
  <c r="C68" i="8"/>
  <c r="E66"/>
  <c r="C69"/>
  <c r="C33"/>
  <c r="C34"/>
  <c r="C45" i="7"/>
  <c r="C46"/>
  <c r="C55" i="19"/>
  <c r="E53"/>
  <c r="C56"/>
  <c r="G1" i="11"/>
  <c r="C37"/>
  <c r="G1" i="10"/>
  <c r="A33"/>
  <c r="G1" i="9"/>
  <c r="C37"/>
  <c r="G1" i="8"/>
  <c r="C72"/>
  <c r="G1" i="7"/>
  <c r="C49"/>
  <c r="G1" i="19"/>
  <c r="C59"/>
  <c r="G1" i="6"/>
  <c r="C56"/>
  <c r="B56" i="7"/>
  <c r="C52" i="6"/>
  <c r="B52"/>
  <c r="D61" i="18"/>
  <c r="D62"/>
  <c r="D30"/>
  <c r="D28" i="17"/>
  <c r="C28"/>
  <c r="D59"/>
  <c r="D58"/>
  <c r="C59"/>
  <c r="E1"/>
  <c r="A32"/>
  <c r="D28" i="18"/>
  <c r="D31"/>
  <c r="C28"/>
  <c r="D59"/>
  <c r="C59"/>
  <c r="C30" i="17"/>
  <c r="C31"/>
  <c r="D61"/>
  <c r="C61"/>
  <c r="C62"/>
  <c r="D30"/>
  <c r="D31"/>
  <c r="C61" i="18"/>
  <c r="C62"/>
  <c r="D34" i="2"/>
  <c r="A34"/>
  <c r="A59"/>
  <c r="A58"/>
  <c r="D43"/>
  <c r="C30" i="18"/>
  <c r="C31"/>
  <c r="E1"/>
  <c r="G11" i="14"/>
  <c r="E14"/>
  <c r="E15"/>
  <c r="G18"/>
  <c r="E22"/>
  <c r="E1" i="20"/>
  <c r="A45"/>
  <c r="G6" i="19"/>
  <c r="C6"/>
  <c r="C39" i="3"/>
  <c r="C40"/>
  <c r="D6" i="22"/>
  <c r="D7"/>
  <c r="D15"/>
  <c r="D16"/>
  <c r="D13"/>
  <c r="D14"/>
  <c r="D8"/>
  <c r="D9"/>
  <c r="D10"/>
  <c r="D11"/>
  <c r="D12"/>
  <c r="J1" i="14"/>
  <c r="B18"/>
  <c r="D22" i="22"/>
  <c r="D24"/>
  <c r="D26"/>
  <c r="E46" i="17"/>
  <c r="E45"/>
  <c r="D46"/>
  <c r="D45"/>
  <c r="C46"/>
  <c r="C45"/>
  <c r="E59"/>
  <c r="E58"/>
  <c r="C58"/>
  <c r="C25" i="6"/>
  <c r="C52" i="19"/>
  <c r="C22" i="7"/>
  <c r="C42"/>
  <c r="C19" i="8"/>
  <c r="E30"/>
  <c r="E65"/>
  <c r="C65"/>
  <c r="E65" i="9"/>
  <c r="C65"/>
  <c r="C30"/>
  <c r="C19"/>
  <c r="E65" i="10"/>
  <c r="C65"/>
  <c r="C54"/>
  <c r="C30"/>
  <c r="C19"/>
  <c r="E65" i="11"/>
  <c r="C65"/>
  <c r="C54"/>
  <c r="C30"/>
  <c r="C19"/>
  <c r="E28" i="17"/>
  <c r="E27"/>
  <c r="E15"/>
  <c r="E14"/>
  <c r="D15"/>
  <c r="D14"/>
  <c r="C15"/>
  <c r="C14"/>
  <c r="E59" i="18"/>
  <c r="E58"/>
  <c r="E46"/>
  <c r="E45"/>
  <c r="D46"/>
  <c r="D45"/>
  <c r="C46"/>
  <c r="C45"/>
  <c r="E28"/>
  <c r="E27"/>
  <c r="C27"/>
  <c r="E15"/>
  <c r="E14"/>
  <c r="D15"/>
  <c r="D14"/>
  <c r="C15"/>
  <c r="C14"/>
  <c r="F1" i="22"/>
  <c r="B5"/>
  <c r="A1"/>
  <c r="B16"/>
  <c r="B15"/>
  <c r="B14"/>
  <c r="B13"/>
  <c r="B12"/>
  <c r="B11"/>
  <c r="B10"/>
  <c r="B9"/>
  <c r="B8"/>
  <c r="B7"/>
  <c r="B6"/>
  <c r="C17"/>
  <c r="E15" i="4"/>
  <c r="L15"/>
  <c r="C47" i="17"/>
  <c r="C60"/>
  <c r="C63"/>
  <c r="C16"/>
  <c r="C29"/>
  <c r="C32"/>
  <c r="A62" i="20"/>
  <c r="A61"/>
  <c r="A60"/>
  <c r="A59"/>
  <c r="A58"/>
  <c r="A57"/>
  <c r="A56"/>
  <c r="A55"/>
  <c r="A54"/>
  <c r="A53"/>
  <c r="A52"/>
  <c r="A51"/>
  <c r="A50"/>
  <c r="A49"/>
  <c r="A48"/>
  <c r="E12" i="4"/>
  <c r="L12"/>
  <c r="E13"/>
  <c r="L13"/>
  <c r="E14"/>
  <c r="L14"/>
  <c r="E16"/>
  <c r="L16"/>
  <c r="E17"/>
  <c r="L17"/>
  <c r="E18"/>
  <c r="L18"/>
  <c r="E19"/>
  <c r="L19"/>
  <c r="E20"/>
  <c r="L20"/>
  <c r="E21"/>
  <c r="L21"/>
  <c r="E11"/>
  <c r="L11"/>
  <c r="L22"/>
  <c r="J1"/>
  <c r="D9"/>
  <c r="F39" i="12"/>
  <c r="D33" i="3"/>
  <c r="D32"/>
  <c r="D31"/>
  <c r="D31" i="12"/>
  <c r="F30"/>
  <c r="D30"/>
  <c r="F29"/>
  <c r="D29"/>
  <c r="F28"/>
  <c r="D28"/>
  <c r="D28" i="20"/>
  <c r="E27" i="12"/>
  <c r="E26"/>
  <c r="E25"/>
  <c r="E24"/>
  <c r="E23"/>
  <c r="E22"/>
  <c r="E21"/>
  <c r="E20"/>
  <c r="E19"/>
  <c r="E18"/>
  <c r="E17"/>
  <c r="B39"/>
  <c r="A27" i="20"/>
  <c r="A26"/>
  <c r="A25"/>
  <c r="A24"/>
  <c r="A23"/>
  <c r="A22"/>
  <c r="A21"/>
  <c r="A20"/>
  <c r="A19"/>
  <c r="A18"/>
  <c r="A17"/>
  <c r="C21" i="3"/>
  <c r="C20"/>
  <c r="H26" i="4"/>
  <c r="E15" i="13"/>
  <c r="F43" i="12"/>
  <c r="D27" i="21"/>
  <c r="D29"/>
  <c r="D35" i="12"/>
  <c r="F1" i="21"/>
  <c r="D9"/>
  <c r="A2"/>
  <c r="D39" i="12"/>
  <c r="G1" i="3"/>
  <c r="B53"/>
  <c r="A56" i="2"/>
  <c r="D44" i="12"/>
  <c r="D43"/>
  <c r="B44"/>
  <c r="B43"/>
  <c r="D42"/>
  <c r="B42"/>
  <c r="E62" i="2"/>
  <c r="D62"/>
  <c r="A8" i="20"/>
  <c r="A2"/>
  <c r="A1"/>
  <c r="A44" i="2"/>
  <c r="A13"/>
  <c r="A7" i="16"/>
  <c r="A11"/>
  <c r="A26"/>
  <c r="A30"/>
  <c r="E11" i="13"/>
  <c r="F42" i="12"/>
  <c r="I16" i="13"/>
  <c r="K15"/>
  <c r="J15"/>
  <c r="I15"/>
  <c r="H15"/>
  <c r="K11"/>
  <c r="K16"/>
  <c r="J11"/>
  <c r="J16"/>
  <c r="I11"/>
  <c r="H11"/>
  <c r="H16"/>
  <c r="H1" i="12"/>
  <c r="B41"/>
  <c r="D18"/>
  <c r="C18"/>
  <c r="G5" i="6"/>
  <c r="G5" i="7"/>
  <c r="E5" i="6"/>
  <c r="D5" i="18"/>
  <c r="D36"/>
  <c r="C5" i="6"/>
  <c r="C5" i="7"/>
  <c r="B12" i="4"/>
  <c r="K1" i="13"/>
  <c r="F23"/>
  <c r="B46" i="2"/>
  <c r="A1" i="19"/>
  <c r="B21" i="3"/>
  <c r="A64"/>
  <c r="A3"/>
  <c r="A9"/>
  <c r="A15"/>
  <c r="A36" i="14"/>
  <c r="B32"/>
  <c r="B22"/>
  <c r="C15"/>
  <c r="C14"/>
  <c r="B9"/>
  <c r="B6"/>
  <c r="B5"/>
  <c r="A3"/>
  <c r="D33" i="16"/>
  <c r="A21"/>
  <c r="A6"/>
  <c r="B30" i="12"/>
  <c r="B28"/>
  <c r="B31"/>
  <c r="B29"/>
  <c r="C34" i="3"/>
  <c r="C33"/>
  <c r="C32"/>
  <c r="C31"/>
  <c r="A31" i="12"/>
  <c r="A30"/>
  <c r="A29"/>
  <c r="A28"/>
  <c r="A34" i="3"/>
  <c r="A33"/>
  <c r="A32"/>
  <c r="A31"/>
  <c r="A1" i="18"/>
  <c r="A1" i="17"/>
  <c r="A36" i="18"/>
  <c r="A5"/>
  <c r="A36" i="17"/>
  <c r="A5"/>
  <c r="A12" i="16"/>
  <c r="I6"/>
  <c r="B30" i="3"/>
  <c r="B29"/>
  <c r="B28"/>
  <c r="B27"/>
  <c r="B26"/>
  <c r="B25"/>
  <c r="B24"/>
  <c r="B23"/>
  <c r="B22"/>
  <c r="A30"/>
  <c r="A29"/>
  <c r="A28"/>
  <c r="A27"/>
  <c r="A26"/>
  <c r="A25"/>
  <c r="A24"/>
  <c r="A23"/>
  <c r="A22"/>
  <c r="C36"/>
  <c r="C30"/>
  <c r="C29"/>
  <c r="C28"/>
  <c r="C27"/>
  <c r="C26"/>
  <c r="C25"/>
  <c r="C24"/>
  <c r="C23"/>
  <c r="C22"/>
  <c r="C38"/>
  <c r="B20"/>
  <c r="A20"/>
  <c r="C5"/>
  <c r="C1" i="14"/>
  <c r="H36" i="13"/>
  <c r="G36"/>
  <c r="F36"/>
  <c r="A2"/>
  <c r="A1"/>
  <c r="A5" i="6"/>
  <c r="A1"/>
  <c r="D56" i="2"/>
  <c r="B55"/>
  <c r="B54"/>
  <c r="B53"/>
  <c r="B52"/>
  <c r="B51"/>
  <c r="B50"/>
  <c r="B49"/>
  <c r="B48"/>
  <c r="B47"/>
  <c r="B45"/>
  <c r="B21" i="4"/>
  <c r="B20"/>
  <c r="B19"/>
  <c r="B18"/>
  <c r="B17"/>
  <c r="B16"/>
  <c r="B15"/>
  <c r="B14"/>
  <c r="B13"/>
  <c r="B11"/>
  <c r="B1"/>
  <c r="A1" i="7"/>
  <c r="A5"/>
  <c r="F44" i="12"/>
  <c r="A27"/>
  <c r="A26"/>
  <c r="A25"/>
  <c r="A24"/>
  <c r="A23"/>
  <c r="A22"/>
  <c r="A21"/>
  <c r="A20"/>
  <c r="A19"/>
  <c r="D19"/>
  <c r="B19"/>
  <c r="C27"/>
  <c r="C26"/>
  <c r="C25"/>
  <c r="C24"/>
  <c r="C23"/>
  <c r="C22"/>
  <c r="C21"/>
  <c r="C20"/>
  <c r="C19"/>
  <c r="C17"/>
  <c r="B37"/>
  <c r="A17"/>
  <c r="A5"/>
  <c r="A4"/>
  <c r="F45"/>
  <c r="D45"/>
  <c r="B45"/>
  <c r="D23"/>
  <c r="B23"/>
  <c r="B22"/>
  <c r="D22"/>
  <c r="D25"/>
  <c r="B25"/>
  <c r="B24"/>
  <c r="D24"/>
  <c r="D27"/>
  <c r="B27"/>
  <c r="B26"/>
  <c r="D26"/>
  <c r="D21"/>
  <c r="B21"/>
  <c r="B20"/>
  <c r="D20"/>
  <c r="A1" i="8"/>
  <c r="A40"/>
  <c r="A5"/>
  <c r="A40" i="9"/>
  <c r="A5"/>
  <c r="A1"/>
  <c r="A40" i="10"/>
  <c r="A5"/>
  <c r="A1"/>
  <c r="A40" i="11"/>
  <c r="A5"/>
  <c r="A1"/>
  <c r="B62" i="7"/>
  <c r="B64"/>
  <c r="G48"/>
  <c r="C57"/>
  <c r="A11" i="20"/>
  <c r="B46"/>
  <c r="A12"/>
  <c r="A6"/>
  <c r="A30"/>
  <c r="A10"/>
  <c r="A7"/>
  <c r="A15"/>
  <c r="A30" i="18"/>
  <c r="A61" i="17"/>
  <c r="C37" i="10"/>
  <c r="A68"/>
  <c r="C56" i="8"/>
  <c r="C67"/>
  <c r="B70"/>
  <c r="C54"/>
  <c r="C30" i="19"/>
  <c r="C54"/>
  <c r="B57"/>
  <c r="C28"/>
  <c r="D37" i="12"/>
  <c r="J5" i="14"/>
  <c r="J7"/>
  <c r="G47" i="6"/>
  <c r="G50"/>
  <c r="E17" i="22"/>
  <c r="C5" i="18"/>
  <c r="C36"/>
  <c r="C5" i="17"/>
  <c r="C36"/>
  <c r="C5" i="11"/>
  <c r="C40"/>
  <c r="C5" i="10"/>
  <c r="C40"/>
  <c r="C5" i="9"/>
  <c r="C40"/>
  <c r="C5" i="8"/>
  <c r="C40"/>
  <c r="E5" i="18"/>
  <c r="E36"/>
  <c r="E5" i="17"/>
  <c r="E36"/>
  <c r="G5" i="11"/>
  <c r="G40"/>
  <c r="G5" i="10"/>
  <c r="G40"/>
  <c r="G5" i="9"/>
  <c r="G40"/>
  <c r="G5" i="8"/>
  <c r="G40"/>
  <c r="C37"/>
  <c r="A68"/>
  <c r="E52" i="19"/>
  <c r="C27" i="21"/>
  <c r="C29"/>
  <c r="B35" i="12"/>
  <c r="B18"/>
  <c r="C56" i="9"/>
  <c r="C54"/>
  <c r="E30"/>
  <c r="E30" i="10"/>
  <c r="E30" i="11"/>
  <c r="D11" i="3"/>
  <c r="A8"/>
  <c r="A65"/>
  <c r="H6" i="13"/>
  <c r="H23"/>
  <c r="G9" i="4"/>
  <c r="B10"/>
  <c r="E16" i="13"/>
  <c r="A41" i="20"/>
  <c r="A32"/>
  <c r="A13"/>
  <c r="C46"/>
  <c r="A9"/>
  <c r="A61" i="18"/>
  <c r="C72" i="10"/>
  <c r="E41" i="8"/>
  <c r="G11" i="9"/>
  <c r="E12" i="3"/>
  <c r="E5" i="7"/>
  <c r="A11" i="12"/>
  <c r="D13"/>
  <c r="G14"/>
  <c r="F41"/>
  <c r="E9" i="21"/>
  <c r="A33" i="8"/>
  <c r="A45" i="7"/>
  <c r="A52" i="6"/>
  <c r="B52" i="7"/>
  <c r="E44" i="6"/>
  <c r="E5" i="9"/>
  <c r="E40"/>
  <c r="E5" i="11"/>
  <c r="E40"/>
  <c r="E7" i="13"/>
  <c r="C9" i="21"/>
  <c r="B3" i="22"/>
  <c r="E5"/>
  <c r="B13" i="14"/>
  <c r="G13" i="9"/>
  <c r="G12" i="7"/>
  <c r="D5" i="22"/>
  <c r="E6" i="19"/>
  <c r="A68" i="11"/>
  <c r="A55" i="19"/>
  <c r="J6" i="13"/>
  <c r="E5" i="10"/>
  <c r="E40"/>
  <c r="B11" i="14"/>
  <c r="A33" i="9"/>
  <c r="G45" i="8"/>
  <c r="G10" i="9"/>
  <c r="G55"/>
  <c r="G55" i="10"/>
  <c r="G20"/>
  <c r="G55" i="11"/>
  <c r="G14" i="19"/>
  <c r="G12"/>
  <c r="G48" i="8"/>
  <c r="G47"/>
  <c r="G12" i="9"/>
  <c r="G13" i="7"/>
  <c r="G11"/>
  <c r="G13" i="19"/>
  <c r="G46" i="8"/>
  <c r="G11" i="19"/>
  <c r="D58" i="18"/>
  <c r="C47"/>
  <c r="C60"/>
  <c r="C63"/>
  <c r="C16"/>
  <c r="C29"/>
  <c r="D6"/>
  <c r="D16"/>
  <c r="D29"/>
  <c r="D37" i="17"/>
  <c r="D47"/>
  <c r="D60"/>
  <c r="D6"/>
  <c r="D16"/>
  <c r="D29"/>
  <c r="C34" i="12"/>
  <c r="C32" i="11"/>
  <c r="B35"/>
  <c r="E6"/>
  <c r="E41" i="10"/>
  <c r="C67" i="9"/>
  <c r="B70"/>
  <c r="C32"/>
  <c r="B35"/>
  <c r="E6"/>
  <c r="E21"/>
  <c r="E32"/>
  <c r="C32" i="8"/>
  <c r="B35"/>
  <c r="E27" i="21"/>
  <c r="E29"/>
  <c r="F35" i="12"/>
  <c r="C56" i="7"/>
  <c r="C39"/>
  <c r="C44"/>
  <c r="B47"/>
  <c r="E7" i="19"/>
  <c r="G20" i="11"/>
  <c r="D37" i="18"/>
  <c r="D47"/>
  <c r="D60"/>
  <c r="E6" i="8"/>
  <c r="E6" i="7"/>
  <c r="J29" i="24"/>
  <c r="J30"/>
  <c r="H29"/>
  <c r="H30"/>
  <c r="F29"/>
  <c r="F30"/>
  <c r="D29"/>
  <c r="D30"/>
  <c r="K28"/>
  <c r="B32" i="12"/>
  <c r="G29" i="19"/>
  <c r="E19" i="9"/>
  <c r="G23" i="13"/>
  <c r="B13" i="12"/>
  <c r="D41"/>
  <c r="E22" i="4"/>
  <c r="A68" i="9"/>
  <c r="C72"/>
  <c r="G23" i="7"/>
  <c r="G55" i="8"/>
  <c r="A10" i="12"/>
  <c r="F13"/>
  <c r="E9" i="4"/>
  <c r="C72" i="11"/>
  <c r="E5" i="8"/>
  <c r="E40"/>
  <c r="E54" i="10"/>
  <c r="E56"/>
  <c r="E67"/>
  <c r="E54" i="11"/>
  <c r="E24" i="7"/>
  <c r="E39"/>
  <c r="E22"/>
  <c r="E19" i="8"/>
  <c r="E21"/>
  <c r="E32"/>
  <c r="E19" i="10"/>
  <c r="B29" i="24"/>
  <c r="B30"/>
  <c r="K18"/>
  <c r="K17"/>
  <c r="K29"/>
  <c r="K30"/>
  <c r="G20" i="9"/>
  <c r="D22" i="4"/>
  <c r="G12" i="8"/>
  <c r="I14" i="4"/>
  <c r="G11" i="8"/>
  <c r="G14" i="4"/>
  <c r="I34"/>
  <c r="K38"/>
  <c r="G32"/>
  <c r="H34"/>
  <c r="J36"/>
  <c r="G10" i="8"/>
  <c r="G13"/>
  <c r="E42" i="7"/>
  <c r="E41" i="9"/>
  <c r="C67" i="11"/>
  <c r="C32" i="10"/>
  <c r="C35" i="8"/>
  <c r="G6"/>
  <c r="C30"/>
  <c r="D62" i="17"/>
  <c r="D63"/>
  <c r="E37"/>
  <c r="E47"/>
  <c r="E60"/>
  <c r="E61"/>
  <c r="F31" i="12"/>
  <c r="D34" i="3"/>
  <c r="D63" i="18"/>
  <c r="E37"/>
  <c r="E47"/>
  <c r="E60"/>
  <c r="E61"/>
  <c r="C58"/>
  <c r="D27"/>
  <c r="D32"/>
  <c r="E6"/>
  <c r="E16"/>
  <c r="E29"/>
  <c r="E30"/>
  <c r="C32"/>
  <c r="D27" i="17"/>
  <c r="D32"/>
  <c r="E6"/>
  <c r="E16"/>
  <c r="E29"/>
  <c r="E30"/>
  <c r="C27"/>
  <c r="B70" i="11"/>
  <c r="E41"/>
  <c r="E56"/>
  <c r="E67"/>
  <c r="C70"/>
  <c r="B35" i="10"/>
  <c r="E6"/>
  <c r="E21"/>
  <c r="E32"/>
  <c r="G41" i="11"/>
  <c r="G56"/>
  <c r="G6" i="10"/>
  <c r="G21"/>
  <c r="C35"/>
  <c r="E34" i="12"/>
  <c r="A31" i="17"/>
  <c r="D5"/>
  <c r="D36"/>
  <c r="A30"/>
  <c r="A20" i="22"/>
  <c r="D17"/>
  <c r="F17" i="12"/>
  <c r="H52" i="6"/>
  <c r="D20" i="3"/>
  <c r="G49" i="6"/>
  <c r="G53"/>
  <c r="C5" i="22"/>
  <c r="A30"/>
  <c r="A33" i="11"/>
  <c r="B53" i="6"/>
  <c r="B17" i="12"/>
  <c r="B34"/>
  <c r="B36"/>
  <c r="C49" i="6"/>
  <c r="C51"/>
  <c r="G16" i="14"/>
  <c r="G20"/>
  <c r="G24"/>
  <c r="G26"/>
  <c r="J28"/>
  <c r="J30"/>
  <c r="J11" i="4"/>
  <c r="I11"/>
  <c r="G11"/>
  <c r="G10" i="6"/>
  <c r="G11"/>
  <c r="I22" i="4"/>
  <c r="G14" i="6"/>
  <c r="K22" i="4"/>
  <c r="E25" i="6"/>
  <c r="G12"/>
  <c r="J22" i="4"/>
  <c r="G26" i="6"/>
  <c r="G22" i="4"/>
  <c r="G20" i="8"/>
  <c r="G21"/>
  <c r="B32" i="21"/>
  <c r="E30" i="19"/>
  <c r="E54"/>
  <c r="E28"/>
  <c r="H33" i="8"/>
  <c r="G30"/>
  <c r="G34"/>
  <c r="D23" i="3"/>
  <c r="F20" i="12"/>
  <c r="D24" i="3"/>
  <c r="G65" i="8"/>
  <c r="G69"/>
  <c r="H68"/>
  <c r="F21" i="12"/>
  <c r="E21" i="11"/>
  <c r="E32"/>
  <c r="E19"/>
  <c r="F19" i="12"/>
  <c r="G42" i="7"/>
  <c r="H45"/>
  <c r="G46"/>
  <c r="D22" i="3"/>
  <c r="C70" i="10"/>
  <c r="G41"/>
  <c r="G56"/>
  <c r="G6" i="9"/>
  <c r="G21"/>
  <c r="C35"/>
  <c r="G52" i="19"/>
  <c r="G56"/>
  <c r="D21" i="3"/>
  <c r="F21"/>
  <c r="H55" i="19"/>
  <c r="F18" i="12"/>
  <c r="E54" i="8"/>
  <c r="E56"/>
  <c r="E67"/>
  <c r="H68" i="9"/>
  <c r="G65"/>
  <c r="G69"/>
  <c r="F23" i="12"/>
  <c r="D26" i="3"/>
  <c r="E56" i="9"/>
  <c r="E67"/>
  <c r="E54"/>
  <c r="G30"/>
  <c r="H33"/>
  <c r="G34"/>
  <c r="G35"/>
  <c r="G37"/>
  <c r="D25" i="3"/>
  <c r="F22" i="12"/>
  <c r="G65" i="10"/>
  <c r="G69"/>
  <c r="G70"/>
  <c r="G72"/>
  <c r="D28" i="3"/>
  <c r="F25" i="12"/>
  <c r="H68" i="10"/>
  <c r="D27" i="3"/>
  <c r="G34" i="10"/>
  <c r="G35"/>
  <c r="G37"/>
  <c r="H33"/>
  <c r="F24" i="12"/>
  <c r="G30" i="10"/>
  <c r="F27" i="12"/>
  <c r="D30" i="3"/>
  <c r="G65" i="11"/>
  <c r="G69"/>
  <c r="G70"/>
  <c r="G72"/>
  <c r="H68"/>
  <c r="H33"/>
  <c r="F26" i="12"/>
  <c r="G34" i="11"/>
  <c r="D29" i="3"/>
  <c r="G30" i="11"/>
  <c r="F34" i="12"/>
  <c r="F36"/>
  <c r="E44" i="7"/>
  <c r="B54" i="6"/>
  <c r="E6"/>
  <c r="E27"/>
  <c r="E46"/>
  <c r="E50"/>
  <c r="E51"/>
  <c r="G6"/>
  <c r="G27"/>
  <c r="E30" i="3"/>
  <c r="G54" i="11"/>
  <c r="F30" i="3"/>
  <c r="H27" i="12"/>
  <c r="G27"/>
  <c r="G54" i="10"/>
  <c r="E28" i="3"/>
  <c r="G25" i="12"/>
  <c r="F28" i="3"/>
  <c r="H25" i="12"/>
  <c r="H22"/>
  <c r="G19" i="9"/>
  <c r="F25" i="3"/>
  <c r="G22" i="12"/>
  <c r="E25" i="3"/>
  <c r="G41" i="9"/>
  <c r="G56"/>
  <c r="C70"/>
  <c r="C70" i="8"/>
  <c r="G41"/>
  <c r="G56"/>
  <c r="G6" i="11"/>
  <c r="G21"/>
  <c r="C35"/>
  <c r="C57" i="19"/>
  <c r="G7"/>
  <c r="G30"/>
  <c r="G57"/>
  <c r="G59"/>
  <c r="G35" i="11"/>
  <c r="G37"/>
  <c r="G35" i="8"/>
  <c r="G37"/>
  <c r="C47" i="7"/>
  <c r="G6"/>
  <c r="G24"/>
  <c r="G24" i="12"/>
  <c r="F27" i="3"/>
  <c r="E27"/>
  <c r="G19" i="10"/>
  <c r="H24" i="12"/>
  <c r="G70" i="9"/>
  <c r="G72"/>
  <c r="D37" i="3"/>
  <c r="G47" i="7"/>
  <c r="G49"/>
  <c r="G70" i="8"/>
  <c r="G72"/>
  <c r="C53" i="6"/>
  <c r="C54"/>
  <c r="E49"/>
  <c r="D17" i="12"/>
  <c r="D34"/>
  <c r="D36"/>
  <c r="D46" i="6"/>
  <c r="G54" i="8"/>
  <c r="G21" i="12"/>
  <c r="E24" i="3"/>
  <c r="H21" i="12"/>
  <c r="F24" i="3"/>
  <c r="G19" i="12"/>
  <c r="E22" i="3"/>
  <c r="F22"/>
  <c r="H19" i="12"/>
  <c r="G22" i="7"/>
  <c r="F26" i="3"/>
  <c r="E26"/>
  <c r="G23" i="12"/>
  <c r="G54" i="9"/>
  <c r="H23" i="12"/>
  <c r="G20"/>
  <c r="F23" i="3"/>
  <c r="H20" i="12"/>
  <c r="E23" i="3"/>
  <c r="G19" i="8"/>
  <c r="H26" i="12"/>
  <c r="G26"/>
  <c r="F29" i="3"/>
  <c r="E29"/>
  <c r="G19" i="11"/>
  <c r="G39" i="7"/>
  <c r="G28" i="19"/>
  <c r="H18" i="12"/>
  <c r="E21" i="3"/>
  <c r="J32" i="14"/>
  <c r="J34"/>
  <c r="G18" i="12"/>
  <c r="G54" i="6"/>
  <c r="G56"/>
  <c r="E20" i="3"/>
  <c r="F20"/>
  <c r="F37"/>
  <c r="G17" i="12"/>
  <c r="G34"/>
  <c r="G25" i="6"/>
  <c r="G46"/>
  <c r="F46"/>
  <c r="H17" i="12"/>
  <c r="H34"/>
  <c r="E37" i="3"/>
  <c r="E39"/>
  <c r="G44" i="6"/>
</calcChain>
</file>

<file path=xl/sharedStrings.xml><?xml version="1.0" encoding="utf-8"?>
<sst xmlns="http://schemas.openxmlformats.org/spreadsheetml/2006/main" count="1249" uniqueCount="689">
  <si>
    <t>2. Mvalloc tab changed reference from 'D' to 'E'  in each cell of table</t>
  </si>
  <si>
    <t>3. Transfer tab line 13, changed General/Road to Road/Special Machinery</t>
  </si>
  <si>
    <t>4. Transfer tab changed second statute reference from 80-1406b to 80-122</t>
  </si>
  <si>
    <t>5. TransferStatute tab created</t>
  </si>
  <si>
    <t>6. Instructions tab added 6c for the TransferStatute tab</t>
  </si>
  <si>
    <t>Township1 Spreadsheet Instructions</t>
  </si>
  <si>
    <t xml:space="preserve">Townships can use the township.xls,  township1.xls, township2 or township3.xls files.   You must choose a form that meets the needs for the number of funds.  If you don't need all the funds, just leave the pages blank and number the completed pages sequentially. </t>
  </si>
  <si>
    <t xml:space="preserve">NON-BUDGETED FUNDS </t>
  </si>
  <si>
    <t>Non-Budgeted Funds</t>
  </si>
  <si>
    <t>(1) Fund Name:</t>
  </si>
  <si>
    <t>(2) Fund Name:</t>
  </si>
  <si>
    <t>(3) Fund Name:</t>
  </si>
  <si>
    <t>(4) Fund Name:</t>
  </si>
  <si>
    <t>(5) Fund Name:</t>
  </si>
  <si>
    <t xml:space="preserve">Unencumbered </t>
  </si>
  <si>
    <t>Cash Balance Jan 1</t>
  </si>
  <si>
    <t>Cash Balance Dec 31</t>
  </si>
  <si>
    <t>**</t>
  </si>
  <si>
    <t>** Note: These two block figures should agree.</t>
  </si>
  <si>
    <t>Non-budgeted funds:</t>
  </si>
  <si>
    <t>7. Instruction tab added 9m to explain about Non-Budgeted Form</t>
  </si>
  <si>
    <t>8. Cert tab added Non-Budgeted Funds line A35</t>
  </si>
  <si>
    <t>9. Added nonbud tab for the Non-Budgeted Funds</t>
  </si>
  <si>
    <t>10. Summ tab added A34 for Non-Budgeted Funds</t>
  </si>
  <si>
    <r>
      <rPr>
        <sz val="12"/>
        <color indexed="10"/>
        <rFont val="Times New Roman"/>
        <family val="1"/>
      </rPr>
      <t>*</t>
    </r>
    <r>
      <rPr>
        <sz val="12"/>
        <rFont val="Times New Roman"/>
        <family val="1"/>
      </rPr>
      <t>Expenditures</t>
    </r>
    <r>
      <rPr>
        <sz val="12"/>
        <color indexed="10"/>
        <rFont val="Times New Roman"/>
        <family val="1"/>
      </rPr>
      <t>*</t>
    </r>
  </si>
  <si>
    <t xml:space="preserve">Township1.xls spreadsheet has General Fund, Debt Service, Road Bridge, 8 levy fund pages, 4 no levy fund pages, 1 non-budgeted fund page which holds five funds. </t>
  </si>
  <si>
    <t>Non-Budgeted Funds - Townships</t>
  </si>
  <si>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Special ambulance or emergency medical service equipment fund. </t>
    </r>
    <r>
      <rPr>
        <sz val="12"/>
        <color indexed="8"/>
        <rFont val="Times New Roman"/>
        <family val="1"/>
      </rPr>
      <t xml:space="preserve"> The governing body may create a special reserve fund for replacement of ambulance or emergency medical service equipment.</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</si>
  <si>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Sewerage system reserve fund.</t>
    </r>
    <r>
      <rPr>
        <sz val="12"/>
        <color indexed="8"/>
        <rFont val="Times New Roman"/>
        <family val="1"/>
      </rPr>
      <t xml:space="preserve">  The governing body may create a sewer system reserve fund for the future maintenance and operation of its system and for the construction of improvements and expansions to such system.</t>
    </r>
  </si>
  <si>
    <r>
      <t xml:space="preserve">K.S.A. </t>
    </r>
    <r>
      <rPr>
        <b/>
        <sz val="12"/>
        <color indexed="8"/>
        <rFont val="Times New Roman"/>
        <family val="1"/>
      </rPr>
      <t>12-1663.</t>
    </r>
    <r>
      <rPr>
        <sz val="12"/>
        <color indexed="8"/>
        <rFont val="Times New Roman"/>
        <family val="1"/>
      </rPr>
      <t xml:space="preserve">  </t>
    </r>
    <r>
      <rPr>
        <b/>
        <sz val="12"/>
        <color indexed="8"/>
        <rFont val="Times New Roman"/>
        <family val="1"/>
      </rPr>
      <t>Federal grants (e.g. FEMA).</t>
    </r>
    <r>
      <rPr>
        <sz val="12"/>
        <color indexed="8"/>
        <rFont val="Times New Roman"/>
        <family val="1"/>
      </rPr>
      <t xml:space="preserve">  Federal aid intended to be used alone or with funds of the public agency may be expended without regard to budget limitations and over, above or outside the budget.</t>
    </r>
  </si>
  <si>
    <r>
      <t xml:space="preserve">K.S.A. </t>
    </r>
    <r>
      <rPr>
        <b/>
        <sz val="12"/>
        <color indexed="8"/>
        <rFont val="Times New Roman"/>
        <family val="1"/>
      </rPr>
      <t>12-16,111.</t>
    </r>
    <r>
      <rPr>
        <sz val="12"/>
        <color indexed="8"/>
        <rFont val="Times New Roman"/>
        <family val="1"/>
      </rPr>
      <t xml:space="preserve">  </t>
    </r>
    <r>
      <rPr>
        <b/>
        <sz val="12"/>
        <color indexed="8"/>
        <rFont val="Times New Roman"/>
        <family val="1"/>
      </rPr>
      <t>State loans and grants.</t>
    </r>
    <r>
      <rPr>
        <sz val="12"/>
        <color indexed="8"/>
        <rFont val="Times New Roman"/>
        <family val="1"/>
      </rPr>
      <t xml:space="preserve">  State loans or grants may be expended without regard to budget limitations and over, above or outside the budget.</t>
    </r>
  </si>
  <si>
    <r>
      <t xml:space="preserve">K.S.A. </t>
    </r>
    <r>
      <rPr>
        <b/>
        <sz val="12"/>
        <color indexed="8"/>
        <rFont val="Times New Roman"/>
        <family val="1"/>
      </rPr>
      <t>12-17,118.</t>
    </r>
    <r>
      <rPr>
        <sz val="12"/>
        <color indexed="8"/>
        <rFont val="Times New Roman"/>
        <family val="1"/>
      </rPr>
      <t xml:space="preserve">  N</t>
    </r>
    <r>
      <rPr>
        <b/>
        <sz val="12"/>
        <color indexed="8"/>
        <rFont val="Times New Roman"/>
        <family val="1"/>
      </rPr>
      <t>eighborhood revitalization fund.</t>
    </r>
    <r>
      <rPr>
        <sz val="12"/>
        <color indexed="8"/>
        <rFont val="Times New Roman"/>
        <family val="1"/>
      </rPr>
      <t xml:space="preserve">  After adoption of a neighborhood revitalization plan the governing body shall create a neighborhood revitalization fund.</t>
    </r>
  </si>
  <si>
    <r>
      <t xml:space="preserve">K.S.A. </t>
    </r>
    <r>
      <rPr>
        <b/>
        <sz val="12"/>
        <color indexed="8"/>
        <rFont val="Times New Roman"/>
        <family val="1"/>
      </rPr>
      <t>68-141g.</t>
    </r>
    <r>
      <rPr>
        <sz val="12"/>
        <color indexed="8"/>
        <rFont val="Times New Roman"/>
        <family val="1"/>
      </rPr>
      <t xml:space="preserve">  </t>
    </r>
    <r>
      <rPr>
        <b/>
        <sz val="12"/>
        <color indexed="8"/>
        <rFont val="Times New Roman"/>
        <family val="1"/>
      </rPr>
      <t>Special road, bridge or street building machinery, equipment and bridge building fund.</t>
    </r>
    <r>
      <rPr>
        <sz val="12"/>
        <color indexed="8"/>
        <rFont val="Times New Roman"/>
        <family val="1"/>
      </rPr>
      <t xml:space="preserve">  Authorizes a special road, bridge or street building machinery, equipment and bridge building fund and the annual transfer of not to exceed 25% of the budgeted amount of the corresponding operating fund.</t>
    </r>
  </si>
  <si>
    <r>
      <t xml:space="preserve">K.S.A. </t>
    </r>
    <r>
      <rPr>
        <b/>
        <sz val="12"/>
        <color indexed="8"/>
        <rFont val="Times New Roman"/>
        <family val="1"/>
      </rPr>
      <t>75-6110.</t>
    </r>
    <r>
      <rPr>
        <sz val="12"/>
        <color indexed="8"/>
        <rFont val="Times New Roman"/>
        <family val="1"/>
      </rPr>
      <t xml:space="preserve">  </t>
    </r>
    <r>
      <rPr>
        <b/>
        <sz val="12"/>
        <color indexed="8"/>
        <rFont val="Times New Roman"/>
        <family val="1"/>
      </rPr>
      <t>Special liability expense fund.</t>
    </r>
    <r>
      <rPr>
        <sz val="12"/>
        <color indexed="8"/>
        <rFont val="Times New Roman"/>
        <family val="1"/>
      </rPr>
      <t xml:space="preserve">  Authorizes the creation of special liability expense fund for payment of costs and claims against the municipality or its employees.</t>
    </r>
  </si>
  <si>
    <r>
      <t xml:space="preserve">K.S.A. </t>
    </r>
    <r>
      <rPr>
        <b/>
        <sz val="12"/>
        <color indexed="8"/>
        <rFont val="Times New Roman"/>
        <family val="1"/>
      </rPr>
      <t>79-1808.</t>
    </r>
    <r>
      <rPr>
        <sz val="12"/>
        <color indexed="8"/>
        <rFont val="Times New Roman"/>
        <family val="1"/>
      </rPr>
      <t xml:space="preserve">  </t>
    </r>
    <r>
      <rPr>
        <b/>
        <sz val="12"/>
        <color indexed="8"/>
        <rFont val="Times New Roman"/>
        <family val="1"/>
      </rPr>
      <t>Special assessment fund.</t>
    </r>
    <r>
      <rPr>
        <sz val="12"/>
        <color indexed="8"/>
        <rFont val="Times New Roman"/>
        <family val="1"/>
      </rPr>
      <t xml:space="preserve">  Proceeds of tax levy to raise funds to pay special assessments against municipality-owned property and, for cities and counties, to pay debt service, shall be placed in a special assessment fund.</t>
    </r>
  </si>
  <si>
    <r>
      <t xml:space="preserve">K.S.A. </t>
    </r>
    <r>
      <rPr>
        <b/>
        <sz val="12"/>
        <color indexed="8"/>
        <rFont val="Times New Roman"/>
        <family val="1"/>
      </rPr>
      <t>79-2925.</t>
    </r>
    <r>
      <rPr>
        <sz val="12"/>
        <color indexed="8"/>
        <rFont val="Times New Roman"/>
        <family val="1"/>
      </rPr>
      <t xml:space="preserve">   </t>
    </r>
    <r>
      <rPr>
        <b/>
        <sz val="12"/>
        <color indexed="8"/>
        <rFont val="Times New Roman"/>
        <family val="1"/>
      </rPr>
      <t>Budgets exempt from the state budget law.</t>
    </r>
    <r>
      <rPr>
        <sz val="12"/>
        <color indexed="8"/>
        <rFont val="Times New Roman"/>
        <family val="1"/>
      </rPr>
      <t xml:space="preserve">  The state budget law does not apply to townships in counties having the county road unit system which have an annual expenditure of less than $200, and to any money received as a gift or bequest.</t>
    </r>
  </si>
  <si>
    <r>
      <t xml:space="preserve">K.S.A. </t>
    </r>
    <r>
      <rPr>
        <b/>
        <sz val="12"/>
        <color indexed="8"/>
        <rFont val="Times New Roman"/>
        <family val="1"/>
      </rPr>
      <t>80-122.</t>
    </r>
    <r>
      <rPr>
        <sz val="12"/>
        <color indexed="8"/>
        <rFont val="Times New Roman"/>
        <family val="1"/>
      </rPr>
      <t xml:space="preserve">  </t>
    </r>
    <r>
      <rPr>
        <b/>
        <sz val="12"/>
        <color indexed="8"/>
        <rFont val="Times New Roman"/>
        <family val="1"/>
      </rPr>
      <t>Township equipment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equipment reserve fund to finance the acquisition of equipment and to budget and transfer each year to such fund up to 25% of the general fund.</t>
    </r>
  </si>
  <si>
    <r>
      <t xml:space="preserve">K.S.A. </t>
    </r>
    <r>
      <rPr>
        <b/>
        <sz val="12"/>
        <color indexed="8"/>
        <rFont val="Times New Roman"/>
        <family val="1"/>
      </rPr>
      <t>80-1558.</t>
    </r>
    <r>
      <rPr>
        <sz val="12"/>
        <color indexed="8"/>
        <rFont val="Times New Roman"/>
        <family val="1"/>
      </rPr>
      <t xml:space="preserve">  </t>
    </r>
    <r>
      <rPr>
        <b/>
        <sz val="12"/>
        <color indexed="8"/>
        <rFont val="Times New Roman"/>
        <family val="1"/>
      </rPr>
      <t>Township special fire protection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special fire protection reserve fund to finance the acquisition of fire-fighting equipment, land, and buildings, and to transfer each year to such fund up to 25% of the money credited to the fire fund.</t>
    </r>
  </si>
  <si>
    <t>11. Change each fund page taking out the 'Yes' and 'No' and replacing them with 'See Tab' for possible violation</t>
  </si>
  <si>
    <r>
      <t>K.S.A. 10-117a</t>
    </r>
    <r>
      <rPr>
        <sz val="12"/>
        <rFont val="Times New Roman"/>
        <family val="1"/>
      </rPr>
      <t xml:space="preserve">.  </t>
    </r>
    <r>
      <rPr>
        <b/>
        <sz val="12"/>
        <rFont val="Times New Roman"/>
        <family val="1"/>
      </rPr>
      <t>Transfer from debt service fund.</t>
    </r>
    <r>
      <rPr>
        <sz val="12"/>
        <rFont val="Times New Roman"/>
        <family val="1"/>
      </rPr>
      <t xml:space="preserve">  W</t>
    </r>
    <r>
      <rPr>
        <sz val="12"/>
        <color indexed="8"/>
        <rFont val="Times New Roman"/>
        <family val="1"/>
      </rPr>
      <t>henever all bond issues have been completely retired the governing body may transfer to the general fund the unexpended balance in the debt service fund.</t>
    </r>
  </si>
  <si>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Transfer to special ambulance or emergency medical service equipment fund.  </t>
    </r>
    <r>
      <rPr>
        <sz val="12"/>
        <color indexed="8"/>
        <rFont val="Times New Roman"/>
        <family val="1"/>
      </rPr>
      <t>May transfer annually any funds received from a tax levy specifically authorized to be made for ambulance or emergency medical service, to a special reserve fund for replacement of ambulance or emergency medical service equipment.</t>
    </r>
  </si>
  <si>
    <r>
      <t>K.S.A. 68-141g</t>
    </r>
    <r>
      <rPr>
        <sz val="12"/>
        <color indexed="8"/>
        <rFont val="Times New Roman"/>
        <family val="1"/>
      </rPr>
      <t>.</t>
    </r>
    <r>
      <rPr>
        <b/>
        <sz val="12"/>
        <color indexed="8"/>
        <rFont val="Times New Roman"/>
        <family val="1"/>
      </rPr>
      <t xml:space="preserve">  Transfer to special machinery or equipment fund.</t>
    </r>
    <r>
      <rPr>
        <sz val="12"/>
        <color indexed="8"/>
        <rFont val="Times New Roman"/>
        <family val="1"/>
      </rPr>
      <t xml:space="preserve">  Authorizes an annual transfer, not to exceed 25%, from the road, bridge or street fund to a special road, bridge or street building machinery, equipment and bridge building fund. </t>
    </r>
  </si>
  <si>
    <r>
      <t xml:space="preserve">K.S.A. 68-590. </t>
    </r>
    <r>
      <rPr>
        <b/>
        <sz val="12"/>
        <color indexed="8"/>
        <rFont val="Times New Roman"/>
        <family val="1"/>
      </rPr>
      <t xml:space="preserve"> Transfer to special highway improvement fund.</t>
    </r>
    <r>
      <rPr>
        <sz val="12"/>
        <color indexed="8"/>
        <rFont val="Times New Roman"/>
        <family val="1"/>
      </rPr>
      <t xml:space="preserve">  Authorizes the transfer each year from the fund or division thereof budgeted for roads, bridges, highways or streets an amount not to exceed 25% of such fund to a special highway improvement fund.</t>
    </r>
  </si>
  <si>
    <r>
      <t>K.S.A. 79-2958</t>
    </r>
    <r>
      <rPr>
        <sz val="12"/>
        <rFont val="Times New Roman"/>
        <family val="1"/>
      </rPr>
      <t xml:space="preserve">.  </t>
    </r>
    <r>
      <rPr>
        <b/>
        <sz val="12"/>
        <rFont val="Times New Roman"/>
        <family val="1"/>
      </rPr>
      <t>Transfer from closed tax levy fund.</t>
    </r>
    <r>
      <rPr>
        <sz val="12"/>
        <rFont val="Times New Roman"/>
        <family val="1"/>
      </rPr>
      <t xml:space="preserve">  </t>
    </r>
    <r>
      <rPr>
        <sz val="12"/>
        <color indexed="8"/>
        <rFont val="Times New Roman"/>
        <family val="1"/>
      </rPr>
      <t>Whenever there shall remain in any fund moneys received from the levy of a tax, after all obligations of such fund have been fully paid, the treasurer shall close out the fund and credit the excess to the general fund.  Should any back taxes for such levy afterwards be received by the taxing subdivision, it shall be credited to the fund for general purposes.</t>
    </r>
  </si>
  <si>
    <r>
      <t>K.S.A. 80-122</t>
    </r>
    <r>
      <rPr>
        <sz val="12"/>
        <rFont val="Times New Roman"/>
        <family val="1"/>
      </rPr>
      <t>.</t>
    </r>
    <r>
      <rPr>
        <b/>
        <sz val="12"/>
        <rFont val="Times New Roman"/>
        <family val="1"/>
      </rPr>
      <t xml:space="preserve">  Transfer from general fund to equipment reserve fund.</t>
    </r>
    <r>
      <rPr>
        <sz val="12"/>
        <rFont val="Times New Roman"/>
        <family val="1"/>
      </rPr>
      <t xml:space="preserve">  Authorizes and annual budgeted transfer of up to </t>
    </r>
    <r>
      <rPr>
        <sz val="12"/>
        <color indexed="8"/>
        <rFont val="Times New Roman"/>
        <family val="1"/>
      </rPr>
      <t>25% of the general fund to an equipment reserve fund to finance the acquisition of equipment</t>
    </r>
  </si>
  <si>
    <r>
      <t>K.S.A. 80-1406b</t>
    </r>
    <r>
      <rPr>
        <sz val="12"/>
        <rFont val="Times New Roman"/>
        <family val="1"/>
      </rPr>
      <t>.</t>
    </r>
    <r>
      <rPr>
        <b/>
        <sz val="12"/>
        <rFont val="Times New Roman"/>
        <family val="1"/>
      </rPr>
      <t xml:space="preserve">  Transfer from general fund.</t>
    </r>
    <r>
      <rPr>
        <sz val="12"/>
        <rFont val="Times New Roman"/>
        <family val="1"/>
      </rPr>
      <t xml:space="preserve">  </t>
    </r>
    <r>
      <rPr>
        <sz val="12"/>
        <color indexed="8"/>
        <rFont val="Times New Roman"/>
        <family val="1"/>
      </rPr>
      <t>The township board of any township which did not make a tax levy for the township general fund in the year next preceding and which has a surplus of moneys in the general fund may transfer all or any part of such surplus to any other fund.</t>
    </r>
  </si>
  <si>
    <r>
      <t>K.S.A. 80-1558</t>
    </r>
    <r>
      <rPr>
        <sz val="11"/>
        <rFont val="Times New Roman"/>
        <family val="1"/>
      </rPr>
      <t>.</t>
    </r>
    <r>
      <rPr>
        <b/>
        <sz val="11"/>
        <rFont val="Times New Roman"/>
        <family val="1"/>
      </rPr>
      <t xml:space="preserve">  Transfer to special fire protection reserve fund.</t>
    </r>
    <r>
      <rPr>
        <sz val="11"/>
        <rFont val="Times New Roman"/>
        <family val="1"/>
      </rPr>
      <t xml:space="preserve">  A</t>
    </r>
    <r>
      <rPr>
        <sz val="11"/>
        <color indexed="8"/>
        <rFont val="Times New Roman"/>
        <family val="1"/>
      </rPr>
      <t>uthorizes an annual transfer of up to 25% from the fire fund to a special fire protection reserve fund.</t>
    </r>
    <r>
      <rPr>
        <b/>
        <sz val="11"/>
        <color indexed="8"/>
        <rFont val="Times New Roman"/>
        <family val="1"/>
      </rPr>
      <t xml:space="preserve"> </t>
    </r>
  </si>
  <si>
    <t>12. NonBud tab changed the Net Valution to July 1</t>
  </si>
  <si>
    <t>Valuation Factor:</t>
  </si>
  <si>
    <t>Neighborhood Revitalization Subj to Rebate:</t>
  </si>
  <si>
    <t>Neighborhood Revitalization factor:</t>
  </si>
  <si>
    <t>13. Certificate tab moved the Assisted By: and added more lines for governing body signatures</t>
  </si>
  <si>
    <t>This tab will put the date and time and location of the budget hearing on the Budget Summary page.  Also, provide the location where as the budget can be reveiwed.  Please input information in the green areas.</t>
  </si>
  <si>
    <t>Date:</t>
  </si>
  <si>
    <t>Must be at least 10 days between date published and hearing held.</t>
  </si>
  <si>
    <t>Time:</t>
  </si>
  <si>
    <t>Location:</t>
  </si>
  <si>
    <t>Available at:</t>
  </si>
  <si>
    <t>Examples</t>
  </si>
  <si>
    <t>August 12, 2010</t>
  </si>
  <si>
    <t>7:00 PM or 7:00 AM</t>
  </si>
  <si>
    <t>John Boy's residence 2310 S Highway, Ike City</t>
  </si>
  <si>
    <t>Shawnee County Clerk's Office</t>
  </si>
  <si>
    <t>answering objections of taxpayers relating to the proposed use of all funds and the amount of ad valorem tax.</t>
  </si>
  <si>
    <t>The following were changed to this spreadsheet on 12/08/09</t>
  </si>
  <si>
    <t>1. Instruction tab, added step 3 for 'inputBudSum'</t>
  </si>
  <si>
    <t>2. Added tab 'inputBudSum'</t>
  </si>
  <si>
    <t>3. Changed Budget Summary replacing the green areas for date/time/location so info comes from inputBudSum tab</t>
  </si>
  <si>
    <t>4. Bud Summary delete a space and combine sentences 'Detail…' and 'and will' for where budget infor located at</t>
  </si>
  <si>
    <t>Possible Budget Law Violation</t>
  </si>
  <si>
    <t xml:space="preserve">Welcome.  You have been directed to this tab because your </t>
  </si>
  <si>
    <t>In short, you are looking at a potential budget law violation.</t>
  </si>
  <si>
    <t>However, the good news is that you may have options available</t>
  </si>
  <si>
    <t>that will allow you to avoid a budget law violation.</t>
  </si>
  <si>
    <t>Can the potential violation be corrected at this time?</t>
  </si>
  <si>
    <r>
      <t xml:space="preserve">If the municipality financial records have </t>
    </r>
    <r>
      <rPr>
        <b/>
        <u/>
        <sz val="12"/>
        <rFont val="Courier"/>
        <family val="3"/>
      </rPr>
      <t>not been</t>
    </r>
    <r>
      <rPr>
        <sz val="12"/>
        <rFont val="Courier"/>
        <family val="3"/>
      </rPr>
      <t xml:space="preserve"> closed</t>
    </r>
  </si>
  <si>
    <t xml:space="preserve">budget has not been submitted to the county clerk) then the </t>
  </si>
  <si>
    <t xml:space="preserve">budget law violation can be fixed before submission of the </t>
  </si>
  <si>
    <t>budget to the county clerk.</t>
  </si>
  <si>
    <t>What should I do?</t>
  </si>
  <si>
    <t xml:space="preserve">First, review the input page information (inputPrYr tab) </t>
  </si>
  <si>
    <t>to ensure that the correct amount was entered for this</t>
  </si>
  <si>
    <t>use the amended, higher budget amount?</t>
  </si>
  <si>
    <t xml:space="preserve">reduced or eliminated.  For example, are you showing any </t>
  </si>
  <si>
    <t>transfers from this fund to another?  If so, consider whether</t>
  </si>
  <si>
    <t>you can reduce or eliminate one or more transfers.</t>
  </si>
  <si>
    <t>(e.g. FEMA)?  If so, instead of showing the reimbursement as a</t>
  </si>
  <si>
    <r>
      <t xml:space="preserve">receipt, show the reimbursement as a negative </t>
    </r>
    <r>
      <rPr>
        <i/>
        <sz val="12"/>
        <rFont val="Courier"/>
        <family val="3"/>
      </rPr>
      <t>expenditure</t>
    </r>
    <r>
      <rPr>
        <sz val="12"/>
        <rFont val="Courier"/>
        <family val="3"/>
      </rPr>
      <t>.</t>
    </r>
  </si>
  <si>
    <t>Another option is to consider whether your fund shares</t>
  </si>
  <si>
    <t>expenditures with another fund.  For example, your road</t>
  </si>
  <si>
    <t>and noxious weed funds may split salaries between the two funds.  If</t>
  </si>
  <si>
    <t>one of those funds is in trouble, you might be able to allocate</t>
  </si>
  <si>
    <t>a little more in salaries to the healthy fund in order to</t>
  </si>
  <si>
    <t>eliminate the violation (be sure, though, that the</t>
  </si>
  <si>
    <t>healthy fund has sufficient budget authority and cash</t>
  </si>
  <si>
    <t>available).</t>
  </si>
  <si>
    <t>The shifting of expenditures between funds, as described in</t>
  </si>
  <si>
    <t>the preceding paragraph, can be accomplished between any funds</t>
  </si>
  <si>
    <t>that share expenses.</t>
  </si>
  <si>
    <t>Finally, if your general fund is healthy - it has enough budget</t>
  </si>
  <si>
    <t>authority and cash - then it might be used to cover the excess</t>
  </si>
  <si>
    <t>expenditures. (AGO No. 85-181)</t>
  </si>
  <si>
    <t>Is amending the budget an option?</t>
  </si>
  <si>
    <t xml:space="preserve">Amending the budget is a timing issue.  In order to amend the </t>
  </si>
  <si>
    <t>budget, you must have the complete amending process completed</t>
  </si>
  <si>
    <t xml:space="preserve">before the end of the calandar year.  If you start at the </t>
  </si>
  <si>
    <t xml:space="preserve">beginning of December, then you should have enough time to </t>
  </si>
  <si>
    <t xml:space="preserve">amend the budget.  But, if started during the middle of </t>
  </si>
  <si>
    <t>December, then you might not have enough time to complete</t>
  </si>
  <si>
    <t xml:space="preserve">the amending process.  Remember the complete processing must </t>
  </si>
  <si>
    <t xml:space="preserve">be completed on or before the end of December and you must have </t>
  </si>
  <si>
    <t xml:space="preserve">at least 10 days between when published in local newspaper and </t>
  </si>
  <si>
    <t xml:space="preserve">when the budget hearing is held. So, if your local newspaper only </t>
  </si>
  <si>
    <t xml:space="preserve">publishes once a week or bi-weekly, then there might not be </t>
  </si>
  <si>
    <t xml:space="preserve">time enough to have the 10 day requirement between publication </t>
  </si>
  <si>
    <t>and the hearing.</t>
  </si>
  <si>
    <t>Amending the budget can be done at any time during the budgeted</t>
  </si>
  <si>
    <t xml:space="preserve">year.  But, amending the budget should take place before the </t>
  </si>
  <si>
    <t>expenditures exceed the budget authority.</t>
  </si>
  <si>
    <t xml:space="preserve">Well, if the municipality financial records have been closed </t>
  </si>
  <si>
    <t>adopted budget has been submitted to the county clerk), then</t>
  </si>
  <si>
    <t xml:space="preserve">the violation cannot be fixed and must be shown as it occurred. </t>
  </si>
  <si>
    <t xml:space="preserve">No punitive action will be taken as a result of the </t>
  </si>
  <si>
    <t>violation, but you should determine what caused the violation</t>
  </si>
  <si>
    <t>and take steps to avoid future violations of this nature.</t>
  </si>
  <si>
    <t>Thank you.</t>
  </si>
  <si>
    <t>Possible Cash Basis Law Violation</t>
  </si>
  <si>
    <t>Welcome.  You have been directed to this tab because your</t>
  </si>
  <si>
    <t>negative unencumbered cash balance in this fund.</t>
  </si>
  <si>
    <t xml:space="preserve">However, the good news is that you may have one or more </t>
  </si>
  <si>
    <t>options available that will allow you to avoid a cash basis</t>
  </si>
  <si>
    <t>law violation.</t>
  </si>
  <si>
    <t xml:space="preserve">Is this a violation?  </t>
  </si>
  <si>
    <t>Hopefully not.  The first thing that you might do is</t>
  </si>
  <si>
    <t>to review K.S.A. 10-1116 to see if your fund might be one of</t>
  </si>
  <si>
    <t xml:space="preserve">those for which a negative cash balance is permitted. </t>
  </si>
  <si>
    <t>What if K.S.A. 10-1116 applies?</t>
  </si>
  <si>
    <t xml:space="preserve">If the fund falls into one of the categories, then a cash  </t>
  </si>
  <si>
    <t>basis law violation has not occurred. Please annotate to the</t>
  </si>
  <si>
    <r>
      <t>left of the 'See Tab B' as follows:  "</t>
    </r>
    <r>
      <rPr>
        <i/>
        <u/>
        <sz val="12"/>
        <rFont val="Courier"/>
        <family val="3"/>
      </rPr>
      <t>10-1116 applies.</t>
    </r>
    <r>
      <rPr>
        <sz val="12"/>
        <rFont val="Courier"/>
        <family val="3"/>
      </rPr>
      <t>"</t>
    </r>
  </si>
  <si>
    <t>What if K.S.A. 10-1116 does not apply?</t>
  </si>
  <si>
    <t xml:space="preserve">If the fund does not fall into one of the categories, then </t>
  </si>
  <si>
    <t xml:space="preserve">let's explore your options, below, to see if we can help you </t>
  </si>
  <si>
    <t>avoid a cash basis law violation.</t>
  </si>
  <si>
    <t>Options</t>
  </si>
  <si>
    <t xml:space="preserve">budget has not been submitted to the county clerk) then </t>
  </si>
  <si>
    <t xml:space="preserve">either your fund receipts will need to be increased </t>
  </si>
  <si>
    <t>(transfer from another fund) or your expenditures will</t>
  </si>
  <si>
    <t>need to be decreased (shifting of expenditures to another</t>
  </si>
  <si>
    <t>fund), or a combination of the two.</t>
  </si>
  <si>
    <t>Increasing your receipts through one or more transfers</t>
  </si>
  <si>
    <t>is contingent upon the available cash, budget authority,</t>
  </si>
  <si>
    <t>and statutory authority for the transfer from the fund or</t>
  </si>
  <si>
    <t>funds from which one or more transfers might be made.</t>
  </si>
  <si>
    <t xml:space="preserve">Another option for you to consider is the shifting of </t>
  </si>
  <si>
    <t xml:space="preserve">expenditures from this fund to another fund.  Again, the </t>
  </si>
  <si>
    <t>fund to which expenditures are shifted must have available</t>
  </si>
  <si>
    <t>cash and budget authority in order to absorb the additional</t>
  </si>
  <si>
    <t xml:space="preserve">expenditures.  </t>
  </si>
  <si>
    <t>What if K.S.A. 10-1116 does not apply, and no options</t>
  </si>
  <si>
    <t>are available to me?</t>
  </si>
  <si>
    <t xml:space="preserve">Unfortunately, under this scenario you are pretty much stuck </t>
  </si>
  <si>
    <t>with a cash basis law violation.  However, you can accept</t>
  </si>
  <si>
    <t>the violation as a learning tool to help you prevent violations</t>
  </si>
  <si>
    <t>in the future.</t>
  </si>
  <si>
    <t>Regular reviews of current year budget performance, especially</t>
  </si>
  <si>
    <t>from the end of the third quarter on, might allow you to determine</t>
  </si>
  <si>
    <t>in a timely fashion whether an increase in revenue or a decrease</t>
  </si>
  <si>
    <t>in expenditures is going to be needed before the end of the fiscal</t>
  </si>
  <si>
    <t>year in order to ensure that a fund finishes the year in good</t>
  </si>
  <si>
    <t>shape.</t>
  </si>
  <si>
    <t>In addition to the options discussed above, during the later</t>
  </si>
  <si>
    <t>part of the year if a utility fund or the general fund has</t>
  </si>
  <si>
    <t>the cash, but not the budget authority, amending the budget</t>
  </si>
  <si>
    <t xml:space="preserve">might be done in order to increase budget authority so that </t>
  </si>
  <si>
    <t>a transfer can then be made to the struggling fund or, in</t>
  </si>
  <si>
    <t>the case of the general fund, there can be a shifting of</t>
  </si>
  <si>
    <t>expenditures from the struggling fund to the general fund.</t>
  </si>
  <si>
    <t>If, in the future, you choose to amend the budget as described</t>
  </si>
  <si>
    <t>in the paragraph above, please remember that the amendment</t>
  </si>
  <si>
    <t>must occur before the end of the fiscal year.</t>
  </si>
  <si>
    <t>Current Year - Possible Budget Law Violation</t>
  </si>
  <si>
    <t>budget authority.'</t>
  </si>
  <si>
    <t>In short, you are looking at a potential budget law violation</t>
  </si>
  <si>
    <t>if you truly end up the year as your current estimates</t>
  </si>
  <si>
    <t xml:space="preserve">reflect.  The good news is that you have an early </t>
  </si>
  <si>
    <t>indication of possible issues which can be addressed</t>
  </si>
  <si>
    <t>sooner rather than later.</t>
  </si>
  <si>
    <t xml:space="preserve">Should the potential for a violation be corrected at </t>
  </si>
  <si>
    <t xml:space="preserve">this time? </t>
  </si>
  <si>
    <t xml:space="preserve">Naturally, our preference would be that you consider </t>
  </si>
  <si>
    <t>ensure that your expenditures do not, at year-end, exceed your</t>
  </si>
  <si>
    <t>budget authority for this fund.</t>
  </si>
  <si>
    <t>What should I do at this time?</t>
  </si>
  <si>
    <t>Well, the easiest thing to do at this time is to increase</t>
  </si>
  <si>
    <t>any underestimated revenue numbers, or decrease</t>
  </si>
  <si>
    <t>any overestimated expenditure numbers, or a combination</t>
  </si>
  <si>
    <t>of the two.</t>
  </si>
  <si>
    <t>What if I check my estimates and find that we're still</t>
  </si>
  <si>
    <t>on pace for a budget law violation?</t>
  </si>
  <si>
    <t xml:space="preserve">be reduced or eliminated.  For example, are you showing any </t>
  </si>
  <si>
    <t>one of those funds is in trouble you might be able to allocate</t>
  </si>
  <si>
    <t>eliminate the potential violation (be sure, though, that</t>
  </si>
  <si>
    <t>the healthy fund has sufficient budget authority and cash</t>
  </si>
  <si>
    <t>A sometimes overlooked option is to use your general</t>
  </si>
  <si>
    <t>fund to cover the excess expenditures, assuming that the</t>
  </si>
  <si>
    <t>general fund is not the one that's in trouble and that it</t>
  </si>
  <si>
    <t>has the budget authority and cash to absorb additional</t>
  </si>
  <si>
    <t>expenditures.</t>
  </si>
  <si>
    <t>Finally, If none of the above options can be applied and the</t>
  </si>
  <si>
    <t>fund has an unencumbered cash balance which will cover</t>
  </si>
  <si>
    <t>the estimated overage, the budget can be amended before</t>
  </si>
  <si>
    <t>the end of the fiscal year.  Remember, though, that</t>
  </si>
  <si>
    <t xml:space="preserve">the amendment process must occur before the end of the </t>
  </si>
  <si>
    <t>fiscal year.</t>
  </si>
  <si>
    <t>If the fund does not have enough ending cash so that an</t>
  </si>
  <si>
    <t>amendment will cover the expected overage, but another fund</t>
  </si>
  <si>
    <t>does have enough unemcumbered cash (along with budget</t>
  </si>
  <si>
    <t xml:space="preserve">authority and statutory authority to transfer to the </t>
  </si>
  <si>
    <t>fund with the potential budget law violation), go ahead</t>
  </si>
  <si>
    <t>and make the transfer and then amend the budget.</t>
  </si>
  <si>
    <t>Current Year - Possible Cash Basis Law Violation</t>
  </si>
  <si>
    <t>you will have a negative unencumbered cash balance in this</t>
  </si>
  <si>
    <t>fund.</t>
  </si>
  <si>
    <t>Should this be fixed?</t>
  </si>
  <si>
    <t>Yes, by all means.  You really don't want to end this year</t>
  </si>
  <si>
    <t>with a negative cash balance in the fund.  At a minimum</t>
  </si>
  <si>
    <t>you will want your ending cash balance to be $0.</t>
  </si>
  <si>
    <t>Now, it is possible that this is one of those funds which</t>
  </si>
  <si>
    <t>may, under K.S.A. 10-1116, end the year with a negative cash</t>
  </si>
  <si>
    <t>balance, but otherwise you will want to make sure that it</t>
  </si>
  <si>
    <t>does not.</t>
  </si>
  <si>
    <t xml:space="preserve">Either your fund receipts will need to be increased before </t>
  </si>
  <si>
    <t>the end of the year (transfer from another fund) or your</t>
  </si>
  <si>
    <t>expenditures will need to be decreased before the end of the</t>
  </si>
  <si>
    <t>year (shifting of expenditures to another fund), or a</t>
  </si>
  <si>
    <t>combination of the two.</t>
  </si>
  <si>
    <t xml:space="preserve">On the revenue side of the fund you might increase your </t>
  </si>
  <si>
    <t>receipts through one or more transfers, contingent upon</t>
  </si>
  <si>
    <t xml:space="preserve">available cash, budget authority, and statutory authority for </t>
  </si>
  <si>
    <t>the transfer from the fund or funds from which one or</t>
  </si>
  <si>
    <t>more transfers might be made.</t>
  </si>
  <si>
    <t>Proposed Budget Year - Possible Budget Law Violation</t>
  </si>
  <si>
    <t>No Levy Funds</t>
  </si>
  <si>
    <t>Unemcumbered cash balance Dec 31.'</t>
  </si>
  <si>
    <t>In short, you are looking at a budget law violation if you</t>
  </si>
  <si>
    <t>adopt a budget in which there exists a fund with a negative</t>
  </si>
  <si>
    <t>ending cash balance.</t>
  </si>
  <si>
    <t>Should this be fixed before we adopt the budget?</t>
  </si>
  <si>
    <t xml:space="preserve">Yes.  The budget law mandates that fund expenditures </t>
  </si>
  <si>
    <t>shall balance with anticipated revenue.  A fund ending</t>
  </si>
  <si>
    <t>cash balance should end either in $0 or a positive cash</t>
  </si>
  <si>
    <t>balance.</t>
  </si>
  <si>
    <t>How do I fix the violation?</t>
  </si>
  <si>
    <t xml:space="preserve">The negative cash balance can be remedied by increasing </t>
  </si>
  <si>
    <t xml:space="preserve">the anticipated receipts or by reducing the proposed </t>
  </si>
  <si>
    <t>expenditures, or a combination of the two.</t>
  </si>
  <si>
    <t>Is there a benefit to having a positive cash balance?</t>
  </si>
  <si>
    <t xml:space="preserve">If the municipality governing body chooses to adopt a </t>
  </si>
  <si>
    <t xml:space="preserve">budget whereby the no levy fund has a positive ending </t>
  </si>
  <si>
    <t>balance, that's okay.  But, we recommend that the fund</t>
  </si>
  <si>
    <t>be budgeted to end with a $0 balance.</t>
  </si>
  <si>
    <t>Why?  Well, remember that no levy funds do not result in a</t>
  </si>
  <si>
    <t>levy of property tax dollars.  So, there is no impact to the</t>
  </si>
  <si>
    <t>property taxpayer from a budget which utilizes all anticipated</t>
  </si>
  <si>
    <t>revenue in the upcoming year.</t>
  </si>
  <si>
    <t>The advantage to the municipality of budgeting the no levy fund</t>
  </si>
  <si>
    <t>to end the budget year with a $0 balance is that it provides</t>
  </si>
  <si>
    <t>the municipality with maximum spending authority.  In</t>
  </si>
  <si>
    <t>the event the municipality is faced with unanticipated</t>
  </si>
  <si>
    <t>spending during the budget year it will not need to amend</t>
  </si>
  <si>
    <t>its budget to do so.</t>
  </si>
  <si>
    <t>Of course, by budgeting to $0 the municipality does not have</t>
  </si>
  <si>
    <t xml:space="preserve">to spend down to $0, but the authority to do so </t>
  </si>
  <si>
    <t>without a budget amendment is there in the event that a need</t>
  </si>
  <si>
    <t>to do so should arise.</t>
  </si>
  <si>
    <t>3. The input tab 'inputBudSum' is used to put the date, time, and location for the budget hearing. Also, provides for the location to whereas the budget information can be review at. The tab has green areas to input the information which is link to the Budget Summary page.</t>
  </si>
  <si>
    <r>
      <t xml:space="preserve">3a. </t>
    </r>
    <r>
      <rPr>
        <b/>
        <sz val="12"/>
        <rFont val="Times New Roman"/>
        <family val="1"/>
      </rPr>
      <t>Note:</t>
    </r>
    <r>
      <rPr>
        <sz val="12"/>
        <rFont val="Times New Roman"/>
        <family val="1"/>
      </rPr>
      <t xml:space="preserve"> There must be at least 10 days between when the Notice of Budget Hearing is printed and when the hearing is to be held. To be in </t>
    </r>
    <r>
      <rPr>
        <u/>
        <sz val="12"/>
        <rFont val="Times New Roman"/>
        <family val="1"/>
      </rPr>
      <t>compliance</t>
    </r>
    <r>
      <rPr>
        <sz val="12"/>
        <rFont val="Times New Roman"/>
        <family val="1"/>
      </rPr>
      <t xml:space="preserve"> with K.S.A. 79-2929, it's </t>
    </r>
    <r>
      <rPr>
        <b/>
        <sz val="12"/>
        <rFont val="Times New Roman"/>
        <family val="1"/>
      </rPr>
      <t>critical</t>
    </r>
    <r>
      <rPr>
        <sz val="12"/>
        <rFont val="Times New Roman"/>
        <family val="1"/>
      </rPr>
      <t xml:space="preserve"> to have at least 10 days between publication and hearing, but also to provide the date, time, and location of the hearing.</t>
    </r>
  </si>
  <si>
    <t xml:space="preserve">4. The information contained on the Certificate Page (cert) is the result of links from the fund and input pages .  If there is incorrect information on the Certificate Page, do not correct the Certification Page, but rather correct the fund or input page that links the information to the Certificate Page.  If you can not correct the error, please call us for assistance. </t>
  </si>
  <si>
    <t>4a. The Certificate page has a statement 'Is a Resolution required?' which will either show 'Yes' or 'No'. This statement compares the Certificate total Ad Valorem Tax to Computation to Determine Limit line 14. If a 'Yes' appears then a resolution is required to be completed and attached to the budget. No action is required if a 'No' appears.</t>
  </si>
  <si>
    <t xml:space="preserve">4b.  If someone other than a municipal employee assists in preparing the budget, please enter the person's or firm's name and address in the area provided. </t>
  </si>
  <si>
    <t>5. The majority of information on the Computation to Determine Limit Page (computation) comes from data on the Input Pages (inputpryr and inputOth) and Debt Service Page (DebtService). If there is incorrect information on the Computation Page, please correct the source of the information from either the Input Page or Debt Service Page. If you can not correct the error, please call us for assistance.</t>
  </si>
  <si>
    <t>5a. The information for Computation to Determine Limit page (computationSpecial) comes from data on the input pages (inputpryr and inputoth). If a error is found, please correct the information from the input pages.</t>
  </si>
  <si>
    <t>5b. Print the Resolution page (resolution) if the max levy is exceeded.  Complete the printed resolution and ensure to attached it the budget.</t>
  </si>
  <si>
    <r>
      <t xml:space="preserve">6.  Motor Vehicle Allocation and Slider (mvalloc) are completed from information entered on the input pages (inputpryr and inputoth).  Once calculated, the tables information is linked to the applicable fund pages. If the information is not correct, please </t>
    </r>
    <r>
      <rPr>
        <b/>
        <sz val="12"/>
        <rFont val="Times New Roman"/>
        <family val="1"/>
      </rPr>
      <t>do not change the tables</t>
    </r>
    <r>
      <rPr>
        <sz val="12"/>
        <rFont val="Times New Roman"/>
        <family val="1"/>
      </rPr>
      <t>, but rather correct the information on the input pages.</t>
    </r>
  </si>
  <si>
    <t>7. The Schedule of Transfers (transfer) is completed from the individual completed fund pages. Be sure to provide the statute that authorizes the transfer.</t>
  </si>
  <si>
    <r>
      <t xml:space="preserve">8.  Statement of Indebtedness (debt) must show all the debt owed or proposed to be issued.  The general obligation and other bond totals for budget year is linked to the Budget Summary and prior years are linked by the input page (inputpryr). </t>
    </r>
    <r>
      <rPr>
        <b/>
        <sz val="12"/>
        <rFont val="Times New Roman"/>
        <family val="1"/>
      </rPr>
      <t>If the township does not have any debt, then on the first line enter 'none'.</t>
    </r>
  </si>
  <si>
    <r>
      <t xml:space="preserve">9.  Statement of Conditional Lease, Lease-Purchases and Certificate of Participation (debt) must be completed for all transactions which will be owned by the township at the end of lease period.  Principal Balance Due for the actual year is linked to the Budget Summary page and prior year linked by the input page (inputpryr). </t>
    </r>
    <r>
      <rPr>
        <b/>
        <sz val="12"/>
        <rFont val="Times New Roman"/>
        <family val="1"/>
      </rPr>
      <t>If the township does not have any leases, then on the first line enter 'none'.</t>
    </r>
  </si>
  <si>
    <t>10.  The spreadsheet has individual fund sheets for General Fund (general), Debt Service (DebtService), Road (road),  8 levy pages (levy page9 to levy page12), and 4 no levy fund pages (nolevypage12 to nolevypage13),   Only complete the fund pages needed.  When the fund pages are completed, the totals will be shown on the Certificate and Budget Summary pages.</t>
  </si>
  <si>
    <r>
      <t xml:space="preserve">10a. Each tax levy fund will have an expenditure for the neighborhood revitalization.  You will only need to input the rebate amounts for the </t>
    </r>
    <r>
      <rPr>
        <b/>
        <u/>
        <sz val="12"/>
        <rFont val="Times New Roman"/>
        <family val="1"/>
      </rPr>
      <t>actual and current year</t>
    </r>
    <r>
      <rPr>
        <sz val="12"/>
        <rFont val="Times New Roman"/>
        <family val="1"/>
      </rPr>
      <t xml:space="preserve">.  The proposed budget year amount will be computed for you. Please see step 10 for instructions for the neighborhood revitalization rebate for the proposed budget year. </t>
    </r>
  </si>
  <si>
    <r>
      <t xml:space="preserve">10b. Each fund page has a 'Miscellaneous' receipt and expenditure line item.  Once an amount has been entered into the block for actual/current/proposed columns, the amount will be compared with either total expenditures or total receipts to determine if it exceeds the 10% Rule for K.S.A. 79-2927.  If the amount </t>
    </r>
    <r>
      <rPr>
        <b/>
        <u/>
        <sz val="12"/>
        <rFont val="Times New Roman"/>
        <family val="1"/>
      </rPr>
      <t>exceeds</t>
    </r>
    <r>
      <rPr>
        <sz val="12"/>
        <rFont val="Times New Roman"/>
        <family val="1"/>
      </rPr>
      <t xml:space="preserve"> the 10% Rule, the block will turn red, the amount bolded, and a red statement will appear '</t>
    </r>
    <r>
      <rPr>
        <sz val="12"/>
        <color indexed="10"/>
        <rFont val="Times New Roman"/>
        <family val="1"/>
      </rPr>
      <t>Exceed 10% Rule</t>
    </r>
    <r>
      <rPr>
        <sz val="12"/>
        <rFont val="Times New Roman"/>
        <family val="1"/>
      </rPr>
      <t xml:space="preserve">'.  In order to remove the statement and return the block to normal, you must reduce the amount to either 10% or less. </t>
    </r>
    <r>
      <rPr>
        <b/>
        <sz val="12"/>
        <rFont val="Times New Roman"/>
        <family val="1"/>
      </rPr>
      <t>Note:</t>
    </r>
    <r>
      <rPr>
        <sz val="12"/>
        <rFont val="Times New Roman"/>
        <family val="1"/>
      </rPr>
      <t xml:space="preserve"> the proposed column miscellaneous receipt also takes into consideration the amount of ad valorem taxes in determining the 10% Rule.</t>
    </r>
  </si>
  <si>
    <t>10c. The Debt Service fund page (DebtService) can contain all debts owe by the township and the amounts should agree with the Statement of Indebtedness amounts.  Debts that are not from a tax levy fund should have enough funds transferred into the Debt Service fund to cover the bond principle and interest for these debts.</t>
  </si>
  <si>
    <r>
      <t xml:space="preserve">10d.  All levy fund pages have a Non-Appropriated Balance block. K.S.A. 79-2927 allows the township to enter an amount </t>
    </r>
    <r>
      <rPr>
        <b/>
        <u/>
        <sz val="12"/>
        <rFont val="Times New Roman"/>
        <family val="1"/>
      </rPr>
      <t>not to exceed 5%</t>
    </r>
    <r>
      <rPr>
        <sz val="12"/>
        <rFont val="Times New Roman"/>
        <family val="1"/>
      </rPr>
      <t xml:space="preserve"> of the total expenditures for each fund. The Non-Appropriated Balance block is not mandatory to have an amount entered.  If the amount entered in the block exceeds the 5%, a warning "</t>
    </r>
    <r>
      <rPr>
        <sz val="12"/>
        <color indexed="10"/>
        <rFont val="Times New Roman"/>
        <family val="1"/>
      </rPr>
      <t>Exceeds 5%</t>
    </r>
    <r>
      <rPr>
        <sz val="12"/>
        <rFont val="Times New Roman"/>
        <family val="1"/>
      </rPr>
      <t xml:space="preserve">" will appear.  In order to remove this warning message, you </t>
    </r>
    <r>
      <rPr>
        <u/>
        <sz val="12"/>
        <rFont val="Times New Roman"/>
        <family val="1"/>
      </rPr>
      <t>must reduce</t>
    </r>
    <r>
      <rPr>
        <sz val="12"/>
        <rFont val="Times New Roman"/>
        <family val="1"/>
      </rPr>
      <t xml:space="preserve"> the non-appropriate figure.</t>
    </r>
  </si>
  <si>
    <r>
      <t>10e. Each fund after the "unencumbered cash bal dec31", will show the budget authority expenditure amount.  A comparison is made between the budget authority for the actual year and the actual total expenditures for the actual year as shown in the budget. If the total expenditures exceed the budget authority amount, then a "</t>
    </r>
    <r>
      <rPr>
        <b/>
        <sz val="12"/>
        <color indexed="10"/>
        <rFont val="Times New Roman"/>
        <family val="1"/>
      </rPr>
      <t>See Tab A</t>
    </r>
    <r>
      <rPr>
        <sz val="12"/>
        <rFont val="Times New Roman"/>
        <family val="1"/>
      </rPr>
      <t>" appears to indicate a possible violation.  Another comparison is made for the unencumbered cash balance dec 31 to determine if the fund ended with a negative cash balance and if so, then a "</t>
    </r>
    <r>
      <rPr>
        <b/>
        <sz val="12"/>
        <color indexed="10"/>
        <rFont val="Times New Roman"/>
        <family val="1"/>
      </rPr>
      <t>See Tab B</t>
    </r>
    <r>
      <rPr>
        <sz val="12"/>
        <rFont val="Times New Roman"/>
        <family val="1"/>
      </rPr>
      <t xml:space="preserve">" will appear for the possible violation.  </t>
    </r>
  </si>
  <si>
    <r>
      <t>10f. A comparison is made between the budget authority for the current year and total expenditures for the current budget expenditures as shown in the budget. If the current year adjusted expenditures are more than the budget authority, then a possible violation has occurred and red '</t>
    </r>
    <r>
      <rPr>
        <b/>
        <sz val="12"/>
        <color indexed="10"/>
        <rFont val="Times New Roman"/>
        <family val="1"/>
      </rPr>
      <t>See Tab C</t>
    </r>
    <r>
      <rPr>
        <sz val="12"/>
        <rFont val="Times New Roman"/>
        <family val="1"/>
      </rPr>
      <t>' will appear and expenditure block turns red. Another comparison is made for the unencumbered cash balance dec 31 to determine if the fund ended with a negative cash balance and if so, then a "</t>
    </r>
    <r>
      <rPr>
        <b/>
        <sz val="12"/>
        <color indexed="10"/>
        <rFont val="Times New Roman"/>
        <family val="1"/>
      </rPr>
      <t>See Tab D</t>
    </r>
    <r>
      <rPr>
        <sz val="12"/>
        <rFont val="Times New Roman"/>
        <family val="1"/>
      </rPr>
      <t xml:space="preserve">" will appear for the possible violation.  </t>
    </r>
  </si>
  <si>
    <r>
      <t>10g. All no-tax levy fund pages for the proposed budget year will have an edit on the unencumbered cash balance. If the cash balance is negative, then the block turns red and statement '</t>
    </r>
    <r>
      <rPr>
        <sz val="12"/>
        <color indexed="10"/>
        <rFont val="Times New Roman"/>
        <family val="1"/>
      </rPr>
      <t>See Tab E</t>
    </r>
    <r>
      <rPr>
        <sz val="12"/>
        <rFont val="Times New Roman"/>
        <family val="1"/>
      </rPr>
      <t xml:space="preserve">' will appear. </t>
    </r>
  </si>
  <si>
    <r>
      <t>10h. If a transfer from the Road fund to Special Machinery is made in the actual year, the transfer has been link to the Special Machinery fund. If the transfer exceeds 25% of Resources Available, then a red error message will appear (</t>
    </r>
    <r>
      <rPr>
        <sz val="12"/>
        <color indexed="10"/>
        <rFont val="Times New Roman"/>
        <family val="1"/>
      </rPr>
      <t>Exceeds 25%</t>
    </r>
    <r>
      <rPr>
        <sz val="12"/>
        <rFont val="Times New Roman"/>
        <family val="1"/>
      </rPr>
      <t xml:space="preserve">) and the block turns </t>
    </r>
    <r>
      <rPr>
        <sz val="12"/>
        <color indexed="10"/>
        <rFont val="Times New Roman"/>
        <family val="1"/>
      </rPr>
      <t>red</t>
    </r>
    <r>
      <rPr>
        <sz val="12"/>
        <rFont val="Times New Roman"/>
        <family val="1"/>
      </rPr>
      <t xml:space="preserve">.  To remove the error message, you </t>
    </r>
    <r>
      <rPr>
        <u/>
        <sz val="12"/>
        <rFont val="Times New Roman"/>
        <family val="1"/>
      </rPr>
      <t>should reduce</t>
    </r>
    <r>
      <rPr>
        <sz val="12"/>
        <rFont val="Times New Roman"/>
        <family val="1"/>
      </rPr>
      <t xml:space="preserve"> the amount of the transfer for both Road and Special Machinery. If the transfer money </t>
    </r>
    <r>
      <rPr>
        <b/>
        <u/>
        <sz val="12"/>
        <rFont val="Times New Roman"/>
        <family val="1"/>
      </rPr>
      <t xml:space="preserve">has not been spent </t>
    </r>
    <r>
      <rPr>
        <sz val="12"/>
        <rFont val="Times New Roman"/>
        <family val="1"/>
      </rPr>
      <t xml:space="preserve">in the Special Machinery fund, then you can fix the transfer to bring within the limitation. But, if the transfer money </t>
    </r>
    <r>
      <rPr>
        <b/>
        <u/>
        <sz val="12"/>
        <rFont val="Times New Roman"/>
        <family val="1"/>
      </rPr>
      <t>has been spent</t>
    </r>
    <r>
      <rPr>
        <sz val="12"/>
        <rFont val="Times New Roman"/>
        <family val="1"/>
      </rPr>
      <t>, then no action can be taken to fix the violation. In addition, the transfer is linked to the Schedule of Transfers.</t>
    </r>
  </si>
  <si>
    <r>
      <t>10i. If a transfer from the Road fund to Special Machinery is made for the current and proposed budgeted years, the transfers has been link to the Special Machinery and Schedule of Transfers. If the transfer exceeds 25% of Resources Available, then a red error message will appear (</t>
    </r>
    <r>
      <rPr>
        <sz val="12"/>
        <color indexed="10"/>
        <rFont val="Times New Roman"/>
        <family val="1"/>
      </rPr>
      <t>Exceeds 25%</t>
    </r>
    <r>
      <rPr>
        <sz val="12"/>
        <rFont val="Times New Roman"/>
        <family val="1"/>
      </rPr>
      <t xml:space="preserve">) and the block turns red.  To remove the error message, you should reduce the amount of the transfer for both Road and Special Machinery.  </t>
    </r>
  </si>
  <si>
    <r>
      <t xml:space="preserve">10j. The General Fund has two line expenditures for transfers to the Special Machinery Fund. The transfers are labeled, 'Transfer to Spec. Mach.(No Levy), for explanation see item 9j and 'Transfer to Spec. Mach.(Gen has Levy), for explanation see item 9k. </t>
    </r>
    <r>
      <rPr>
        <b/>
        <u/>
        <sz val="12"/>
        <rFont val="Times New Roman"/>
        <family val="1"/>
      </rPr>
      <t>Note:</t>
    </r>
    <r>
      <rPr>
        <sz val="12"/>
        <rFont val="Times New Roman"/>
        <family val="1"/>
      </rPr>
      <t xml:space="preserve"> If a transfer is made from the General Fund to Special Machinery, only one transfer is allowed, you must chose the expenditure based upon the General Fund situation. You are not required to make a transfer.</t>
    </r>
  </si>
  <si>
    <r>
      <t xml:space="preserve">10k. When the General Fund has ad valorem taxes for the actual, current, and proposed budgeted year, then the block for 'Transfer to Spec. Mach.(No Levied) will turn </t>
    </r>
    <r>
      <rPr>
        <sz val="12"/>
        <color indexed="10"/>
        <rFont val="Times New Roman"/>
        <family val="1"/>
      </rPr>
      <t>red</t>
    </r>
    <r>
      <rPr>
        <sz val="12"/>
        <rFont val="Times New Roman"/>
        <family val="1"/>
      </rPr>
      <t>. If a transfer amount is shown in the block, then in the yellow area a message will appear '</t>
    </r>
    <r>
      <rPr>
        <sz val="12"/>
        <color indexed="10"/>
        <rFont val="Times New Roman"/>
        <family val="1"/>
      </rPr>
      <t>Not Auth</t>
    </r>
    <r>
      <rPr>
        <sz val="12"/>
        <rFont val="Times New Roman"/>
        <family val="1"/>
      </rPr>
      <t xml:space="preserve">', the transfer should be moved to the next expenditure line 'Transfer to Spec. Mach. (Gen has levy) or deleted if the transferred money has not been spent in the Special Machinery Fund. The transfer is linked to the Schedule of Transfers and Special Machinery Fund. </t>
    </r>
    <r>
      <rPr>
        <b/>
        <u/>
        <sz val="12"/>
        <rFont val="Times New Roman"/>
        <family val="1"/>
      </rPr>
      <t>Note:</t>
    </r>
    <r>
      <rPr>
        <sz val="12"/>
        <rFont val="Times New Roman"/>
        <family val="1"/>
      </rPr>
      <t>Transfers for the current or proposed budgeted year and a violation occurs, then the amount should be reduced.</t>
    </r>
  </si>
  <si>
    <r>
      <t xml:space="preserve">10l. The General Fund has expenditure line item 'Transfer to Spec. Mach.(Gen has levy) which can be used to transfer up to 25% of the General Fund Resources Available (if the fund has enough cash) to the Special Machinery Fund. If the transfer exceeds the 25% limitation, the </t>
    </r>
    <r>
      <rPr>
        <sz val="12"/>
        <color indexed="10"/>
        <rFont val="Times New Roman"/>
        <family val="1"/>
      </rPr>
      <t>block will turn red</t>
    </r>
    <r>
      <rPr>
        <sz val="12"/>
        <rFont val="Times New Roman"/>
        <family val="1"/>
      </rPr>
      <t xml:space="preserve"> and a message will appear in yellow box below the transfer in red '</t>
    </r>
    <r>
      <rPr>
        <sz val="12"/>
        <color indexed="10"/>
        <rFont val="Times New Roman"/>
        <family val="1"/>
      </rPr>
      <t>Exceeds 25%</t>
    </r>
    <r>
      <rPr>
        <sz val="12"/>
        <rFont val="Times New Roman"/>
        <family val="1"/>
      </rPr>
      <t xml:space="preserve">'. The violation can be fixed for the actual budgeted year by reducing the transfer amount to 25% or below and the message will go away and the block will turn back to green. But, if the transfer amount has already been spent, then the violation can not be fix. If violation occurs for transfers in the current and proposed budget years, the violation should be fixed by reducing the amount. All transfers are linked to the Schedule of Transfers and Special Machinery Fund.  </t>
    </r>
  </si>
  <si>
    <r>
      <t>10m. The non-budgeted pages (nonbud) holds 5 non-budgeted funds.  The non-budgeted funds are only required to show the actual year receipts and expenditures. The expenditures total will only be linked to the Budget Summary page and Certificate page will list the fund name (non-budgeted funds). Normally, the unencumbered cash balance should end with a positive cash balance, but if it ends with a negative, then the spreadsheet will indicate the negative balance by having '</t>
    </r>
    <r>
      <rPr>
        <sz val="12"/>
        <color indexed="10"/>
        <rFont val="Times New Roman"/>
        <family val="1"/>
      </rPr>
      <t>See Tab B</t>
    </r>
    <r>
      <rPr>
        <sz val="12"/>
        <rFont val="Times New Roman"/>
        <family val="1"/>
      </rPr>
      <t xml:space="preserve">' under the unencumbered cash balance.  </t>
    </r>
  </si>
  <si>
    <t xml:space="preserve">11. Neighborhood Revitalization (nhood) should be completed only after all tax levy fund pages been completed and the levy rates have been computed on the Budget Summary page.  You will need to either print the Budget Summary page or write down the dollar amount of ad valorem needed for each tax levy fund.  The ad valorem amounts for each fund will then be input in the neighborhood revitalization table.  The table will then compute the approximate amount of rebate and link to each tax levy fund page. This will cause each tax levy fund to have an entry in the neighborhood revitalization expenditure block, increase the total expenditures  amount, recomputed the ad valorem needed, and link the new amount to the Budget Summary page.  </t>
  </si>
  <si>
    <r>
      <t xml:space="preserve">11a. </t>
    </r>
    <r>
      <rPr>
        <b/>
        <sz val="12"/>
        <rFont val="Times New Roman"/>
        <family val="1"/>
      </rPr>
      <t>Warning</t>
    </r>
    <r>
      <rPr>
        <sz val="12"/>
        <rFont val="Times New Roman"/>
        <family val="1"/>
      </rPr>
      <t>, if you had already set the ad valorem taxes so that they were equal to or below the max amount for ad valorem without passing a ordinance, then the neighborhood revitalization rebate might cause the ad valorem tax amount to exceed the max levying amount. If so, you have three options, accept the rebate expenditures and pass the ordinance, or accept the rebate expenditures and reduce other expenditures to come back under the max amount for levying, or lastly, not use the rebate expenditures by deleting the ad valorem taxes that were keyed into the Neighborhood Revitalization Table.</t>
    </r>
  </si>
  <si>
    <r>
      <t xml:space="preserve">11b. </t>
    </r>
    <r>
      <rPr>
        <b/>
        <sz val="12"/>
        <rFont val="Times New Roman"/>
        <family val="1"/>
      </rPr>
      <t>Note</t>
    </r>
    <r>
      <rPr>
        <sz val="12"/>
        <rFont val="Times New Roman"/>
        <family val="1"/>
      </rPr>
      <t>: You are not required to use the Neighborhood Revitalization Table and may continue doing the way you have in the past. The table can be used to know approximate amount of the rebate so that you will have an idea of the amount of ad valorem taxes you will not be receiving.</t>
    </r>
  </si>
  <si>
    <r>
      <t xml:space="preserve">11c. </t>
    </r>
    <r>
      <rPr>
        <b/>
        <sz val="12"/>
        <rFont val="Times New Roman"/>
        <family val="1"/>
      </rPr>
      <t>Note: If you do not have Neighborhood Revitalization, this step is not done.</t>
    </r>
  </si>
  <si>
    <t xml:space="preserve">12.  Budget Summary (summ) should link the information from other worksheets.  If you find information which is not correct, please go to the worksheet from which the information is linked, and  take corrective action. If you can not correct the error, please contact us for assistance.   </t>
  </si>
  <si>
    <t>12a. At the bottom, there is a green shaded area, enter the page number.</t>
  </si>
  <si>
    <t xml:space="preserve">12b. Before printing, review the form to ensure all the information is provided and the figures are correct. Print the page, have official sign it, and take to the local newspaper for printing. </t>
  </si>
  <si>
    <t>12c. Once the 'Notice of Budget Hearing' has been printed in the local newspaper, please review the notice to ensure the information was correctly printed.  If the information is not correct, the Notice may need to be republished, and may delay the submission of the budget to the County Clerk.</t>
  </si>
  <si>
    <t xml:space="preserve">13.  Before submission of the budget to the County Clerk, please review the entire document and verify that all amounts are correct.  Amounts on the Certificate page should match to the fund pages and may also match to the Budget Summary. In addition, the Certificate Page needs to be signed by at least one member of the governing body (signatures of the entire governing body is preferred, but not mandatory). </t>
  </si>
  <si>
    <t>the Neighborhood Revitalization Rebate table.</t>
  </si>
  <si>
    <t>The following were changed to this spreadsheet on 12/28/09</t>
  </si>
  <si>
    <t xml:space="preserve">7c. If the General Fund (gen) and Road Fund (road) has transfers to the Special Machinery Fund (road), the Schedule of Transfers now has links for the transfers and provides the statute reference.  </t>
  </si>
  <si>
    <t>7d. TransferStatutes tab provides statute reference for transfers which are not already identified.</t>
  </si>
  <si>
    <t xml:space="preserve">7a. The totals are now linked to the Budget Summary page. </t>
  </si>
  <si>
    <t xml:space="preserve">7b. Adjustments are made for only those non-budgeted expenditure transfers appearing in the current and/or proposed columns of the schedule and do not have expenditures shown in the Budget Summary current and proposed columns. These types of transfers are not truely an expenditure at this time and as such an adjustment is needed to show the taxpayers the actual expenditures for the municipality. </t>
  </si>
  <si>
    <r>
      <t>Adjustments</t>
    </r>
    <r>
      <rPr>
        <sz val="12"/>
        <color indexed="10"/>
        <rFont val="Times New Roman"/>
        <family val="1"/>
      </rPr>
      <t>*</t>
    </r>
  </si>
  <si>
    <t>Receipt</t>
  </si>
  <si>
    <t xml:space="preserve">Fund Transferred </t>
  </si>
  <si>
    <t>Fund Transferred</t>
  </si>
  <si>
    <t>*Note:</t>
  </si>
  <si>
    <t>1. Nhood tab added note for computing table</t>
  </si>
  <si>
    <t>The following were changed to this spreadsheet on 1/05/10</t>
  </si>
  <si>
    <t>1. Instruction tab added line 7b concerning schedule of transfers adjustments</t>
  </si>
  <si>
    <t>2. Transfers tab changed note so to identify current and proposed columns for non-budgeted funds transfers</t>
  </si>
  <si>
    <t>3. Transfers tab changed first two column heading adding 'expenditures' and 'receipts'</t>
  </si>
  <si>
    <t>The following were changed to this spreadsheet on 4/15/10</t>
  </si>
  <si>
    <t>1. Changed schedule of transfers statute column to allow for statute to pop-up if transfers are shown in current/proposed columns</t>
  </si>
  <si>
    <t>Winterset Township</t>
  </si>
  <si>
    <t>Russell County</t>
  </si>
  <si>
    <t>City/Highway Fuel Dist.</t>
  </si>
  <si>
    <t>Machine Hire</t>
  </si>
  <si>
    <t>Donations</t>
  </si>
  <si>
    <t>Special Road Election held ___________ for ___Mills for ___ years.</t>
  </si>
  <si>
    <t>First levy in ______.</t>
  </si>
  <si>
    <t>with the IRS.</t>
  </si>
  <si>
    <t>$</t>
  </si>
  <si>
    <t>Rate</t>
  </si>
  <si>
    <t>Amount</t>
  </si>
  <si>
    <t>County Treasurer's Motor Vehicle Estimate</t>
  </si>
  <si>
    <t>County Treasurer's Recreational Vehicle Estimate</t>
  </si>
  <si>
    <t>Motor Vehicle Factor</t>
  </si>
  <si>
    <t>Recreational Vehicle Factor</t>
  </si>
  <si>
    <t>Page No.</t>
  </si>
  <si>
    <t>Adopted Budget</t>
  </si>
  <si>
    <t>Prior Year</t>
  </si>
  <si>
    <t>Current Year</t>
  </si>
  <si>
    <t>Proposed Budget</t>
  </si>
  <si>
    <t>Unencumbered Cash Balance, Jan 1</t>
  </si>
  <si>
    <t>+</t>
  </si>
  <si>
    <t>Ad Valorem Tax</t>
  </si>
  <si>
    <t>Delinquent Tax</t>
  </si>
  <si>
    <t>Motor Vehicle Tax</t>
  </si>
  <si>
    <t>Recreational Vehicle Tax</t>
  </si>
  <si>
    <t>Gross Earnings (Intangibles) Tax</t>
  </si>
  <si>
    <t>Other</t>
  </si>
  <si>
    <t>Interest on Idle Funds</t>
  </si>
  <si>
    <t>Total Receipts</t>
  </si>
  <si>
    <t>Resources Available:</t>
  </si>
  <si>
    <t>Expenditures:</t>
  </si>
  <si>
    <t>Total Expenditures</t>
  </si>
  <si>
    <t>Unencumbered Cash Balance, Dec 31</t>
  </si>
  <si>
    <t>Tax Required</t>
  </si>
  <si>
    <t>%</t>
  </si>
  <si>
    <t xml:space="preserve">Special Machinery </t>
  </si>
  <si>
    <t xml:space="preserve">     K.S.A. 68-141g</t>
  </si>
  <si>
    <t>Actual</t>
  </si>
  <si>
    <t>Transfers from:</t>
  </si>
  <si>
    <t xml:space="preserve">  Road Fund</t>
  </si>
  <si>
    <t xml:space="preserve">        </t>
  </si>
  <si>
    <t>Supplies</t>
  </si>
  <si>
    <t xml:space="preserve">    </t>
  </si>
  <si>
    <t xml:space="preserve">       </t>
  </si>
  <si>
    <t xml:space="preserve">     </t>
  </si>
  <si>
    <t>The governing body of</t>
  </si>
  <si>
    <t>Est.</t>
  </si>
  <si>
    <t>Tax</t>
  </si>
  <si>
    <t>Expenditures</t>
  </si>
  <si>
    <t>Rate*</t>
  </si>
  <si>
    <t>Less: Transfers</t>
  </si>
  <si>
    <t>Net Expenditure</t>
  </si>
  <si>
    <t>Total Tax Levied</t>
  </si>
  <si>
    <t>Assessed Valuation:</t>
  </si>
  <si>
    <t xml:space="preserve">  Township</t>
  </si>
  <si>
    <t>Outstanding Indebtedness,</t>
  </si>
  <si>
    <t xml:space="preserve">  Jan 1</t>
  </si>
  <si>
    <t>G.O. Bonds</t>
  </si>
  <si>
    <t>Lease Pur Princ</t>
  </si>
  <si>
    <t xml:space="preserve">     Total</t>
  </si>
  <si>
    <t xml:space="preserve">  *Tax rates are expressed in mills.</t>
  </si>
  <si>
    <t>Township Officer</t>
  </si>
  <si>
    <t>Date</t>
  </si>
  <si>
    <t xml:space="preserve">   Amount Due</t>
  </si>
  <si>
    <t>of</t>
  </si>
  <si>
    <t xml:space="preserve">  Date Due</t>
  </si>
  <si>
    <t>Type of Debt</t>
  </si>
  <si>
    <t>Issue</t>
  </si>
  <si>
    <t>Issued</t>
  </si>
  <si>
    <t>Term</t>
  </si>
  <si>
    <t>Interest</t>
  </si>
  <si>
    <t>Principal</t>
  </si>
  <si>
    <t>Payments</t>
  </si>
  <si>
    <t xml:space="preserve">  Contract</t>
  </si>
  <si>
    <t>Contract</t>
  </si>
  <si>
    <t>Financed</t>
  </si>
  <si>
    <t>Due</t>
  </si>
  <si>
    <t>Item Purchased</t>
  </si>
  <si>
    <t>(Months)</t>
  </si>
  <si>
    <t>16/20 M Vehicle Tax</t>
  </si>
  <si>
    <t>CERTIFICATE</t>
  </si>
  <si>
    <t>FUND PAGE - GENERAL</t>
  </si>
  <si>
    <t>FUND PAGE - ROAD AND SPECIAL MACHINERY</t>
  </si>
  <si>
    <t>FUND PAGE</t>
  </si>
  <si>
    <t>NOTICE OF BUDGET HEARING</t>
  </si>
  <si>
    <t>BUDGET SUMMARY</t>
  </si>
  <si>
    <t>STATEMENT OF CONDITIONAL LEASE-PURCHASE AND CERTIFICATE OF PARTICIPATION*</t>
  </si>
  <si>
    <t>STATEMENT OF INDEBTEDNESS</t>
  </si>
  <si>
    <t>County Treasurer's 16/20M Vehicle Estimate</t>
  </si>
  <si>
    <t xml:space="preserve">Total </t>
  </si>
  <si>
    <t>16/20M Vehicle Factor</t>
  </si>
  <si>
    <t>MVT</t>
  </si>
  <si>
    <t>RVT</t>
  </si>
  <si>
    <t>Amount of Levy</t>
  </si>
  <si>
    <t xml:space="preserve"> 1.</t>
  </si>
  <si>
    <t xml:space="preserve"> 2.</t>
  </si>
  <si>
    <t>-</t>
  </si>
  <si>
    <t xml:space="preserve"> 3.</t>
  </si>
  <si>
    <t xml:space="preserve"> 4.</t>
  </si>
  <si>
    <t xml:space="preserve"> 5.</t>
  </si>
  <si>
    <t>5a.</t>
  </si>
  <si>
    <t>5b.</t>
  </si>
  <si>
    <t>5c.</t>
  </si>
  <si>
    <t>6.</t>
  </si>
  <si>
    <t>7.</t>
  </si>
  <si>
    <t>8.</t>
  </si>
  <si>
    <t>9.</t>
  </si>
  <si>
    <t>10.</t>
  </si>
  <si>
    <t>11.</t>
  </si>
  <si>
    <t>12.</t>
  </si>
  <si>
    <t>(Use Only if &gt; 0)</t>
  </si>
  <si>
    <t>Final Assessed Valuation:</t>
  </si>
  <si>
    <t xml:space="preserve">     Township</t>
  </si>
  <si>
    <t>16/20M Vehicle Tax</t>
  </si>
  <si>
    <t>Special Highway/Gasoline Tax</t>
  </si>
  <si>
    <t>Officers Pay</t>
  </si>
  <si>
    <t>Employee Benefits</t>
  </si>
  <si>
    <t>Equipment</t>
  </si>
  <si>
    <t>Transfer to Special Machinery</t>
  </si>
  <si>
    <t>Road Materials</t>
  </si>
  <si>
    <t>Balance On</t>
  </si>
  <si>
    <t>Tax Levy Excluding Debt Service</t>
  </si>
  <si>
    <t>Increase in Personal Property (5a minus 5b)</t>
  </si>
  <si>
    <r>
      <t xml:space="preserve">Total Valuation Adjustment </t>
    </r>
    <r>
      <rPr>
        <sz val="12"/>
        <rFont val="Times New Roman"/>
        <family val="1"/>
      </rPr>
      <t>(Sum of 4, 5c, 6)</t>
    </r>
  </si>
  <si>
    <t>Total Valuation less Valuation Adjustment (8 minus 7)</t>
  </si>
  <si>
    <t>Factor for Increase (7 divided by 9)</t>
  </si>
  <si>
    <t>Amount of Increase (10 times 3)</t>
  </si>
  <si>
    <t>adopt a resolution to exceed this limit and attach a copy to this budget.</t>
  </si>
  <si>
    <t>13.</t>
  </si>
  <si>
    <t>14.</t>
  </si>
  <si>
    <t>Maximum Tax Levy, excluding debt service,  without Resolution (3 plus 11)</t>
  </si>
  <si>
    <t>Maximum levy, including debt service, without a Resolution (12 plus 13)</t>
  </si>
  <si>
    <t>Unencumbered Cash Balance January 1</t>
  </si>
  <si>
    <t>Unencumbered Cash Balance Dec 31</t>
  </si>
  <si>
    <t>Receipts:</t>
  </si>
  <si>
    <t>16/20M Veh</t>
  </si>
  <si>
    <t>Outstanding</t>
  </si>
  <si>
    <t>(Beginning Principal)</t>
  </si>
  <si>
    <t>November 1st Valuation</t>
  </si>
  <si>
    <t>County Clerk's Use Only</t>
  </si>
  <si>
    <t>Salaries &amp; Wages</t>
  </si>
  <si>
    <t>Buildings Maintenance</t>
  </si>
  <si>
    <t>Road Maintenance</t>
  </si>
  <si>
    <t>Insurance</t>
  </si>
  <si>
    <t>TOWNSHIP RESOLUTION</t>
  </si>
  <si>
    <t>RESOLUTION NO.__________________</t>
  </si>
  <si>
    <r>
      <t>Whereas,</t>
    </r>
    <r>
      <rPr>
        <sz val="11"/>
        <rFont val="Times New Roman"/>
        <family val="1"/>
      </rPr>
      <t xml:space="preserve"> K.S.A. 79-2925b provides that a resolution be adopted if property taxes levied</t>
    </r>
  </si>
  <si>
    <r>
      <t xml:space="preserve">Whereas, </t>
    </r>
    <r>
      <rPr>
        <sz val="11"/>
        <rFont val="Times New Roman"/>
        <family val="1"/>
      </rPr>
      <t>budgeting, taxing and service level decisions for all township services are the responsibility of the township board; and</t>
    </r>
  </si>
  <si>
    <r>
      <t>Whereas,</t>
    </r>
    <r>
      <rPr>
        <sz val="11"/>
        <rFont val="Times New Roman"/>
        <family val="1"/>
      </rPr>
      <t xml:space="preserve"> the cost of provision of these services continues to increase.</t>
    </r>
  </si>
  <si>
    <t>___________________________________.</t>
  </si>
  <si>
    <t>(Attach a signed copy to the budget)</t>
  </si>
  <si>
    <t>valuation of oil and gas leaseholds and mobile homes; and 3) property which has changed in use during the past year, or with regard to revenue produced for the purpose of repaying the principal of and interest upon bonded indebtedness, temporary notes, or no-fund warrants; and</t>
  </si>
  <si>
    <t xml:space="preserve"> ___________________________________.</t>
  </si>
  <si>
    <t>, Trustee</t>
  </si>
  <si>
    <t>, Treasurer</t>
  </si>
  <si>
    <t>, Clerk</t>
  </si>
  <si>
    <t>Statement of Indebt. &amp; Lease/Purchase</t>
  </si>
  <si>
    <t>Other Fund Names:</t>
  </si>
  <si>
    <t>FUND PAGE FOR FUNDS WITH NO TAX LEVY</t>
  </si>
  <si>
    <t>Unencumbered Cash Balance Jan 1</t>
  </si>
  <si>
    <t>Address:</t>
  </si>
  <si>
    <t>Enter year being budgeted (YYYY)</t>
  </si>
  <si>
    <t xml:space="preserve">The input for the following comes directly from </t>
  </si>
  <si>
    <t xml:space="preserve">Enter the following information from the sources shown.  This information will be entered on the budget </t>
  </si>
  <si>
    <t>Attest: ____________________,</t>
  </si>
  <si>
    <t xml:space="preserve">certify that:  (1) the hearing mentioned in the attached publication was held; </t>
  </si>
  <si>
    <t>(2) after the Budget Hearing this budget was approved and adopted as the</t>
  </si>
  <si>
    <t>We, the undersigned, officers of</t>
  </si>
  <si>
    <t>10-113</t>
  </si>
  <si>
    <t>In Lieu of Tax (IRB)</t>
  </si>
  <si>
    <t>Total G.O. Bonds</t>
  </si>
  <si>
    <t>Total Other</t>
  </si>
  <si>
    <t>Resolution</t>
  </si>
  <si>
    <t>Is a Resolution required?</t>
  </si>
  <si>
    <t>Note:  All amounts are to be entered in as whole numbers only.</t>
  </si>
  <si>
    <t>Motor Vehicle Tax Estimate</t>
  </si>
  <si>
    <t>16\20 M Vehicle Tax</t>
  </si>
  <si>
    <t>LAVTR</t>
  </si>
  <si>
    <t>Slider</t>
  </si>
  <si>
    <t xml:space="preserve">   </t>
  </si>
  <si>
    <t>Computation of Delinquency</t>
  </si>
  <si>
    <t>Rate used in this budget-this will be shown on all fund pages with a tax levy**</t>
  </si>
  <si>
    <r>
      <t>**</t>
    </r>
    <r>
      <rPr>
        <b/>
        <u/>
        <sz val="12"/>
        <rFont val="Times New Roman"/>
        <family val="1"/>
      </rPr>
      <t>Note</t>
    </r>
    <r>
      <rPr>
        <sz val="12"/>
        <rFont val="Times New Roman"/>
        <family val="1"/>
      </rPr>
      <t>: The delinquency rate can be up to 5% more than the actual delinquency rate from the previous year.</t>
    </r>
  </si>
  <si>
    <t xml:space="preserve">  G.O. Bonds</t>
  </si>
  <si>
    <t xml:space="preserve">  No-Fund Warrant</t>
  </si>
  <si>
    <t xml:space="preserve">  Lease Purchase Principal</t>
  </si>
  <si>
    <t>Budget Summary</t>
  </si>
  <si>
    <t>Schedule of Transfers</t>
  </si>
  <si>
    <t>Current</t>
  </si>
  <si>
    <t>Proposed</t>
  </si>
  <si>
    <t>Transfers</t>
  </si>
  <si>
    <t>Amount for</t>
  </si>
  <si>
    <t xml:space="preserve">Authorized by </t>
  </si>
  <si>
    <t>From:</t>
  </si>
  <si>
    <t xml:space="preserve">  To:</t>
  </si>
  <si>
    <t>Adjusted Totals</t>
  </si>
  <si>
    <t>Read these instructions carefully.  If after reviewing them you still have questions, call Municipal Services at 785-296-2311 or e-mail : armunis@da.ks.gov</t>
  </si>
  <si>
    <t>When the page numbers are changed on the fund pages, the Certificate page will also be changed.</t>
  </si>
  <si>
    <t xml:space="preserve">General Instructions </t>
  </si>
  <si>
    <t>All dollar amounts should be rounded to whole dollars (do not record cents).</t>
  </si>
  <si>
    <t xml:space="preserve">Enter information  in all areas that are green if they apply to the budget you are preparing. </t>
  </si>
  <si>
    <t>The blue areas indicated where the information comes from to complete the section input.</t>
  </si>
  <si>
    <t>To print the spreadsheets, you can either print one sheet at a time or all of the sheets at once.</t>
  </si>
  <si>
    <t>Computer Spreadsheet Preparation</t>
  </si>
  <si>
    <r>
      <t xml:space="preserve">1.  The information needed for the Input Prior Year Sheet (inputPrYr) comes directly from last year budget.  After the information has been entered, please verify the data is correct.  If at a later date, it is determined  the information is incorrect, correct the information on this page, not the . </t>
    </r>
    <r>
      <rPr>
        <b/>
        <sz val="12"/>
        <rFont val="Times New Roman"/>
        <family val="1"/>
      </rPr>
      <t>Do not use the copy and move functions on this page.   Do not add or delete lines on this page</t>
    </r>
    <r>
      <rPr>
        <sz val="12"/>
        <rFont val="Times New Roman"/>
        <family val="1"/>
      </rPr>
      <t>.</t>
    </r>
  </si>
  <si>
    <t>1a. Dates for the entire budget workbook is controlled by the year entered into the "Enter year being budgeted (YYYY)" field.  If you find a date that is not correct for the budget being submitted, please contact us for assistance.</t>
  </si>
  <si>
    <t>2a.  Enter the Computation of Delinquency information. Please note that K.S.A. 79-2930 states that such allowance shall not exceed by more than 5% the percentage of delinquency for the preceding tax year.  Such allowance is not mandatory, but may be used if the municipality wishes.</t>
  </si>
  <si>
    <t>The following were changed to this spreadsheet on 8/06/2007</t>
  </si>
  <si>
    <t>2. All pages have a revision date.</t>
  </si>
  <si>
    <t>5. Computation to Determine Limit now has the debts amounts link within the spreadsheet.</t>
  </si>
  <si>
    <t>6. Schedule of Transfers have the transfers totaled and link to the budget summary page.</t>
  </si>
  <si>
    <t xml:space="preserve">7. Now have the indebtedness prior year added to the input page and link with the budget summary page. </t>
  </si>
  <si>
    <t xml:space="preserve">3. Hard coded the Bond &amp; Interest, and Road on Certificate and Summary pages. </t>
  </si>
  <si>
    <t xml:space="preserve">4.  All dates on the spreadsheet are controlled from input on the input Prior Year page. </t>
  </si>
  <si>
    <t>8. Added  LAVTR and Slider to the input page and to the General Fund page.</t>
  </si>
  <si>
    <t>9. Changed the Budget Summary Heading to include Actual/Estimate/Proposed with the budget year.</t>
  </si>
  <si>
    <t>10. Changed the delinquency rate formula for all levy funds.</t>
  </si>
  <si>
    <t>12. Using the actual ad valorem rates from the Clerk's information versus from the Certificate page.</t>
  </si>
  <si>
    <t>14. Added column to show when debt retired on the Indebtedness page.</t>
  </si>
  <si>
    <t>16. Resolution page has a space for a page number.</t>
  </si>
  <si>
    <t>forms in the appropriate locations.  If any of the numbers are wrong, change them on this input sheet.</t>
  </si>
  <si>
    <t>Outstanding Indebtedness, January 1:</t>
  </si>
  <si>
    <t xml:space="preserve">The yellowed shaded areas of the budget worksheets contain formulas or links which should not be changed, and are protected.  Most errors occur because of information entered on the input pages.  If you are experiencing a problem with a protected cell, first check to see how the information was entered on the input pages.  If the information was entered correctly, and you still continue to experience problems, please contact us for assistance. </t>
  </si>
  <si>
    <t>17. Added to instructions about non-appropriated funds limit of 5%.</t>
  </si>
  <si>
    <t>Gudenkauf &amp; Malone, Inc</t>
  </si>
  <si>
    <t>639 N Main St.</t>
  </si>
  <si>
    <t>Russell, KS. 67665</t>
  </si>
  <si>
    <t>785-483-6220</t>
  </si>
  <si>
    <t>August 14, 2012</t>
  </si>
  <si>
    <t>8 p.m.</t>
  </si>
  <si>
    <t>the Robert Yarmer residence</t>
  </si>
  <si>
    <t>County Treasurer's Slider Estimate</t>
  </si>
  <si>
    <t>Slider Factor</t>
  </si>
  <si>
    <t>Alloc of MVT, RVT, 16/20M Vehicles &amp; Slider</t>
  </si>
  <si>
    <t>22. Added Slider to the Vehicle Allocation table and linked to fund pages.</t>
  </si>
  <si>
    <t>23. Added to all budgeted fund pages the budget authority for the actual year, budget violation, and cash violation.</t>
  </si>
  <si>
    <t>24. Added instruction on the addition for item 23.</t>
  </si>
  <si>
    <r>
      <t xml:space="preserve">2. The information entered into the Input Other (inputOth) worksheet is obtained from the County Clerk County Treasurer, and the budget from two years ago(the year for actual column of current budget).  After the information has been entered, please verify the data is correct. </t>
    </r>
    <r>
      <rPr>
        <b/>
        <sz val="12"/>
        <rFont val="Times New Roman"/>
        <family val="1"/>
      </rPr>
      <t>Do not use the copy and move functions on this page.  Do not add or delete lines on this page.</t>
    </r>
  </si>
  <si>
    <t>Funds</t>
  </si>
  <si>
    <t>Budget Authority</t>
  </si>
  <si>
    <t xml:space="preserve">expenditure amounts should reflect the amended </t>
  </si>
  <si>
    <t>expenditure amounts.</t>
  </si>
  <si>
    <t xml:space="preserve">FUND PAGE </t>
  </si>
  <si>
    <t>TOTAL</t>
  </si>
  <si>
    <t>Miscellaneous</t>
  </si>
  <si>
    <t>Does miscellaneous exceed 10% of Total Receipts</t>
  </si>
  <si>
    <t>Does miscellaneous exceed 10% of Total Expenditures</t>
  </si>
  <si>
    <t>Neighborhood Revitalization Rebate</t>
  </si>
  <si>
    <t>25. Link the Road fund transfer to Special Machinery fund and check for exceeding 25%.</t>
  </si>
  <si>
    <t>26. Added 'miscellaneous' category to the receipt/expenditure for all fund pages and set error message.</t>
  </si>
  <si>
    <t>27. Added to the instruction about correct the error message for the miscellaneous.</t>
  </si>
  <si>
    <t>19. Added Neighborhood Revitalization table and linked the tax levy fund pages.</t>
  </si>
  <si>
    <t>20. Added Neighborhood Revitalization expenditures to all the tax levy fund pages.</t>
  </si>
  <si>
    <t>21. Added Neighborhood Revitalization page number to the Certificate page table of content.</t>
  </si>
  <si>
    <t xml:space="preserve">Submitting the Budget </t>
  </si>
  <si>
    <t>Red areas are for notes or indicate a problem area that will need possible corrective action taken.</t>
  </si>
  <si>
    <r>
      <t xml:space="preserve">Budgets are required to be sent to the County Clerk </t>
    </r>
    <r>
      <rPr>
        <b/>
        <sz val="12"/>
        <rFont val="Times New Roman"/>
        <family val="1"/>
      </rPr>
      <t>by August 25</t>
    </r>
    <r>
      <rPr>
        <sz val="12"/>
        <rFont val="Times New Roman"/>
        <family val="1"/>
      </rPr>
      <t xml:space="preserve"> of each year. </t>
    </r>
  </si>
  <si>
    <t xml:space="preserve">The worksheets are named (see the tab) in each budget workbook.  We will identify the worksheet by referencing the tab in parentheses (i.e. General Fund reference would be (gen). </t>
  </si>
  <si>
    <t>Enter County Name followed by 'County"</t>
  </si>
  <si>
    <t>Enter Township Name followed by 'Township'</t>
  </si>
  <si>
    <t>Allocation of Motor, Recreational, and 16/20M Vehicle Tax and Slider</t>
  </si>
  <si>
    <t>28. Added 9a to the instruction to explain about County Treasurers Jan 1 and Dec 31 balances.</t>
  </si>
  <si>
    <t>14. If road transfer funds to special machinery, the transfers are linked and to the Schedule of Transfers.</t>
  </si>
  <si>
    <r>
      <t>14b. Special Machinery also has error message '</t>
    </r>
    <r>
      <rPr>
        <sz val="12"/>
        <color indexed="10"/>
        <rFont val="Times New Roman"/>
        <family val="1"/>
      </rPr>
      <t>Exceeds 25% of Resources Available</t>
    </r>
    <r>
      <rPr>
        <sz val="12"/>
        <rFont val="Times New Roman"/>
        <family val="1"/>
      </rPr>
      <t>'.</t>
    </r>
  </si>
  <si>
    <t>14c. Schedule of Transfer has the transfers link and will show statute allowing for the transfer for actual year only.</t>
  </si>
  <si>
    <t>15. Added transfers on the general fund page and questions pertaining to the transfers.</t>
  </si>
  <si>
    <r>
      <t xml:space="preserve">15a. The first transfer checks for if ad valorem taxes were levied. If so, then transfer block turns </t>
    </r>
    <r>
      <rPr>
        <sz val="12"/>
        <color indexed="10"/>
        <rFont val="Times New Roman"/>
        <family val="1"/>
      </rPr>
      <t>red</t>
    </r>
    <r>
      <rPr>
        <sz val="12"/>
        <rFont val="Times New Roman"/>
        <family val="1"/>
      </rPr>
      <t xml:space="preserve"> and error message '</t>
    </r>
    <r>
      <rPr>
        <sz val="12"/>
        <color indexed="10"/>
        <rFont val="Times New Roman"/>
        <family val="1"/>
      </rPr>
      <t>Not Authorized</t>
    </r>
    <r>
      <rPr>
        <sz val="12"/>
        <rFont val="Times New Roman"/>
        <family val="1"/>
      </rPr>
      <t>' appears.</t>
    </r>
  </si>
  <si>
    <t>15c. Transfers are linked from general fund to special machinery and to Schedule of Transfers. Transfers for actual year will also have the statute reference shown.</t>
  </si>
  <si>
    <t>4. All tax levy fund pages abbreviated the non-appropriated, total expenditures/non-appropriated, and delinquency computation rate.</t>
  </si>
  <si>
    <r>
      <t xml:space="preserve">14a. Road transfer is checked to see if exceeds 25%, if so, then block turns </t>
    </r>
    <r>
      <rPr>
        <sz val="12"/>
        <color indexed="10"/>
        <rFont val="Times New Roman"/>
        <family val="1"/>
      </rPr>
      <t>red</t>
    </r>
    <r>
      <rPr>
        <sz val="12"/>
        <rFont val="Times New Roman"/>
        <family val="1"/>
      </rPr>
      <t xml:space="preserve"> and below statement will appear '</t>
    </r>
    <r>
      <rPr>
        <sz val="12"/>
        <color indexed="10"/>
        <rFont val="Times New Roman"/>
        <family val="1"/>
      </rPr>
      <t>Exceeds 25%</t>
    </r>
    <r>
      <rPr>
        <sz val="12"/>
        <rFont val="Times New Roman"/>
        <family val="1"/>
      </rPr>
      <t xml:space="preserve">'. </t>
    </r>
  </si>
  <si>
    <r>
      <t xml:space="preserve">15b. Second transfer checks to see if exceeds 25% limitation. If so, then transfer block turns </t>
    </r>
    <r>
      <rPr>
        <sz val="12"/>
        <color indexed="10"/>
        <rFont val="Times New Roman"/>
        <family val="1"/>
      </rPr>
      <t xml:space="preserve">red </t>
    </r>
    <r>
      <rPr>
        <sz val="12"/>
        <rFont val="Times New Roman"/>
        <family val="1"/>
      </rPr>
      <t>and error message '</t>
    </r>
    <r>
      <rPr>
        <sz val="12"/>
        <color indexed="10"/>
        <rFont val="Times New Roman"/>
        <family val="1"/>
      </rPr>
      <t>Exceeds 25%</t>
    </r>
    <r>
      <rPr>
        <sz val="12"/>
        <rFont val="Times New Roman"/>
        <family val="1"/>
      </rPr>
      <t>' appears.</t>
    </r>
  </si>
  <si>
    <r>
      <t>16. Error messages will appear next to transfers for the special machinery transfers from the general fund if both transfer blocks indicate a transfer. A error message will appear '</t>
    </r>
    <r>
      <rPr>
        <sz val="12"/>
        <color indexed="10"/>
        <rFont val="Times New Roman"/>
        <family val="1"/>
      </rPr>
      <t>Not Authorized Two Transfers - Only One</t>
    </r>
    <r>
      <rPr>
        <sz val="12"/>
        <rFont val="Times New Roman"/>
        <family val="1"/>
      </rPr>
      <t>'</t>
    </r>
  </si>
  <si>
    <t>1. instruction were changed: POC change from Roger to armunis, got rid about us providing disk, took the input page and split to input prior budget information and input other, with more in-depth of forms and fund page, and more in-depth on the budget summary page.</t>
  </si>
  <si>
    <t>11. Changed the Certificate page so the county name flows instead of having unneeded spaces.</t>
  </si>
  <si>
    <t>13. Delinquency rate for actual for 3 decimal and note that rate can be up to 5% over the actual rate.</t>
  </si>
  <si>
    <t>15. Budget Summary changed the sentence "will meet…" so the year automatically changes.</t>
  </si>
  <si>
    <t>18. Added warning "Exceeds 5%" on all fund pages for the non-appropriated balance.</t>
  </si>
  <si>
    <t>17. Deleted lines pertaining to the beginning and ending balance for the County Treasurer.</t>
  </si>
  <si>
    <t>29. Added 'excluding oil, gas, and mobile homes' to lines 9 and 11 on Clerks budget info on tab inputoth.</t>
  </si>
  <si>
    <t>***If you are merely leasing/renting with no intent to purchase, do not list--such transactions are not lease-purchases.</t>
  </si>
  <si>
    <t>Non-Appr Bal</t>
  </si>
  <si>
    <t>Tot Exp/Non-Appr Bal</t>
  </si>
  <si>
    <t>Del Comp Rate:</t>
  </si>
  <si>
    <t xml:space="preserve">  General Fund(No Levy)</t>
  </si>
  <si>
    <t xml:space="preserve">  General Fund(Gen has Levy)</t>
  </si>
  <si>
    <t>The transfer can not exceed 25% of Resouces Available</t>
  </si>
  <si>
    <t xml:space="preserve">General </t>
  </si>
  <si>
    <t>The following were changed to this spreadsheet on 10/14/2008</t>
  </si>
  <si>
    <t>1. Input tab (inputPrYr) added column for the current year expenditures.</t>
  </si>
  <si>
    <t xml:space="preserve">3. All tax levy funds and no tax levy funds fund pages made the following changes: </t>
  </si>
  <si>
    <t>3a. Made the total expenditures block for the actual and current year to turn 'Red' if violation occurs.</t>
  </si>
  <si>
    <r>
      <t>3b. Unencumbered Cash for the actual year turn '</t>
    </r>
    <r>
      <rPr>
        <sz val="12"/>
        <color indexed="10"/>
        <rFont val="Times New Roman"/>
        <family val="1"/>
      </rPr>
      <t>Red</t>
    </r>
    <r>
      <rPr>
        <sz val="12"/>
        <rFont val="Times New Roman"/>
        <family val="1"/>
      </rPr>
      <t>' if violation occurs.</t>
    </r>
  </si>
  <si>
    <r>
      <t xml:space="preserve">3c. In statements about violations, if no violation occurs, then a red </t>
    </r>
    <r>
      <rPr>
        <sz val="12"/>
        <color indexed="10"/>
        <rFont val="Times New Roman"/>
        <family val="1"/>
      </rPr>
      <t>'No'</t>
    </r>
    <r>
      <rPr>
        <sz val="12"/>
        <rFont val="Times New Roman"/>
        <family val="1"/>
      </rPr>
      <t xml:space="preserve"> will appear.</t>
    </r>
  </si>
  <si>
    <t>6. Neighborhood Revitalization (nhood) took off the protection for the page number and made the estimate rebate round the figures to whole dollars.</t>
  </si>
  <si>
    <t xml:space="preserve">7. Instruction page have changed all reference for Bond &amp; Interest to Debt Service. </t>
  </si>
  <si>
    <t>8. Added to the instruction page lines 11a - 11c to provide a little more insight for the Neighborhood Revitalization rebate.</t>
  </si>
  <si>
    <t>9. Added instruction line 2b to explain how to delete delinquency rate from tax levy fund pages.</t>
  </si>
  <si>
    <t>10. Changed the Bond &amp; Interest tab (B&amp;I) to Debt Service tab (DebtService).</t>
  </si>
  <si>
    <t>11. Changed the revised date on all pages changed.</t>
  </si>
  <si>
    <t>2b. If the township chooses not to use the delinquency rate for all tax levy funds, then the township must delete the rate from those funds. First step, go to the fund tab the fund not requiring the delinquency rate, take the protection off the sheet by going to the 'Tools' and scrolling down to 'Protect' slide to right to 'Unprotect' and press enter. Next, go to the delinquency rate cell and press 'delete' key and put the protection back on by going to 'Tools' and scrolling down to 'Protect Sheet' and press the 'OK' button. Go to the next fund tab and complete the same steps.</t>
  </si>
  <si>
    <r>
      <t xml:space="preserve">5. All no tax levy fund pages added to the proposed column unencumbered cash balance block will turn </t>
    </r>
    <r>
      <rPr>
        <sz val="12"/>
        <color indexed="10"/>
        <rFont val="Times New Roman"/>
        <family val="1"/>
      </rPr>
      <t>red</t>
    </r>
    <r>
      <rPr>
        <sz val="12"/>
        <rFont val="Times New Roman"/>
        <family val="1"/>
      </rPr>
      <t xml:space="preserve"> and below will say in red '</t>
    </r>
    <r>
      <rPr>
        <sz val="12"/>
        <color indexed="10"/>
        <rFont val="Times New Roman"/>
        <family val="1"/>
      </rPr>
      <t>Budget Violation</t>
    </r>
    <r>
      <rPr>
        <sz val="12"/>
        <rFont val="Times New Roman"/>
        <family val="1"/>
      </rPr>
      <t>' if the cash balance is negative.</t>
    </r>
  </si>
  <si>
    <t>13. Allow the General Fund transfer of 25% to Special Machinery to include ad valorem taxes into the computation of the 25% limitation in the proposed column.</t>
  </si>
  <si>
    <t>Does the General Fund have a tax levy</t>
  </si>
  <si>
    <t>Does the transfer exceed 25% of Resources Available</t>
  </si>
  <si>
    <t>12. Added instruction lines 9g to 9l for additional edits for budget authority.</t>
  </si>
  <si>
    <t>2. Added to all tax levy fund pages the miscellaneous receipt for the proposed year comparison takes into account the ad valorem taxes for the 10% Rule.</t>
  </si>
  <si>
    <t>Transfer to Spec. Mach.(No Levy)</t>
  </si>
  <si>
    <t>Transfer to Spec. Mach.(Gen has Levy)</t>
  </si>
  <si>
    <t>Input sheet for Township budget form</t>
  </si>
  <si>
    <t>Statute</t>
  </si>
  <si>
    <t>Fund name for all funds with a tax levy:</t>
  </si>
  <si>
    <t>General</t>
  </si>
  <si>
    <t>79-1962</t>
  </si>
  <si>
    <t>Road</t>
  </si>
  <si>
    <t>Total</t>
  </si>
  <si>
    <t>Recreational Vehicle Tax Estimate</t>
  </si>
  <si>
    <t xml:space="preserve"> </t>
  </si>
  <si>
    <t>County</t>
  </si>
  <si>
    <t>Page</t>
  </si>
  <si>
    <t>Clerk's</t>
  </si>
  <si>
    <t>Table of Contents:</t>
  </si>
  <si>
    <t>No.</t>
  </si>
  <si>
    <t>Expenditure</t>
  </si>
  <si>
    <t>Use Only</t>
  </si>
  <si>
    <t>Fund</t>
  </si>
  <si>
    <t>K.S.A.</t>
  </si>
  <si>
    <t>Special Machinery</t>
  </si>
  <si>
    <t>Totals</t>
  </si>
  <si>
    <t>x</t>
  </si>
  <si>
    <t xml:space="preserve">         </t>
  </si>
  <si>
    <t>Assisted by:</t>
  </si>
  <si>
    <t xml:space="preserve">    Governing Body</t>
  </si>
  <si>
    <t>County Clerk</t>
  </si>
  <si>
    <t>The following were changed to this spreadsheet on 2/02/09</t>
  </si>
  <si>
    <t>1. General fund cell c51formula changed to calulate the Unecumber Cash Balance correctly.</t>
  </si>
  <si>
    <t xml:space="preserve">K.S.A. 79-2926 requires budgets to be submited by electronic means. Contact your County Clerk for the specify instruction as to submission of the budget.  </t>
  </si>
  <si>
    <t>The following were changed to this spreadsheet on 2/23/09</t>
  </si>
  <si>
    <t>1. Instruction under Submitting of Budget ….required electronic submission.</t>
  </si>
  <si>
    <t>2. Input other tab line 45 change from Budget Summary to Budget Certificate.</t>
  </si>
  <si>
    <t>Debt Service</t>
  </si>
  <si>
    <t>The following were changed to this spreadsheet on 3/19/09</t>
  </si>
  <si>
    <t>1. Certificat page changed fund name from Bond &amp; Interest to Debt Service</t>
  </si>
  <si>
    <t>2. Debt Service fund page name from Bond &amp; Interest to Debt Service</t>
  </si>
  <si>
    <t>3.Budget Summary changed fund name from Bond &amp; Interest to Debt Service</t>
  </si>
  <si>
    <t>The following were changed to this spreadsheet on 4/3/09</t>
  </si>
  <si>
    <t>1. Corrected mvalloc column d for ad valorem tax as was picking up expenditures instead</t>
  </si>
  <si>
    <t>2. Corrected gen unencumbered cash balances for both actual and current columns</t>
  </si>
  <si>
    <t>The following were changed to this spreadsheet on 5/5/09</t>
  </si>
  <si>
    <t>1. Summ tab, the special machinery's expenditure block B34 link was changed from C63 to B63</t>
  </si>
  <si>
    <t>The following were changed to this spreadsheet on 5/13/09</t>
  </si>
  <si>
    <t>1. Transfer tab, changed cells c12, d12, and e12 to reflect link on the gen tab transfer from 43 to 45</t>
  </si>
  <si>
    <t>The following were changed to this spreadsheet on 5/14/09</t>
  </si>
  <si>
    <t>1. Mvalloc tab, changed cell d10  to -2 vs -1 to reflect correct year to tax</t>
  </si>
  <si>
    <t xml:space="preserve">2. Mvalloc tab, changed cells d12-21 to add = in formula to prevent VALUE error - affects very few townships </t>
  </si>
  <si>
    <t>68-518c</t>
  </si>
  <si>
    <r>
      <rPr>
        <b/>
        <sz val="12"/>
        <color indexed="10"/>
        <rFont val="Times New Roman"/>
        <family val="1"/>
      </rPr>
      <t>*</t>
    </r>
    <r>
      <rPr>
        <b/>
        <sz val="12"/>
        <rFont val="Times New Roman"/>
        <family val="1"/>
      </rPr>
      <t>If amended, then use the amended figures.</t>
    </r>
    <r>
      <rPr>
        <b/>
        <sz val="12"/>
        <color indexed="10"/>
        <rFont val="Times New Roman"/>
        <family val="1"/>
      </rPr>
      <t>*</t>
    </r>
  </si>
  <si>
    <t>The following were changed to this spreadsheet on 8/25/09</t>
  </si>
  <si>
    <t>Transfers - Townships</t>
  </si>
  <si>
    <t>1. Cert tab line 14, added 'If amended….'</t>
  </si>
</sst>
</file>

<file path=xl/styles.xml><?xml version="1.0" encoding="utf-8"?>
<styleSheet xmlns="http://schemas.openxmlformats.org/spreadsheetml/2006/main">
  <numFmts count="14">
    <numFmt numFmtId="43" formatCode="_(* #,##0.00_);_(* \(#,##0.00\);_(* &quot;-&quot;??_);_(@_)"/>
    <numFmt numFmtId="164" formatCode="0_)"/>
    <numFmt numFmtId="165" formatCode="0.000_)"/>
    <numFmt numFmtId="166" formatCode="0.00000_)"/>
    <numFmt numFmtId="167" formatCode="0.00000"/>
    <numFmt numFmtId="168" formatCode="m/d/yy"/>
    <numFmt numFmtId="169" formatCode="m/d"/>
    <numFmt numFmtId="170" formatCode="#,##0.000_);\(#,##0.000\)"/>
    <numFmt numFmtId="171" formatCode="0.000%"/>
    <numFmt numFmtId="172" formatCode="0.000"/>
    <numFmt numFmtId="173" formatCode="_(* #,##0_);_(* \(#,##0\);_(* &quot;-&quot;??_);_(@_)"/>
    <numFmt numFmtId="174" formatCode="#,##0.000"/>
    <numFmt numFmtId="175" formatCode="[$-409]mmmm\ d\,\ yyyy;@"/>
    <numFmt numFmtId="176" formatCode="[$-409]h:mm\ AM/PM;@"/>
  </numFmts>
  <fonts count="39">
    <font>
      <sz val="12"/>
      <name val="Courier New"/>
    </font>
    <font>
      <sz val="12"/>
      <name val="Courier New"/>
      <family val="3"/>
    </font>
    <font>
      <sz val="12"/>
      <name val="Courier"/>
      <family val="3"/>
    </font>
    <font>
      <b/>
      <sz val="12"/>
      <name val="Times New Roman"/>
      <family val="1"/>
    </font>
    <font>
      <sz val="12"/>
      <name val="Times New Roman"/>
      <family val="1"/>
    </font>
    <font>
      <u/>
      <sz val="12"/>
      <name val="Times New Roman"/>
      <family val="1"/>
    </font>
    <font>
      <sz val="14"/>
      <name val="Times New Roman"/>
      <family val="1"/>
    </font>
    <font>
      <sz val="11"/>
      <name val="Times New Roman"/>
      <family val="1"/>
    </font>
    <font>
      <sz val="10"/>
      <name val="Times New Roman"/>
      <family val="1"/>
    </font>
    <font>
      <sz val="10"/>
      <name val="Courier New"/>
      <family val="3"/>
    </font>
    <font>
      <u/>
      <sz val="12"/>
      <color indexed="12"/>
      <name val="Courier New"/>
      <family val="3"/>
    </font>
    <font>
      <sz val="8"/>
      <name val="Courier New"/>
      <family val="3"/>
    </font>
    <font>
      <i/>
      <sz val="11"/>
      <name val="Times New Roman"/>
      <family val="1"/>
    </font>
    <font>
      <b/>
      <sz val="11"/>
      <name val="Times New Roman"/>
      <family val="1"/>
    </font>
    <font>
      <b/>
      <sz val="8"/>
      <name val="Times New Roman"/>
      <family val="1"/>
    </font>
    <font>
      <sz val="12"/>
      <color indexed="10"/>
      <name val="Times New Roman"/>
      <family val="1"/>
    </font>
    <font>
      <b/>
      <u/>
      <sz val="12"/>
      <color indexed="10"/>
      <name val="Times New Roman"/>
      <family val="1"/>
    </font>
    <font>
      <b/>
      <u/>
      <sz val="12"/>
      <name val="Times New Roman"/>
      <family val="1"/>
    </font>
    <font>
      <b/>
      <sz val="12"/>
      <color indexed="10"/>
      <name val="Times New Roman"/>
      <family val="1"/>
    </font>
    <font>
      <b/>
      <sz val="12"/>
      <name val="Courier"/>
      <family val="3"/>
    </font>
    <font>
      <sz val="12"/>
      <color indexed="10"/>
      <name val="Courier"/>
      <family val="3"/>
    </font>
    <font>
      <sz val="12"/>
      <color indexed="10"/>
      <name val="Courier New"/>
      <family val="3"/>
    </font>
    <font>
      <sz val="11"/>
      <color indexed="8"/>
      <name val="Times New Roman"/>
      <family val="1"/>
    </font>
    <font>
      <b/>
      <sz val="11"/>
      <color indexed="8"/>
      <name val="Times New Roman"/>
      <family val="1"/>
    </font>
    <font>
      <i/>
      <sz val="12"/>
      <name val="Times New Roman"/>
      <family val="1"/>
    </font>
    <font>
      <sz val="8"/>
      <name val="Times New Roman"/>
      <family val="1"/>
    </font>
    <font>
      <b/>
      <sz val="12"/>
      <color indexed="8"/>
      <name val="Times New Roman"/>
      <family val="1"/>
    </font>
    <font>
      <sz val="12"/>
      <color indexed="8"/>
      <name val="Times New Roman"/>
      <family val="1"/>
    </font>
    <font>
      <b/>
      <u/>
      <sz val="16"/>
      <name val="Times New Roman"/>
      <family val="1"/>
    </font>
    <font>
      <b/>
      <u/>
      <sz val="8"/>
      <color indexed="10"/>
      <name val="Times New Roman"/>
      <family val="1"/>
    </font>
    <font>
      <b/>
      <u/>
      <sz val="14"/>
      <name val="Times New Roman"/>
      <family val="1"/>
    </font>
    <font>
      <b/>
      <u/>
      <sz val="12"/>
      <name val="Courier"/>
      <family val="3"/>
    </font>
    <font>
      <i/>
      <sz val="12"/>
      <name val="Courier"/>
      <family val="3"/>
    </font>
    <font>
      <i/>
      <u/>
      <sz val="12"/>
      <name val="Courier"/>
      <family val="3"/>
    </font>
    <font>
      <sz val="12"/>
      <name val="Courier New"/>
      <family val="3"/>
    </font>
    <font>
      <sz val="12"/>
      <color indexed="8"/>
      <name val="Times New Roman"/>
      <family val="1"/>
    </font>
    <font>
      <b/>
      <u/>
      <sz val="12"/>
      <color indexed="10"/>
      <name val="Times New Roman"/>
      <family val="1"/>
    </font>
    <font>
      <sz val="11"/>
      <color indexed="8"/>
      <name val="Times New Roman"/>
      <family val="1"/>
    </font>
    <font>
      <u/>
      <sz val="12"/>
      <color indexed="10"/>
      <name val="Times New Roman"/>
      <family val="1"/>
    </font>
  </fonts>
  <fills count="12">
    <fill>
      <patternFill patternType="none"/>
    </fill>
    <fill>
      <patternFill patternType="gray125"/>
    </fill>
    <fill>
      <patternFill patternType="solid">
        <fgColor indexed="11"/>
      </patternFill>
    </fill>
    <fill>
      <patternFill patternType="solid">
        <fgColor indexed="11"/>
        <bgColor indexed="64"/>
      </patternFill>
    </fill>
    <fill>
      <patternFill patternType="solid">
        <fgColor indexed="26"/>
        <bgColor indexed="64"/>
      </patternFill>
    </fill>
    <fill>
      <patternFill patternType="solid">
        <fgColor indexed="35"/>
        <bgColor indexed="64"/>
      </patternFill>
    </fill>
    <fill>
      <patternFill patternType="solid">
        <fgColor indexed="41"/>
        <bgColor indexed="64"/>
      </patternFill>
    </fill>
    <fill>
      <patternFill patternType="solid">
        <fgColor indexed="15"/>
        <bgColor indexed="64"/>
      </patternFill>
    </fill>
    <fill>
      <patternFill patternType="solid">
        <fgColor indexed="43"/>
        <bgColor indexed="64"/>
      </patternFill>
    </fill>
    <fill>
      <patternFill patternType="solid">
        <fgColor indexed="10"/>
        <bgColor indexed="64"/>
      </patternFill>
    </fill>
    <fill>
      <patternFill patternType="solid">
        <fgColor indexed="13"/>
        <bgColor indexed="64"/>
      </patternFill>
    </fill>
    <fill>
      <patternFill patternType="solid">
        <fgColor indexed="34"/>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diagonal/>
    </border>
  </borders>
  <cellStyleXfs count="26">
    <xf numFmtId="0" fontId="0" fillId="0" borderId="0"/>
    <xf numFmtId="43" fontId="1" fillId="0" borderId="0" applyFont="0" applyFill="0" applyBorder="0" applyAlignment="0" applyProtection="0"/>
    <xf numFmtId="0" fontId="10" fillId="0" borderId="0" applyNumberFormat="0" applyFill="0" applyBorder="0" applyAlignment="0" applyProtection="0">
      <alignment vertical="top"/>
      <protection locked="0"/>
    </xf>
    <xf numFmtId="0" fontId="34"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cellStyleXfs>
  <cellXfs count="603">
    <xf numFmtId="0" fontId="0" fillId="0" borderId="0" xfId="0"/>
    <xf numFmtId="0" fontId="4" fillId="0" borderId="0" xfId="0" applyFont="1"/>
    <xf numFmtId="0" fontId="4" fillId="0" borderId="0" xfId="0" applyFont="1" applyAlignment="1">
      <alignment horizontal="left"/>
    </xf>
    <xf numFmtId="0" fontId="3" fillId="0" borderId="0" xfId="0" applyFont="1" applyAlignment="1">
      <alignment horizontal="center"/>
    </xf>
    <xf numFmtId="0" fontId="4" fillId="0" borderId="0" xfId="0" applyFont="1" applyAlignment="1">
      <alignment wrapText="1"/>
    </xf>
    <xf numFmtId="0" fontId="4" fillId="0" borderId="0" xfId="0" applyFont="1" applyProtection="1">
      <protection locked="0"/>
    </xf>
    <xf numFmtId="0" fontId="4" fillId="0" borderId="0" xfId="0" applyFont="1" applyAlignment="1" applyProtection="1">
      <alignment horizontal="left" wrapText="1"/>
    </xf>
    <xf numFmtId="0" fontId="4" fillId="0" borderId="0" xfId="0" applyFont="1" applyAlignment="1" applyProtection="1">
      <alignment wrapText="1"/>
    </xf>
    <xf numFmtId="37" fontId="4" fillId="2" borderId="1" xfId="0" applyNumberFormat="1" applyFont="1" applyFill="1" applyBorder="1" applyProtection="1">
      <protection locked="0"/>
    </xf>
    <xf numFmtId="165" fontId="4" fillId="2" borderId="1" xfId="0" applyNumberFormat="1" applyFont="1" applyFill="1" applyBorder="1" applyProtection="1">
      <protection locked="0"/>
    </xf>
    <xf numFmtId="37" fontId="4" fillId="2" borderId="1" xfId="0" applyNumberFormat="1" applyFont="1" applyFill="1" applyBorder="1" applyAlignment="1" applyProtection="1">
      <alignment horizontal="left"/>
      <protection locked="0"/>
    </xf>
    <xf numFmtId="0" fontId="4" fillId="0" borderId="0" xfId="0" applyFont="1" applyBorder="1" applyProtection="1">
      <protection locked="0"/>
    </xf>
    <xf numFmtId="37" fontId="4" fillId="3" borderId="2" xfId="0" applyNumberFormat="1" applyFont="1" applyFill="1" applyBorder="1" applyAlignment="1" applyProtection="1">
      <alignment horizontal="left"/>
      <protection locked="0"/>
    </xf>
    <xf numFmtId="0" fontId="3" fillId="0" borderId="0" xfId="0" applyFont="1" applyProtection="1">
      <protection locked="0"/>
    </xf>
    <xf numFmtId="3" fontId="4" fillId="3" borderId="1" xfId="0" applyNumberFormat="1" applyFont="1" applyFill="1" applyBorder="1" applyProtection="1">
      <protection locked="0"/>
    </xf>
    <xf numFmtId="37" fontId="4" fillId="4" borderId="1" xfId="0" applyNumberFormat="1" applyFont="1" applyFill="1" applyBorder="1" applyProtection="1"/>
    <xf numFmtId="0" fontId="4" fillId="4" borderId="0" xfId="0" applyFont="1" applyFill="1" applyProtection="1"/>
    <xf numFmtId="37" fontId="4" fillId="4" borderId="2" xfId="0" applyNumberFormat="1" applyFont="1" applyFill="1" applyBorder="1" applyAlignment="1" applyProtection="1">
      <alignment horizontal="fill"/>
    </xf>
    <xf numFmtId="37" fontId="4" fillId="4" borderId="0" xfId="0" applyNumberFormat="1" applyFont="1" applyFill="1" applyAlignment="1" applyProtection="1">
      <alignment horizontal="left"/>
    </xf>
    <xf numFmtId="37" fontId="4" fillId="4" borderId="0" xfId="0" applyNumberFormat="1" applyFont="1" applyFill="1" applyAlignment="1" applyProtection="1">
      <alignment horizontal="center"/>
    </xf>
    <xf numFmtId="37" fontId="4" fillId="4" borderId="0" xfId="0" applyNumberFormat="1" applyFont="1" applyFill="1" applyProtection="1"/>
    <xf numFmtId="3" fontId="4" fillId="4" borderId="0" xfId="0" applyNumberFormat="1" applyFont="1" applyFill="1" applyProtection="1"/>
    <xf numFmtId="0" fontId="3" fillId="4" borderId="0" xfId="0" applyFont="1" applyFill="1" applyProtection="1"/>
    <xf numFmtId="0" fontId="4" fillId="4" borderId="0" xfId="0" applyFont="1" applyFill="1" applyBorder="1" applyProtection="1"/>
    <xf numFmtId="37" fontId="4" fillId="4" borderId="0" xfId="0" applyNumberFormat="1" applyFont="1" applyFill="1" applyAlignment="1" applyProtection="1">
      <alignment horizontal="right"/>
    </xf>
    <xf numFmtId="0" fontId="4" fillId="4" borderId="0" xfId="0" applyFont="1" applyFill="1" applyAlignment="1" applyProtection="1">
      <alignment horizontal="centerContinuous"/>
    </xf>
    <xf numFmtId="37" fontId="4" fillId="4" borderId="3" xfId="0" applyNumberFormat="1" applyFont="1" applyFill="1" applyBorder="1" applyAlignment="1" applyProtection="1">
      <alignment horizontal="center"/>
    </xf>
    <xf numFmtId="37" fontId="4" fillId="4" borderId="4" xfId="0" applyNumberFormat="1" applyFont="1" applyFill="1" applyBorder="1" applyAlignment="1" applyProtection="1">
      <alignment horizontal="center"/>
    </xf>
    <xf numFmtId="164" fontId="4" fillId="4" borderId="0" xfId="0" applyNumberFormat="1" applyFont="1" applyFill="1" applyProtection="1"/>
    <xf numFmtId="0" fontId="4" fillId="4" borderId="1" xfId="0" applyFont="1" applyFill="1" applyBorder="1" applyAlignment="1" applyProtection="1">
      <alignment horizontal="center"/>
    </xf>
    <xf numFmtId="0" fontId="4" fillId="4" borderId="3" xfId="0" applyFont="1" applyFill="1" applyBorder="1" applyProtection="1"/>
    <xf numFmtId="37" fontId="4" fillId="4" borderId="1" xfId="0" applyNumberFormat="1" applyFont="1" applyFill="1" applyBorder="1" applyAlignment="1" applyProtection="1">
      <alignment horizontal="left"/>
    </xf>
    <xf numFmtId="0" fontId="4" fillId="4" borderId="1" xfId="0" applyFont="1" applyFill="1" applyBorder="1" applyProtection="1"/>
    <xf numFmtId="1" fontId="4" fillId="4" borderId="3" xfId="0" applyNumberFormat="1" applyFont="1" applyFill="1" applyBorder="1" applyAlignment="1" applyProtection="1">
      <alignment horizontal="center"/>
    </xf>
    <xf numFmtId="37" fontId="3" fillId="4" borderId="0" xfId="0" applyNumberFormat="1" applyFont="1" applyFill="1" applyAlignment="1" applyProtection="1">
      <alignment horizontal="left"/>
    </xf>
    <xf numFmtId="37" fontId="4" fillId="4" borderId="2" xfId="0" applyNumberFormat="1" applyFont="1" applyFill="1" applyBorder="1" applyAlignment="1" applyProtection="1">
      <alignment horizontal="left"/>
    </xf>
    <xf numFmtId="37" fontId="3" fillId="4" borderId="0" xfId="0" applyNumberFormat="1" applyFont="1" applyFill="1" applyAlignment="1" applyProtection="1">
      <alignment horizontal="centerContinuous"/>
    </xf>
    <xf numFmtId="37" fontId="4" fillId="4" borderId="0" xfId="0" applyNumberFormat="1" applyFont="1" applyFill="1" applyAlignment="1" applyProtection="1">
      <alignment horizontal="centerContinuous"/>
    </xf>
    <xf numFmtId="0" fontId="3" fillId="4" borderId="0" xfId="0" applyFont="1" applyFill="1" applyAlignment="1" applyProtection="1">
      <alignment horizontal="centerContinuous"/>
    </xf>
    <xf numFmtId="1" fontId="4" fillId="4" borderId="5" xfId="0" applyNumberFormat="1" applyFont="1" applyFill="1" applyBorder="1" applyAlignment="1" applyProtection="1">
      <alignment horizontal="centerContinuous"/>
    </xf>
    <xf numFmtId="1" fontId="4" fillId="4" borderId="6" xfId="0" applyNumberFormat="1" applyFont="1" applyFill="1" applyBorder="1" applyAlignment="1" applyProtection="1">
      <alignment horizontal="centerContinuous"/>
    </xf>
    <xf numFmtId="0" fontId="4" fillId="4" borderId="6" xfId="0" applyFont="1" applyFill="1" applyBorder="1" applyAlignment="1" applyProtection="1">
      <alignment horizontal="centerContinuous"/>
    </xf>
    <xf numFmtId="37" fontId="4" fillId="4" borderId="5" xfId="0" applyNumberFormat="1" applyFont="1" applyFill="1" applyBorder="1" applyAlignment="1" applyProtection="1">
      <alignment horizontal="centerContinuous"/>
    </xf>
    <xf numFmtId="0" fontId="4" fillId="4" borderId="7" xfId="0" applyFont="1" applyFill="1" applyBorder="1" applyAlignment="1" applyProtection="1">
      <alignment horizontal="centerContinuous"/>
    </xf>
    <xf numFmtId="37" fontId="4" fillId="4" borderId="8" xfId="0" applyNumberFormat="1" applyFont="1" applyFill="1" applyBorder="1" applyAlignment="1" applyProtection="1">
      <alignment horizontal="center"/>
    </xf>
    <xf numFmtId="37" fontId="4" fillId="4" borderId="9" xfId="0" applyNumberFormat="1" applyFont="1" applyFill="1" applyBorder="1" applyAlignment="1" applyProtection="1">
      <alignment horizontal="center"/>
    </xf>
    <xf numFmtId="165" fontId="4" fillId="4" borderId="1" xfId="0" applyNumberFormat="1" applyFont="1" applyFill="1" applyBorder="1" applyProtection="1"/>
    <xf numFmtId="1" fontId="4" fillId="4" borderId="2" xfId="0" applyNumberFormat="1" applyFont="1" applyFill="1" applyBorder="1" applyAlignment="1" applyProtection="1">
      <alignment horizontal="center"/>
    </xf>
    <xf numFmtId="0" fontId="4" fillId="4" borderId="2" xfId="0" applyFont="1" applyFill="1" applyBorder="1" applyProtection="1"/>
    <xf numFmtId="0" fontId="4" fillId="4" borderId="9" xfId="0" applyFont="1" applyFill="1" applyBorder="1" applyProtection="1"/>
    <xf numFmtId="37" fontId="4" fillId="4" borderId="1" xfId="0" applyNumberFormat="1" applyFont="1" applyFill="1" applyBorder="1" applyAlignment="1" applyProtection="1">
      <alignment horizontal="fill"/>
    </xf>
    <xf numFmtId="0" fontId="4" fillId="4" borderId="7" xfId="0" applyFont="1" applyFill="1" applyBorder="1" applyProtection="1"/>
    <xf numFmtId="37" fontId="4" fillId="4" borderId="0" xfId="0" applyNumberFormat="1" applyFont="1" applyFill="1" applyBorder="1" applyAlignment="1" applyProtection="1">
      <alignment horizontal="left"/>
    </xf>
    <xf numFmtId="37" fontId="4" fillId="4" borderId="0" xfId="0" applyNumberFormat="1" applyFont="1" applyFill="1" applyBorder="1" applyProtection="1"/>
    <xf numFmtId="37" fontId="4" fillId="3" borderId="7" xfId="0" applyNumberFormat="1" applyFont="1" applyFill="1" applyBorder="1" applyAlignment="1" applyProtection="1">
      <alignment horizontal="left"/>
      <protection locked="0"/>
    </xf>
    <xf numFmtId="0" fontId="4" fillId="5" borderId="0" xfId="0" applyFont="1" applyFill="1" applyProtection="1"/>
    <xf numFmtId="0" fontId="4" fillId="4" borderId="0" xfId="0" applyFont="1" applyFill="1" applyProtection="1">
      <protection locked="0"/>
    </xf>
    <xf numFmtId="0" fontId="3" fillId="5" borderId="0" xfId="0" applyFont="1" applyFill="1" applyProtection="1"/>
    <xf numFmtId="0" fontId="4" fillId="4" borderId="6" xfId="0" applyFont="1" applyFill="1" applyBorder="1" applyProtection="1"/>
    <xf numFmtId="0" fontId="12" fillId="0" borderId="0" xfId="0" applyFont="1" applyAlignment="1">
      <alignment horizontal="center"/>
    </xf>
    <xf numFmtId="0" fontId="7" fillId="0" borderId="0" xfId="0" applyFont="1" applyAlignment="1">
      <alignment horizontal="center"/>
    </xf>
    <xf numFmtId="0" fontId="13" fillId="0" borderId="0" xfId="0" applyFont="1"/>
    <xf numFmtId="0" fontId="7" fillId="0" borderId="0" xfId="0" applyFont="1"/>
    <xf numFmtId="0" fontId="7" fillId="0" borderId="0" xfId="0" applyFont="1" applyAlignment="1">
      <alignment horizontal="left" indent="1"/>
    </xf>
    <xf numFmtId="0" fontId="14" fillId="0" borderId="0" xfId="0" applyFont="1"/>
    <xf numFmtId="0" fontId="7" fillId="0" borderId="0" xfId="0" applyFont="1" applyAlignment="1">
      <alignment horizontal="left"/>
    </xf>
    <xf numFmtId="0" fontId="12" fillId="0" borderId="0" xfId="0" applyFont="1" applyAlignment="1">
      <alignment horizontal="left"/>
    </xf>
    <xf numFmtId="0" fontId="13" fillId="0" borderId="0" xfId="0" applyFont="1" applyAlignment="1">
      <alignment horizontal="left"/>
    </xf>
    <xf numFmtId="37" fontId="4" fillId="4" borderId="1" xfId="0" applyNumberFormat="1" applyFont="1" applyFill="1" applyBorder="1" applyAlignment="1" applyProtection="1">
      <alignment horizontal="center"/>
    </xf>
    <xf numFmtId="37" fontId="3" fillId="6" borderId="0" xfId="0" applyNumberFormat="1" applyFont="1" applyFill="1" applyAlignment="1" applyProtection="1">
      <alignment horizontal="left"/>
    </xf>
    <xf numFmtId="0" fontId="4" fillId="6" borderId="0" xfId="0" applyFont="1" applyFill="1" applyProtection="1"/>
    <xf numFmtId="37" fontId="3" fillId="4" borderId="0" xfId="0" applyNumberFormat="1" applyFont="1" applyFill="1" applyAlignment="1" applyProtection="1">
      <alignment horizontal="centerContinuous" vertical="justify"/>
    </xf>
    <xf numFmtId="0" fontId="3" fillId="4" borderId="0" xfId="0" applyFont="1" applyFill="1" applyAlignment="1" applyProtection="1">
      <alignment horizontal="centerContinuous" vertical="justify"/>
    </xf>
    <xf numFmtId="0" fontId="4" fillId="4" borderId="0" xfId="0" applyFont="1" applyFill="1" applyAlignment="1" applyProtection="1">
      <alignment horizontal="right"/>
    </xf>
    <xf numFmtId="0" fontId="4" fillId="3" borderId="0" xfId="0" applyFont="1" applyFill="1" applyAlignment="1" applyProtection="1">
      <alignment horizontal="left"/>
      <protection locked="0"/>
    </xf>
    <xf numFmtId="0" fontId="4" fillId="0" borderId="0" xfId="0" applyFont="1" applyAlignment="1">
      <alignment horizontal="right"/>
    </xf>
    <xf numFmtId="0" fontId="4" fillId="4" borderId="0" xfId="0" applyFont="1" applyFill="1" applyAlignment="1" applyProtection="1">
      <alignment horizontal="center"/>
    </xf>
    <xf numFmtId="0" fontId="5" fillId="4" borderId="0" xfId="0" applyFont="1" applyFill="1" applyAlignment="1" applyProtection="1">
      <alignment horizontal="center"/>
    </xf>
    <xf numFmtId="0" fontId="4" fillId="4" borderId="0" xfId="0" applyNumberFormat="1" applyFont="1" applyFill="1" applyAlignment="1" applyProtection="1">
      <alignment horizontal="center"/>
    </xf>
    <xf numFmtId="0" fontId="0" fillId="4" borderId="0" xfId="0" applyFill="1"/>
    <xf numFmtId="165" fontId="4" fillId="2" borderId="4" xfId="0" applyNumberFormat="1" applyFont="1" applyFill="1" applyBorder="1" applyProtection="1">
      <protection locked="0"/>
    </xf>
    <xf numFmtId="0" fontId="4" fillId="4" borderId="2" xfId="0" applyFont="1" applyFill="1" applyBorder="1" applyAlignment="1" applyProtection="1">
      <alignment horizontal="left"/>
    </xf>
    <xf numFmtId="37" fontId="4" fillId="4" borderId="0" xfId="0" applyNumberFormat="1" applyFont="1" applyFill="1" applyBorder="1" applyProtection="1">
      <protection locked="0"/>
    </xf>
    <xf numFmtId="0" fontId="4" fillId="7" borderId="0" xfId="0" applyFont="1" applyFill="1" applyProtection="1"/>
    <xf numFmtId="0" fontId="4" fillId="4" borderId="2" xfId="0" applyFont="1" applyFill="1" applyBorder="1" applyAlignment="1" applyProtection="1">
      <alignment horizontal="center"/>
    </xf>
    <xf numFmtId="0" fontId="4" fillId="5" borderId="2" xfId="0" applyFont="1" applyFill="1" applyBorder="1" applyProtection="1"/>
    <xf numFmtId="0" fontId="4" fillId="4" borderId="9" xfId="0" applyFont="1" applyFill="1" applyBorder="1" applyProtection="1">
      <protection locked="0"/>
    </xf>
    <xf numFmtId="0" fontId="4" fillId="5" borderId="7" xfId="0" applyFont="1" applyFill="1" applyBorder="1" applyProtection="1"/>
    <xf numFmtId="0" fontId="4" fillId="4" borderId="6" xfId="0" applyFont="1" applyFill="1" applyBorder="1" applyProtection="1">
      <protection locked="0"/>
    </xf>
    <xf numFmtId="0" fontId="4" fillId="4" borderId="7" xfId="0" applyFont="1" applyFill="1" applyBorder="1" applyProtection="1">
      <protection locked="0"/>
    </xf>
    <xf numFmtId="165" fontId="4" fillId="4" borderId="2" xfId="0" applyNumberFormat="1" applyFont="1" applyFill="1" applyBorder="1" applyProtection="1"/>
    <xf numFmtId="0" fontId="4" fillId="3" borderId="1" xfId="0" applyFont="1" applyFill="1" applyBorder="1" applyProtection="1">
      <protection locked="0"/>
    </xf>
    <xf numFmtId="0" fontId="4" fillId="3" borderId="0" xfId="0" applyFont="1" applyFill="1" applyAlignment="1" applyProtection="1">
      <alignment wrapText="1"/>
    </xf>
    <xf numFmtId="0" fontId="4" fillId="0" borderId="0" xfId="0" applyFont="1" applyFill="1" applyAlignment="1" applyProtection="1">
      <alignment wrapText="1"/>
    </xf>
    <xf numFmtId="0" fontId="4" fillId="4" borderId="0" xfId="0" applyFont="1" applyFill="1" applyAlignment="1">
      <alignment wrapText="1"/>
    </xf>
    <xf numFmtId="0" fontId="4" fillId="7" borderId="0" xfId="0" applyFont="1" applyFill="1" applyAlignment="1">
      <alignment wrapText="1"/>
    </xf>
    <xf numFmtId="37" fontId="4" fillId="0" borderId="0" xfId="0" applyNumberFormat="1" applyFont="1" applyFill="1" applyAlignment="1" applyProtection="1">
      <alignment horizontal="left" wrapText="1"/>
    </xf>
    <xf numFmtId="165" fontId="4" fillId="8" borderId="1" xfId="0" applyNumberFormat="1" applyFont="1" applyFill="1" applyBorder="1" applyProtection="1"/>
    <xf numFmtId="37" fontId="4" fillId="8" borderId="1" xfId="0" applyNumberFormat="1" applyFont="1" applyFill="1" applyBorder="1" applyProtection="1"/>
    <xf numFmtId="165" fontId="4" fillId="8" borderId="10" xfId="0" applyNumberFormat="1" applyFont="1" applyFill="1" applyBorder="1" applyProtection="1"/>
    <xf numFmtId="0" fontId="3" fillId="3" borderId="1" xfId="0" applyFont="1" applyFill="1" applyBorder="1" applyAlignment="1" applyProtection="1">
      <alignment horizontal="center"/>
      <protection locked="0"/>
    </xf>
    <xf numFmtId="37" fontId="17" fillId="4" borderId="0" xfId="0" applyNumberFormat="1" applyFont="1" applyFill="1" applyAlignment="1" applyProtection="1">
      <alignment horizontal="left"/>
    </xf>
    <xf numFmtId="37" fontId="4" fillId="8" borderId="10" xfId="0" applyNumberFormat="1" applyFont="1" applyFill="1" applyBorder="1" applyAlignment="1" applyProtection="1">
      <alignment horizontal="center"/>
    </xf>
    <xf numFmtId="0" fontId="0" fillId="3" borderId="0" xfId="0" applyFill="1" applyProtection="1">
      <protection locked="0"/>
    </xf>
    <xf numFmtId="3" fontId="4" fillId="3" borderId="1" xfId="0" applyNumberFormat="1" applyFont="1" applyFill="1" applyBorder="1" applyAlignment="1" applyProtection="1">
      <alignment horizontal="center"/>
      <protection locked="0"/>
    </xf>
    <xf numFmtId="174" fontId="4" fillId="4" borderId="1" xfId="0" applyNumberFormat="1" applyFont="1" applyFill="1" applyBorder="1" applyAlignment="1" applyProtection="1">
      <alignment horizontal="center"/>
    </xf>
    <xf numFmtId="3" fontId="4" fillId="4" borderId="1" xfId="0" applyNumberFormat="1" applyFont="1" applyFill="1" applyBorder="1" applyAlignment="1" applyProtection="1">
      <alignment horizontal="center"/>
    </xf>
    <xf numFmtId="3" fontId="4" fillId="3" borderId="3" xfId="0" applyNumberFormat="1" applyFont="1" applyFill="1" applyBorder="1" applyAlignment="1" applyProtection="1">
      <alignment horizontal="center"/>
      <protection locked="0"/>
    </xf>
    <xf numFmtId="3" fontId="4" fillId="4" borderId="10" xfId="0" applyNumberFormat="1" applyFont="1" applyFill="1" applyBorder="1" applyAlignment="1" applyProtection="1">
      <alignment horizontal="center"/>
    </xf>
    <xf numFmtId="174" fontId="4" fillId="4" borderId="10" xfId="0" applyNumberFormat="1" applyFont="1" applyFill="1" applyBorder="1" applyAlignment="1" applyProtection="1">
      <alignment horizontal="center"/>
    </xf>
    <xf numFmtId="3" fontId="4" fillId="4" borderId="2" xfId="0" applyNumberFormat="1" applyFont="1" applyFill="1" applyBorder="1" applyAlignment="1" applyProtection="1">
      <alignment horizontal="center"/>
    </xf>
    <xf numFmtId="174" fontId="4" fillId="4" borderId="2" xfId="0" applyNumberFormat="1" applyFont="1" applyFill="1" applyBorder="1" applyAlignment="1" applyProtection="1">
      <alignment horizontal="center"/>
    </xf>
    <xf numFmtId="174" fontId="4" fillId="4" borderId="0" xfId="0" applyNumberFormat="1" applyFont="1" applyFill="1" applyBorder="1" applyAlignment="1" applyProtection="1">
      <alignment horizontal="center"/>
    </xf>
    <xf numFmtId="0" fontId="4" fillId="4" borderId="0" xfId="0" applyFont="1" applyFill="1" applyAlignment="1">
      <alignment horizontal="right"/>
    </xf>
    <xf numFmtId="3" fontId="4" fillId="4" borderId="2" xfId="0" applyNumberFormat="1" applyFont="1" applyFill="1" applyBorder="1" applyAlignment="1">
      <alignment horizontal="center"/>
    </xf>
    <xf numFmtId="0" fontId="0" fillId="4" borderId="0" xfId="0" applyFill="1" applyAlignment="1">
      <alignment horizontal="center"/>
    </xf>
    <xf numFmtId="174" fontId="4" fillId="4" borderId="2" xfId="0" applyNumberFormat="1" applyFont="1" applyFill="1" applyBorder="1" applyAlignment="1">
      <alignment horizontal="center"/>
    </xf>
    <xf numFmtId="172" fontId="4" fillId="4" borderId="0" xfId="0" applyNumberFormat="1" applyFont="1" applyFill="1" applyBorder="1" applyProtection="1"/>
    <xf numFmtId="0" fontId="18" fillId="0" borderId="0" xfId="0" applyFont="1" applyAlignment="1">
      <alignment wrapText="1"/>
    </xf>
    <xf numFmtId="0" fontId="4" fillId="9" borderId="0" xfId="0" applyFont="1" applyFill="1"/>
    <xf numFmtId="37" fontId="4" fillId="7" borderId="4" xfId="0" applyNumberFormat="1" applyFont="1" applyFill="1" applyBorder="1" applyAlignment="1" applyProtection="1">
      <alignment horizontal="center"/>
    </xf>
    <xf numFmtId="0" fontId="5" fillId="7" borderId="3" xfId="0" applyNumberFormat="1" applyFont="1" applyFill="1" applyBorder="1" applyAlignment="1" applyProtection="1">
      <alignment horizontal="center"/>
    </xf>
    <xf numFmtId="0" fontId="5" fillId="7" borderId="11" xfId="0" applyNumberFormat="1" applyFont="1" applyFill="1" applyBorder="1" applyAlignment="1" applyProtection="1">
      <alignment horizontal="center"/>
    </xf>
    <xf numFmtId="0" fontId="4" fillId="7" borderId="12" xfId="0" applyFont="1" applyFill="1" applyBorder="1" applyAlignment="1">
      <alignment horizontal="center"/>
    </xf>
    <xf numFmtId="37" fontId="4" fillId="8" borderId="1" xfId="0" applyNumberFormat="1" applyFont="1" applyFill="1" applyBorder="1"/>
    <xf numFmtId="37" fontId="4" fillId="5" borderId="2" xfId="0" applyNumberFormat="1" applyFont="1" applyFill="1" applyBorder="1" applyAlignment="1" applyProtection="1">
      <alignment horizontal="left"/>
    </xf>
    <xf numFmtId="37" fontId="4" fillId="5" borderId="7" xfId="0" applyNumberFormat="1" applyFont="1" applyFill="1" applyBorder="1" applyAlignment="1" applyProtection="1">
      <alignment horizontal="left"/>
    </xf>
    <xf numFmtId="37" fontId="4" fillId="4" borderId="7" xfId="0" applyNumberFormat="1" applyFont="1" applyFill="1" applyBorder="1" applyProtection="1"/>
    <xf numFmtId="0" fontId="4" fillId="4" borderId="2" xfId="0" applyFont="1" applyFill="1" applyBorder="1" applyProtection="1">
      <protection locked="0"/>
    </xf>
    <xf numFmtId="0" fontId="4" fillId="2" borderId="0" xfId="0" applyFont="1" applyFill="1" applyAlignment="1" applyProtection="1">
      <alignment horizontal="left"/>
      <protection locked="0"/>
    </xf>
    <xf numFmtId="0" fontId="4" fillId="0" borderId="0" xfId="0" applyNumberFormat="1" applyFont="1" applyAlignment="1">
      <alignment wrapText="1"/>
    </xf>
    <xf numFmtId="37" fontId="4" fillId="4" borderId="0" xfId="0" applyNumberFormat="1" applyFont="1" applyFill="1" applyBorder="1" applyAlignment="1" applyProtection="1">
      <alignment horizontal="right"/>
    </xf>
    <xf numFmtId="0" fontId="3" fillId="4" borderId="0" xfId="0" applyFont="1" applyFill="1" applyAlignment="1" applyProtection="1">
      <alignment horizontal="center" vertical="center"/>
    </xf>
    <xf numFmtId="0" fontId="4" fillId="4" borderId="0" xfId="0" applyFont="1" applyFill="1" applyAlignment="1" applyProtection="1">
      <alignment vertical="center"/>
    </xf>
    <xf numFmtId="0" fontId="4" fillId="4" borderId="0" xfId="0" applyFont="1" applyFill="1" applyAlignment="1" applyProtection="1">
      <alignment horizontal="centerContinuous" vertical="center"/>
    </xf>
    <xf numFmtId="37" fontId="4" fillId="4" borderId="0" xfId="0" quotePrefix="1" applyNumberFormat="1" applyFont="1" applyFill="1" applyAlignment="1" applyProtection="1">
      <alignment horizontal="right" vertical="center"/>
    </xf>
    <xf numFmtId="37" fontId="4" fillId="4" borderId="0" xfId="0" applyNumberFormat="1" applyFont="1" applyFill="1" applyAlignment="1" applyProtection="1">
      <alignment horizontal="center" vertical="center"/>
    </xf>
    <xf numFmtId="37" fontId="4" fillId="4" borderId="0" xfId="0" applyNumberFormat="1" applyFont="1" applyFill="1" applyAlignment="1" applyProtection="1">
      <alignment horizontal="centerContinuous" vertical="center"/>
    </xf>
    <xf numFmtId="37" fontId="5" fillId="4" borderId="0" xfId="0" applyNumberFormat="1" applyFont="1" applyFill="1" applyAlignment="1" applyProtection="1">
      <alignment vertical="center"/>
    </xf>
    <xf numFmtId="37" fontId="4" fillId="4" borderId="0" xfId="0" applyNumberFormat="1" applyFont="1" applyFill="1" applyBorder="1" applyAlignment="1" applyProtection="1">
      <alignment horizontal="fill" vertical="center"/>
    </xf>
    <xf numFmtId="0" fontId="4" fillId="4" borderId="0" xfId="0" applyFont="1" applyFill="1" applyBorder="1" applyAlignment="1" applyProtection="1">
      <alignment vertical="center"/>
    </xf>
    <xf numFmtId="37" fontId="4" fillId="4" borderId="0" xfId="0" applyNumberFormat="1" applyFont="1" applyFill="1" applyAlignment="1" applyProtection="1">
      <alignment horizontal="left" vertical="center"/>
    </xf>
    <xf numFmtId="37" fontId="4" fillId="4" borderId="3" xfId="0" applyNumberFormat="1" applyFont="1" applyFill="1" applyBorder="1" applyAlignment="1" applyProtection="1">
      <alignment horizontal="left" vertical="center"/>
    </xf>
    <xf numFmtId="37" fontId="4" fillId="4" borderId="3" xfId="0" applyNumberFormat="1" applyFont="1" applyFill="1" applyBorder="1" applyAlignment="1" applyProtection="1">
      <alignment horizontal="center" vertical="center"/>
    </xf>
    <xf numFmtId="0" fontId="4" fillId="4" borderId="8" xfId="0" applyFont="1" applyFill="1" applyBorder="1" applyAlignment="1" applyProtection="1">
      <alignment vertical="center"/>
    </xf>
    <xf numFmtId="37" fontId="4" fillId="4" borderId="8" xfId="0" applyNumberFormat="1" applyFont="1" applyFill="1" applyBorder="1" applyAlignment="1" applyProtection="1">
      <alignment horizontal="center" vertical="center"/>
    </xf>
    <xf numFmtId="37" fontId="4" fillId="4" borderId="2" xfId="0" applyNumberFormat="1" applyFont="1" applyFill="1" applyBorder="1" applyAlignment="1" applyProtection="1">
      <alignment horizontal="left" vertical="center"/>
    </xf>
    <xf numFmtId="0" fontId="4" fillId="4" borderId="2" xfId="0" applyFont="1" applyFill="1" applyBorder="1" applyAlignment="1" applyProtection="1">
      <alignment vertical="center"/>
    </xf>
    <xf numFmtId="37" fontId="4" fillId="4" borderId="4" xfId="0" applyNumberFormat="1" applyFont="1" applyFill="1" applyBorder="1" applyAlignment="1" applyProtection="1">
      <alignment horizontal="center" vertical="center"/>
    </xf>
    <xf numFmtId="37" fontId="4" fillId="4" borderId="5" xfId="0" applyNumberFormat="1" applyFont="1" applyFill="1" applyBorder="1" applyAlignment="1" applyProtection="1">
      <alignment horizontal="left" vertical="center"/>
    </xf>
    <xf numFmtId="0" fontId="4" fillId="4" borderId="6" xfId="0" applyFont="1" applyFill="1" applyBorder="1" applyAlignment="1" applyProtection="1">
      <alignment vertical="center"/>
    </xf>
    <xf numFmtId="0" fontId="4" fillId="4" borderId="13" xfId="0" applyFont="1" applyFill="1" applyBorder="1" applyAlignment="1" applyProtection="1">
      <alignment vertical="center"/>
    </xf>
    <xf numFmtId="37" fontId="4" fillId="4" borderId="1" xfId="0" applyNumberFormat="1" applyFont="1" applyFill="1" applyBorder="1" applyAlignment="1" applyProtection="1">
      <alignment horizontal="center" vertical="center"/>
    </xf>
    <xf numFmtId="0" fontId="4" fillId="4" borderId="14" xfId="0" applyFont="1" applyFill="1" applyBorder="1" applyAlignment="1" applyProtection="1">
      <alignment vertical="center"/>
    </xf>
    <xf numFmtId="37" fontId="4" fillId="4" borderId="12" xfId="0" applyNumberFormat="1" applyFont="1" applyFill="1" applyBorder="1" applyAlignment="1" applyProtection="1">
      <alignment horizontal="left" vertical="center"/>
    </xf>
    <xf numFmtId="37" fontId="5" fillId="4" borderId="12" xfId="0" applyNumberFormat="1" applyFont="1" applyFill="1" applyBorder="1" applyAlignment="1" applyProtection="1">
      <alignment horizontal="left" vertical="center"/>
    </xf>
    <xf numFmtId="37" fontId="5" fillId="4" borderId="0" xfId="0" applyNumberFormat="1" applyFont="1" applyFill="1" applyAlignment="1" applyProtection="1">
      <alignment horizontal="center" vertical="center"/>
    </xf>
    <xf numFmtId="0" fontId="4" fillId="4" borderId="1" xfId="0" applyFont="1" applyFill="1" applyBorder="1" applyAlignment="1" applyProtection="1">
      <alignment horizontal="center" vertical="center"/>
    </xf>
    <xf numFmtId="0" fontId="4" fillId="4" borderId="9" xfId="0" applyFont="1" applyFill="1" applyBorder="1" applyAlignment="1" applyProtection="1">
      <alignment vertical="center"/>
    </xf>
    <xf numFmtId="37" fontId="4" fillId="4" borderId="1" xfId="0" applyNumberFormat="1" applyFont="1" applyFill="1" applyBorder="1" applyAlignment="1" applyProtection="1">
      <alignment vertical="center"/>
    </xf>
    <xf numFmtId="37" fontId="4" fillId="8" borderId="1" xfId="0" applyNumberFormat="1" applyFont="1" applyFill="1" applyBorder="1" applyAlignment="1" applyProtection="1">
      <alignment horizontal="center" vertical="center"/>
    </xf>
    <xf numFmtId="164" fontId="4" fillId="4" borderId="1" xfId="0" applyNumberFormat="1" applyFont="1" applyFill="1" applyBorder="1" applyAlignment="1" applyProtection="1">
      <alignment horizontal="center" vertical="center"/>
    </xf>
    <xf numFmtId="165" fontId="4" fillId="4" borderId="1" xfId="0" applyNumberFormat="1" applyFont="1" applyFill="1" applyBorder="1" applyAlignment="1" applyProtection="1">
      <alignment vertical="center"/>
    </xf>
    <xf numFmtId="37" fontId="4" fillId="4" borderId="5" xfId="0" applyNumberFormat="1" applyFont="1" applyFill="1" applyBorder="1" applyAlignment="1" applyProtection="1">
      <alignment vertical="center"/>
    </xf>
    <xf numFmtId="37" fontId="4" fillId="4" borderId="6" xfId="0" applyNumberFormat="1" applyFont="1" applyFill="1" applyBorder="1" applyAlignment="1" applyProtection="1">
      <alignment horizontal="center" vertical="center"/>
    </xf>
    <xf numFmtId="164" fontId="4" fillId="4" borderId="6" xfId="0" applyNumberFormat="1" applyFont="1" applyFill="1" applyBorder="1" applyAlignment="1" applyProtection="1">
      <alignment horizontal="center" vertical="center"/>
    </xf>
    <xf numFmtId="37" fontId="4" fillId="4" borderId="12" xfId="0" applyNumberFormat="1" applyFont="1" applyFill="1" applyBorder="1" applyAlignment="1" applyProtection="1">
      <alignment vertical="center"/>
    </xf>
    <xf numFmtId="37" fontId="4" fillId="4" borderId="9" xfId="0" applyNumberFormat="1" applyFont="1" applyFill="1" applyBorder="1" applyAlignment="1" applyProtection="1">
      <alignment horizontal="center" vertical="center"/>
    </xf>
    <xf numFmtId="37" fontId="3" fillId="4" borderId="11" xfId="0" applyNumberFormat="1" applyFont="1" applyFill="1" applyBorder="1" applyAlignment="1" applyProtection="1">
      <alignment horizontal="left" vertical="center"/>
    </xf>
    <xf numFmtId="0" fontId="4" fillId="4" borderId="7" xfId="0" applyFont="1" applyFill="1" applyBorder="1" applyAlignment="1" applyProtection="1">
      <alignment vertical="center"/>
    </xf>
    <xf numFmtId="37" fontId="4" fillId="4" borderId="1" xfId="0" applyNumberFormat="1" applyFont="1" applyFill="1" applyBorder="1" applyAlignment="1" applyProtection="1">
      <alignment horizontal="fill" vertical="center"/>
    </xf>
    <xf numFmtId="37" fontId="4" fillId="4" borderId="10" xfId="0" applyNumberFormat="1" applyFont="1" applyFill="1" applyBorder="1" applyAlignment="1" applyProtection="1">
      <alignment horizontal="center" vertical="center"/>
    </xf>
    <xf numFmtId="170" fontId="4" fillId="4" borderId="10" xfId="0" applyNumberFormat="1" applyFont="1" applyFill="1" applyBorder="1" applyAlignment="1" applyProtection="1">
      <alignment vertical="center"/>
    </xf>
    <xf numFmtId="0" fontId="4" fillId="10" borderId="1" xfId="0" applyFont="1" applyFill="1" applyBorder="1" applyAlignment="1" applyProtection="1">
      <alignment horizontal="center" vertical="center" shrinkToFit="1"/>
    </xf>
    <xf numFmtId="0" fontId="15" fillId="10" borderId="6" xfId="0" applyFont="1" applyFill="1" applyBorder="1" applyAlignment="1" applyProtection="1">
      <alignment horizontal="center" vertical="center"/>
    </xf>
    <xf numFmtId="0" fontId="4" fillId="4" borderId="0" xfId="0" applyFont="1" applyFill="1" applyBorder="1" applyAlignment="1" applyProtection="1">
      <alignment horizontal="center" vertical="center" shrinkToFit="1"/>
    </xf>
    <xf numFmtId="0" fontId="15" fillId="4" borderId="0" xfId="0" applyFont="1" applyFill="1" applyBorder="1" applyAlignment="1" applyProtection="1">
      <alignment horizontal="center" vertical="center"/>
    </xf>
    <xf numFmtId="37" fontId="4" fillId="4" borderId="4" xfId="0" applyNumberFormat="1" applyFont="1" applyFill="1" applyBorder="1" applyAlignment="1" applyProtection="1">
      <alignment horizontal="left" vertical="center"/>
    </xf>
    <xf numFmtId="0" fontId="8" fillId="4" borderId="0" xfId="0" applyFont="1" applyFill="1" applyAlignment="1" applyProtection="1">
      <alignment horizontal="center" vertical="center"/>
    </xf>
    <xf numFmtId="37" fontId="4" fillId="4" borderId="1" xfId="0" applyNumberFormat="1" applyFont="1" applyFill="1" applyBorder="1" applyAlignment="1" applyProtection="1">
      <alignment horizontal="left" vertical="center"/>
    </xf>
    <xf numFmtId="0" fontId="4" fillId="4" borderId="0" xfId="0" applyFont="1" applyFill="1" applyBorder="1" applyAlignment="1" applyProtection="1">
      <alignment vertical="center"/>
      <protection locked="0"/>
    </xf>
    <xf numFmtId="37" fontId="4" fillId="4" borderId="0" xfId="0" applyNumberFormat="1" applyFont="1" applyFill="1" applyBorder="1" applyAlignment="1" applyProtection="1">
      <alignment horizontal="left" vertical="center"/>
    </xf>
    <xf numFmtId="0" fontId="0" fillId="0" borderId="0" xfId="0" applyAlignment="1">
      <alignment vertical="center"/>
    </xf>
    <xf numFmtId="37" fontId="4" fillId="4" borderId="2" xfId="0" applyNumberFormat="1" applyFont="1" applyFill="1" applyBorder="1" applyAlignment="1" applyProtection="1">
      <alignment horizontal="fill" vertical="center"/>
    </xf>
    <xf numFmtId="0" fontId="4" fillId="3" borderId="2" xfId="0" applyFont="1" applyFill="1" applyBorder="1" applyAlignment="1" applyProtection="1">
      <alignment vertical="center"/>
      <protection locked="0"/>
    </xf>
    <xf numFmtId="0" fontId="4" fillId="3" borderId="7" xfId="0" applyFont="1" applyFill="1" applyBorder="1" applyAlignment="1" applyProtection="1">
      <alignment vertical="center"/>
      <protection locked="0"/>
    </xf>
    <xf numFmtId="0" fontId="4" fillId="4" borderId="0" xfId="0" applyFont="1" applyFill="1" applyAlignment="1">
      <alignment vertical="center"/>
    </xf>
    <xf numFmtId="0" fontId="4" fillId="0" borderId="0" xfId="0" applyFont="1" applyAlignment="1">
      <alignment vertical="center"/>
    </xf>
    <xf numFmtId="0" fontId="4" fillId="3" borderId="0" xfId="0" applyFont="1" applyFill="1" applyAlignment="1" applyProtection="1">
      <alignment vertical="center"/>
      <protection locked="0"/>
    </xf>
    <xf numFmtId="37" fontId="4" fillId="3" borderId="0" xfId="0" applyNumberFormat="1" applyFont="1" applyFill="1" applyAlignment="1" applyProtection="1">
      <alignment horizontal="left" vertical="center"/>
      <protection locked="0"/>
    </xf>
    <xf numFmtId="0" fontId="4" fillId="4" borderId="0" xfId="0" applyFont="1" applyFill="1" applyAlignment="1" applyProtection="1">
      <alignment horizontal="left" vertical="center"/>
    </xf>
    <xf numFmtId="0" fontId="4" fillId="4" borderId="0" xfId="0" applyFont="1" applyFill="1" applyAlignment="1" applyProtection="1">
      <alignment horizontal="right" vertical="center"/>
    </xf>
    <xf numFmtId="37" fontId="4" fillId="3" borderId="2" xfId="0" applyNumberFormat="1" applyFont="1" applyFill="1" applyBorder="1" applyAlignment="1" applyProtection="1">
      <alignment horizontal="left" vertical="center"/>
      <protection locked="0"/>
    </xf>
    <xf numFmtId="37" fontId="4" fillId="4" borderId="0" xfId="0" applyNumberFormat="1" applyFont="1" applyFill="1" applyAlignment="1" applyProtection="1">
      <alignment vertical="center"/>
    </xf>
    <xf numFmtId="0" fontId="3" fillId="4" borderId="0" xfId="0" applyFont="1" applyFill="1" applyAlignment="1" applyProtection="1">
      <alignment horizontal="center" vertical="center" wrapText="1"/>
    </xf>
    <xf numFmtId="0" fontId="4" fillId="4" borderId="0" xfId="0" quotePrefix="1" applyFont="1" applyFill="1" applyAlignment="1" applyProtection="1">
      <alignment vertical="center"/>
    </xf>
    <xf numFmtId="3" fontId="4" fillId="4" borderId="0" xfId="0" applyNumberFormat="1" applyFont="1" applyFill="1" applyAlignment="1" applyProtection="1">
      <alignment vertical="center"/>
    </xf>
    <xf numFmtId="3" fontId="4" fillId="4" borderId="0" xfId="0" quotePrefix="1" applyNumberFormat="1" applyFont="1" applyFill="1" applyAlignment="1" applyProtection="1">
      <alignment vertical="center"/>
    </xf>
    <xf numFmtId="3" fontId="4" fillId="4" borderId="2" xfId="0" applyNumberFormat="1" applyFont="1" applyFill="1" applyBorder="1" applyAlignment="1" applyProtection="1">
      <alignment vertical="center"/>
    </xf>
    <xf numFmtId="3" fontId="4" fillId="8" borderId="7" xfId="0" applyNumberFormat="1" applyFont="1" applyFill="1" applyBorder="1" applyAlignment="1" applyProtection="1">
      <alignment vertical="center"/>
    </xf>
    <xf numFmtId="0" fontId="3" fillId="4" borderId="0" xfId="0" applyFont="1" applyFill="1" applyAlignment="1" applyProtection="1">
      <alignment vertical="center"/>
    </xf>
    <xf numFmtId="3" fontId="4" fillId="4" borderId="7" xfId="0" applyNumberFormat="1" applyFont="1" applyFill="1" applyBorder="1" applyAlignment="1" applyProtection="1">
      <alignment vertical="center"/>
    </xf>
    <xf numFmtId="3" fontId="4" fillId="4" borderId="0" xfId="0" applyNumberFormat="1" applyFont="1" applyFill="1" applyBorder="1" applyAlignment="1" applyProtection="1">
      <alignment vertical="center"/>
    </xf>
    <xf numFmtId="0" fontId="4" fillId="4" borderId="15" xfId="0" applyFont="1" applyFill="1" applyBorder="1" applyAlignment="1" applyProtection="1">
      <alignment vertical="center"/>
    </xf>
    <xf numFmtId="167" fontId="4" fillId="4" borderId="2" xfId="0" applyNumberFormat="1" applyFont="1" applyFill="1" applyBorder="1" applyAlignment="1" applyProtection="1">
      <alignment vertical="center"/>
    </xf>
    <xf numFmtId="0" fontId="4" fillId="4" borderId="0" xfId="0" quotePrefix="1" applyFont="1" applyFill="1" applyBorder="1" applyAlignment="1" applyProtection="1">
      <alignment vertical="center"/>
    </xf>
    <xf numFmtId="3" fontId="4" fillId="4" borderId="16" xfId="0" applyNumberFormat="1" applyFont="1" applyFill="1" applyBorder="1" applyAlignment="1" applyProtection="1">
      <alignment vertical="center"/>
    </xf>
    <xf numFmtId="0" fontId="6" fillId="0" borderId="0" xfId="0" applyFont="1" applyAlignment="1">
      <alignment vertical="center"/>
    </xf>
    <xf numFmtId="0" fontId="4" fillId="4" borderId="0" xfId="0" applyNumberFormat="1" applyFont="1" applyFill="1" applyAlignment="1" applyProtection="1">
      <alignment horizontal="right" vertical="center"/>
    </xf>
    <xf numFmtId="37" fontId="4" fillId="4" borderId="0" xfId="0" applyNumberFormat="1" applyFont="1" applyFill="1" applyAlignment="1" applyProtection="1">
      <alignment horizontal="right" vertical="center"/>
    </xf>
    <xf numFmtId="37" fontId="3" fillId="4" borderId="0" xfId="0" applyNumberFormat="1" applyFont="1" applyFill="1" applyBorder="1" applyAlignment="1" applyProtection="1">
      <alignment horizontal="center" vertical="center"/>
    </xf>
    <xf numFmtId="0" fontId="0" fillId="4" borderId="0" xfId="0" applyFill="1" applyAlignment="1">
      <alignment vertical="center"/>
    </xf>
    <xf numFmtId="0" fontId="5" fillId="4" borderId="0" xfId="0" applyFont="1" applyFill="1" applyBorder="1" applyAlignment="1" applyProtection="1">
      <alignment horizontal="centerContinuous" vertical="center"/>
    </xf>
    <xf numFmtId="0" fontId="4" fillId="4" borderId="0" xfId="0" applyFont="1" applyFill="1" applyBorder="1" applyAlignment="1" applyProtection="1">
      <alignment horizontal="centerContinuous" vertical="center"/>
    </xf>
    <xf numFmtId="0" fontId="4" fillId="4" borderId="3" xfId="0" applyFont="1" applyFill="1" applyBorder="1" applyAlignment="1" applyProtection="1">
      <alignment vertical="center"/>
    </xf>
    <xf numFmtId="0" fontId="4" fillId="4" borderId="3" xfId="0" applyFont="1" applyFill="1" applyBorder="1" applyAlignment="1" applyProtection="1">
      <alignment horizontal="center" vertical="center"/>
    </xf>
    <xf numFmtId="0" fontId="0" fillId="0" borderId="15" xfId="0" applyBorder="1" applyAlignment="1">
      <alignment vertical="center"/>
    </xf>
    <xf numFmtId="37" fontId="4" fillId="4" borderId="4" xfId="0" applyNumberFormat="1" applyFont="1" applyFill="1" applyBorder="1" applyAlignment="1" applyProtection="1">
      <alignment vertical="center"/>
    </xf>
    <xf numFmtId="0" fontId="4" fillId="4" borderId="4" xfId="0" applyFont="1" applyFill="1" applyBorder="1" applyAlignment="1" applyProtection="1">
      <alignment horizontal="center" vertical="center"/>
    </xf>
    <xf numFmtId="0" fontId="4" fillId="4" borderId="1" xfId="0" applyFont="1" applyFill="1" applyBorder="1" applyAlignment="1">
      <alignment horizontal="center" vertical="center"/>
    </xf>
    <xf numFmtId="37" fontId="4" fillId="3" borderId="1" xfId="0" applyNumberFormat="1" applyFont="1" applyFill="1" applyBorder="1" applyAlignment="1" applyProtection="1">
      <alignment vertical="center"/>
    </xf>
    <xf numFmtId="174" fontId="4" fillId="4" borderId="1" xfId="0" applyNumberFormat="1" applyFont="1" applyFill="1" applyBorder="1" applyAlignment="1" applyProtection="1">
      <alignment vertical="center"/>
    </xf>
    <xf numFmtId="3" fontId="4" fillId="2" borderId="1" xfId="0" applyNumberFormat="1" applyFont="1" applyFill="1" applyBorder="1" applyAlignment="1" applyProtection="1">
      <alignment vertical="center"/>
    </xf>
    <xf numFmtId="0" fontId="4" fillId="2" borderId="1" xfId="0" applyFont="1" applyFill="1" applyBorder="1" applyAlignment="1" applyProtection="1">
      <alignment vertical="center"/>
    </xf>
    <xf numFmtId="0" fontId="4" fillId="4" borderId="1" xfId="0" applyFont="1" applyFill="1" applyBorder="1" applyAlignment="1" applyProtection="1">
      <alignment horizontal="right" vertical="center"/>
    </xf>
    <xf numFmtId="37" fontId="4" fillId="4" borderId="10" xfId="0" applyNumberFormat="1" applyFont="1" applyFill="1" applyBorder="1" applyAlignment="1" applyProtection="1">
      <alignment vertical="center"/>
    </xf>
    <xf numFmtId="37" fontId="4" fillId="11" borderId="10" xfId="0" applyNumberFormat="1" applyFont="1" applyFill="1" applyBorder="1" applyAlignment="1" applyProtection="1">
      <alignment vertical="center"/>
    </xf>
    <xf numFmtId="174" fontId="4" fillId="11" borderId="10" xfId="0" applyNumberFormat="1" applyFont="1" applyFill="1" applyBorder="1" applyAlignment="1" applyProtection="1">
      <alignment vertical="center"/>
    </xf>
    <xf numFmtId="3" fontId="4" fillId="11" borderId="10" xfId="0" applyNumberFormat="1" applyFont="1" applyFill="1" applyBorder="1" applyAlignment="1" applyProtection="1">
      <alignment vertical="center"/>
    </xf>
    <xf numFmtId="0" fontId="4" fillId="10" borderId="10" xfId="0" applyFont="1" applyFill="1" applyBorder="1" applyAlignment="1">
      <alignment horizontal="right" vertical="center"/>
    </xf>
    <xf numFmtId="164" fontId="4" fillId="4" borderId="0" xfId="0" applyNumberFormat="1" applyFont="1" applyFill="1" applyAlignment="1" applyProtection="1">
      <alignment vertical="center"/>
    </xf>
    <xf numFmtId="37" fontId="4" fillId="4" borderId="2" xfId="0" applyNumberFormat="1" applyFont="1" applyFill="1" applyBorder="1" applyAlignment="1" applyProtection="1">
      <alignment vertical="center"/>
    </xf>
    <xf numFmtId="37" fontId="4" fillId="4" borderId="0" xfId="0" applyNumberFormat="1" applyFont="1" applyFill="1" applyBorder="1" applyAlignment="1" applyProtection="1">
      <alignment vertical="center"/>
    </xf>
    <xf numFmtId="166" fontId="4" fillId="8" borderId="2" xfId="0" applyNumberFormat="1" applyFont="1" applyFill="1" applyBorder="1" applyAlignment="1" applyProtection="1">
      <alignment vertical="center"/>
    </xf>
    <xf numFmtId="0" fontId="5" fillId="4" borderId="0" xfId="0" applyFont="1" applyFill="1" applyAlignment="1" applyProtection="1">
      <alignment vertical="center"/>
    </xf>
    <xf numFmtId="166" fontId="4" fillId="4" borderId="2" xfId="0" applyNumberFormat="1" applyFont="1" applyFill="1" applyBorder="1" applyAlignment="1" applyProtection="1">
      <alignment vertical="center"/>
    </xf>
    <xf numFmtId="167" fontId="4" fillId="8" borderId="2" xfId="0" applyNumberFormat="1" applyFont="1" applyFill="1" applyBorder="1" applyAlignment="1" applyProtection="1">
      <alignment vertical="center"/>
    </xf>
    <xf numFmtId="166" fontId="4" fillId="4" borderId="0" xfId="0" applyNumberFormat="1" applyFont="1" applyFill="1" applyBorder="1" applyAlignment="1" applyProtection="1">
      <alignment vertical="center"/>
    </xf>
    <xf numFmtId="37" fontId="4" fillId="0" borderId="0" xfId="0" applyNumberFormat="1" applyFont="1" applyAlignment="1" applyProtection="1">
      <alignment horizontal="fill" vertical="center"/>
      <protection locked="0"/>
    </xf>
    <xf numFmtId="0" fontId="4" fillId="0" borderId="0" xfId="0" applyFont="1" applyAlignment="1" applyProtection="1">
      <alignment vertical="center"/>
      <protection locked="0"/>
    </xf>
    <xf numFmtId="37" fontId="4" fillId="4" borderId="0" xfId="0" applyNumberFormat="1" applyFont="1" applyFill="1" applyAlignment="1">
      <alignment vertical="center"/>
    </xf>
    <xf numFmtId="0" fontId="3" fillId="4" borderId="2" xfId="0" applyFont="1" applyFill="1" applyBorder="1" applyAlignment="1" applyProtection="1">
      <alignment horizontal="center" vertical="center"/>
    </xf>
    <xf numFmtId="0" fontId="3" fillId="4" borderId="3" xfId="0" applyFont="1" applyFill="1" applyBorder="1" applyAlignment="1" applyProtection="1">
      <alignment horizontal="center" vertical="center"/>
    </xf>
    <xf numFmtId="0" fontId="3" fillId="4" borderId="13" xfId="0" applyFont="1" applyFill="1" applyBorder="1" applyAlignment="1" applyProtection="1">
      <alignment horizontal="center" vertical="center"/>
    </xf>
    <xf numFmtId="0" fontId="3" fillId="4" borderId="8" xfId="0" applyFont="1" applyFill="1" applyBorder="1" applyAlignment="1" applyProtection="1">
      <alignment horizontal="center" vertical="center"/>
    </xf>
    <xf numFmtId="0" fontId="3" fillId="4" borderId="14" xfId="0" applyFont="1" applyFill="1" applyBorder="1" applyAlignment="1" applyProtection="1">
      <alignment horizontal="center" vertical="center"/>
    </xf>
    <xf numFmtId="0" fontId="3" fillId="4" borderId="17" xfId="0" applyFont="1" applyFill="1" applyBorder="1" applyAlignment="1" applyProtection="1">
      <alignment horizontal="center" vertical="center"/>
    </xf>
    <xf numFmtId="0" fontId="3" fillId="4" borderId="18" xfId="0" applyFont="1" applyFill="1" applyBorder="1" applyAlignment="1" applyProtection="1">
      <alignment horizontal="center" vertical="center"/>
    </xf>
    <xf numFmtId="0" fontId="4" fillId="0" borderId="0" xfId="0" applyFont="1" applyAlignment="1" applyProtection="1">
      <alignment horizontal="center" vertical="center"/>
      <protection locked="0"/>
    </xf>
    <xf numFmtId="0" fontId="4" fillId="3" borderId="4" xfId="0" applyFont="1" applyFill="1" applyBorder="1" applyAlignment="1" applyProtection="1">
      <alignment vertical="center"/>
      <protection locked="0"/>
    </xf>
    <xf numFmtId="173" fontId="4" fillId="3" borderId="4" xfId="1" applyNumberFormat="1" applyFont="1" applyFill="1" applyBorder="1" applyAlignment="1" applyProtection="1">
      <alignment vertical="center"/>
      <protection locked="0"/>
    </xf>
    <xf numFmtId="0" fontId="4" fillId="4" borderId="1" xfId="0" applyFont="1" applyFill="1" applyBorder="1" applyAlignment="1" applyProtection="1">
      <alignment vertical="center"/>
    </xf>
    <xf numFmtId="173" fontId="4" fillId="4" borderId="1" xfId="1" applyNumberFormat="1" applyFont="1" applyFill="1" applyBorder="1" applyAlignment="1" applyProtection="1">
      <alignment vertical="center"/>
    </xf>
    <xf numFmtId="0" fontId="4" fillId="3" borderId="1" xfId="0" applyFont="1" applyFill="1" applyBorder="1" applyAlignment="1" applyProtection="1">
      <alignment vertical="center"/>
      <protection locked="0"/>
    </xf>
    <xf numFmtId="173" fontId="4" fillId="3" borderId="1" xfId="1" applyNumberFormat="1" applyFont="1" applyFill="1" applyBorder="1" applyAlignment="1" applyProtection="1">
      <alignment vertical="center"/>
      <protection locked="0"/>
    </xf>
    <xf numFmtId="0" fontId="5" fillId="3" borderId="1" xfId="0" applyFont="1" applyFill="1" applyBorder="1" applyAlignment="1" applyProtection="1">
      <alignment vertical="center"/>
      <protection locked="0"/>
    </xf>
    <xf numFmtId="0" fontId="4" fillId="4" borderId="0" xfId="0" applyFont="1" applyFill="1" applyAlignment="1" applyProtection="1">
      <alignment vertical="center"/>
      <protection locked="0"/>
    </xf>
    <xf numFmtId="0" fontId="4" fillId="4" borderId="1" xfId="0" applyFont="1" applyFill="1" applyBorder="1" applyAlignment="1" applyProtection="1">
      <alignment horizontal="center" vertical="center"/>
      <protection locked="0"/>
    </xf>
    <xf numFmtId="3" fontId="4" fillId="4" borderId="1" xfId="0" applyNumberFormat="1" applyFont="1" applyFill="1" applyBorder="1" applyAlignment="1" applyProtection="1">
      <alignment vertical="center"/>
      <protection locked="0"/>
    </xf>
    <xf numFmtId="3" fontId="4" fillId="11" borderId="1" xfId="0" applyNumberFormat="1" applyFont="1" applyFill="1" applyBorder="1" applyAlignment="1" applyProtection="1">
      <alignment vertical="center"/>
    </xf>
    <xf numFmtId="37" fontId="4" fillId="4" borderId="0" xfId="24" applyNumberFormat="1" applyFont="1" applyFill="1" applyAlignment="1" applyProtection="1">
      <alignment vertical="center"/>
    </xf>
    <xf numFmtId="0" fontId="4" fillId="4" borderId="0" xfId="24" applyFont="1" applyFill="1" applyAlignment="1" applyProtection="1">
      <alignment vertical="center"/>
    </xf>
    <xf numFmtId="0" fontId="4" fillId="0" borderId="0" xfId="24" applyFont="1" applyAlignment="1" applyProtection="1">
      <alignment vertical="center"/>
      <protection locked="0"/>
    </xf>
    <xf numFmtId="0" fontId="3" fillId="4" borderId="0" xfId="25" applyFont="1" applyFill="1" applyAlignment="1" applyProtection="1">
      <alignment horizontal="centerContinuous" vertical="center"/>
    </xf>
    <xf numFmtId="0" fontId="4" fillId="4" borderId="0" xfId="24" applyFont="1" applyFill="1" applyAlignment="1" applyProtection="1">
      <alignment horizontal="centerContinuous" vertical="center"/>
    </xf>
    <xf numFmtId="0" fontId="4" fillId="4" borderId="11" xfId="0" applyFont="1" applyFill="1" applyBorder="1" applyAlignment="1" applyProtection="1">
      <alignment horizontal="centerContinuous" vertical="center"/>
    </xf>
    <xf numFmtId="0" fontId="4" fillId="4" borderId="13" xfId="0" applyFont="1" applyFill="1" applyBorder="1" applyAlignment="1" applyProtection="1">
      <alignment horizontal="centerContinuous" vertical="center"/>
    </xf>
    <xf numFmtId="0" fontId="4" fillId="4" borderId="8" xfId="0" applyFont="1" applyFill="1" applyBorder="1" applyAlignment="1" applyProtection="1">
      <alignment horizontal="center" vertical="center"/>
    </xf>
    <xf numFmtId="0" fontId="4" fillId="4" borderId="12" xfId="0" applyFont="1" applyFill="1" applyBorder="1" applyAlignment="1" applyProtection="1">
      <alignment horizontal="centerContinuous" vertical="center"/>
    </xf>
    <xf numFmtId="0" fontId="4" fillId="4" borderId="9" xfId="0" applyFont="1" applyFill="1" applyBorder="1" applyAlignment="1" applyProtection="1">
      <alignment horizontal="centerContinuous" vertical="center"/>
    </xf>
    <xf numFmtId="0" fontId="4" fillId="4" borderId="9" xfId="0" applyFont="1" applyFill="1" applyBorder="1" applyAlignment="1" applyProtection="1">
      <alignment horizontal="left" vertical="center"/>
    </xf>
    <xf numFmtId="14" fontId="4" fillId="4" borderId="4" xfId="0" quotePrefix="1" applyNumberFormat="1" applyFont="1" applyFill="1" applyBorder="1" applyAlignment="1" applyProtection="1">
      <alignment horizontal="center" vertical="center"/>
    </xf>
    <xf numFmtId="0" fontId="4" fillId="4" borderId="1" xfId="0" applyFont="1" applyFill="1" applyBorder="1" applyAlignment="1" applyProtection="1">
      <alignment horizontal="left" vertical="center"/>
    </xf>
    <xf numFmtId="168" fontId="4" fillId="4" borderId="1" xfId="0" applyNumberFormat="1" applyFont="1" applyFill="1" applyBorder="1" applyAlignment="1" applyProtection="1">
      <alignment horizontal="left" vertical="center"/>
    </xf>
    <xf numFmtId="169" fontId="4" fillId="4" borderId="1" xfId="0" applyNumberFormat="1" applyFont="1" applyFill="1" applyBorder="1" applyAlignment="1" applyProtection="1">
      <alignment horizontal="left" vertical="center"/>
    </xf>
    <xf numFmtId="0" fontId="4" fillId="4" borderId="1" xfId="0" applyFont="1" applyFill="1" applyBorder="1" applyAlignment="1" applyProtection="1">
      <alignment horizontal="left" vertical="center"/>
      <protection locked="0"/>
    </xf>
    <xf numFmtId="0" fontId="4" fillId="2" borderId="1" xfId="0" applyFont="1" applyFill="1" applyBorder="1" applyAlignment="1" applyProtection="1">
      <alignment vertical="center"/>
      <protection locked="0"/>
    </xf>
    <xf numFmtId="168" fontId="4" fillId="2" borderId="1" xfId="0" applyNumberFormat="1" applyFont="1" applyFill="1" applyBorder="1" applyAlignment="1" applyProtection="1">
      <alignment vertical="center"/>
      <protection locked="0"/>
    </xf>
    <xf numFmtId="2" fontId="4" fillId="2" borderId="1" xfId="0" applyNumberFormat="1" applyFont="1" applyFill="1" applyBorder="1" applyAlignment="1" applyProtection="1">
      <alignment vertical="center"/>
      <protection locked="0"/>
    </xf>
    <xf numFmtId="3" fontId="4" fillId="2" borderId="1" xfId="0" applyNumberFormat="1" applyFont="1" applyFill="1" applyBorder="1" applyAlignment="1" applyProtection="1">
      <alignment vertical="center"/>
      <protection locked="0"/>
    </xf>
    <xf numFmtId="37" fontId="4" fillId="2" borderId="1" xfId="0" applyNumberFormat="1" applyFont="1" applyFill="1" applyBorder="1" applyAlignment="1" applyProtection="1">
      <alignment vertical="center"/>
      <protection locked="0"/>
    </xf>
    <xf numFmtId="169" fontId="4" fillId="2" borderId="1" xfId="0" applyNumberFormat="1" applyFont="1" applyFill="1" applyBorder="1" applyAlignment="1" applyProtection="1">
      <alignment vertical="center"/>
      <protection locked="0"/>
    </xf>
    <xf numFmtId="168" fontId="4" fillId="4" borderId="1" xfId="0" applyNumberFormat="1" applyFont="1" applyFill="1" applyBorder="1" applyAlignment="1" applyProtection="1">
      <alignment vertical="center"/>
    </xf>
    <xf numFmtId="2" fontId="4" fillId="4" borderId="1" xfId="0" applyNumberFormat="1" applyFont="1" applyFill="1" applyBorder="1" applyAlignment="1" applyProtection="1">
      <alignment vertical="center"/>
    </xf>
    <xf numFmtId="3" fontId="4" fillId="4" borderId="1" xfId="0" applyNumberFormat="1" applyFont="1" applyFill="1" applyBorder="1" applyAlignment="1" applyProtection="1">
      <alignment vertical="center"/>
    </xf>
    <xf numFmtId="37" fontId="4" fillId="8" borderId="1" xfId="0" applyNumberFormat="1" applyFont="1" applyFill="1" applyBorder="1" applyAlignment="1" applyProtection="1">
      <alignment vertical="center"/>
    </xf>
    <xf numFmtId="169" fontId="4" fillId="4" borderId="1" xfId="0" applyNumberFormat="1" applyFont="1" applyFill="1" applyBorder="1" applyAlignment="1" applyProtection="1">
      <alignment vertical="center"/>
    </xf>
    <xf numFmtId="0" fontId="3" fillId="4" borderId="1" xfId="24" applyFont="1" applyFill="1" applyBorder="1" applyAlignment="1" applyProtection="1">
      <alignment horizontal="left" vertical="center"/>
    </xf>
    <xf numFmtId="0" fontId="3" fillId="4" borderId="11" xfId="24" applyFont="1" applyFill="1" applyBorder="1" applyAlignment="1" applyProtection="1">
      <alignment vertical="center"/>
    </xf>
    <xf numFmtId="0" fontId="3" fillId="4" borderId="15" xfId="24" applyFont="1" applyFill="1" applyBorder="1" applyAlignment="1" applyProtection="1">
      <alignment vertical="center"/>
    </xf>
    <xf numFmtId="3" fontId="3" fillId="4" borderId="13" xfId="24" applyNumberFormat="1" applyFont="1" applyFill="1" applyBorder="1" applyAlignment="1" applyProtection="1">
      <alignment vertical="center"/>
    </xf>
    <xf numFmtId="37" fontId="3" fillId="8" borderId="1" xfId="24" applyNumberFormat="1" applyFont="1" applyFill="1" applyBorder="1" applyAlignment="1" applyProtection="1">
      <alignment vertical="center"/>
    </xf>
    <xf numFmtId="0" fontId="3" fillId="4" borderId="13" xfId="24" applyFont="1" applyFill="1" applyBorder="1" applyAlignment="1" applyProtection="1">
      <alignment vertical="center"/>
    </xf>
    <xf numFmtId="0" fontId="4" fillId="4" borderId="0" xfId="25" applyFont="1" applyFill="1" applyAlignment="1" applyProtection="1">
      <alignment horizontal="centerContinuous" vertical="center"/>
    </xf>
    <xf numFmtId="0" fontId="4" fillId="4" borderId="0" xfId="25" applyFont="1" applyFill="1" applyAlignment="1" applyProtection="1">
      <alignment vertical="center"/>
    </xf>
    <xf numFmtId="0" fontId="4" fillId="0" borderId="0" xfId="25" applyFont="1" applyAlignment="1">
      <alignment vertical="center"/>
    </xf>
    <xf numFmtId="0" fontId="4" fillId="4" borderId="2" xfId="0" applyFont="1" applyFill="1" applyBorder="1" applyAlignment="1" applyProtection="1">
      <alignment horizontal="fill" vertical="center"/>
    </xf>
    <xf numFmtId="0" fontId="4" fillId="4" borderId="0" xfId="0" applyFont="1" applyFill="1" applyBorder="1" applyAlignment="1" applyProtection="1">
      <alignment horizontal="fill" vertical="center"/>
    </xf>
    <xf numFmtId="0" fontId="4" fillId="4" borderId="19" xfId="25" applyFont="1" applyFill="1" applyBorder="1" applyAlignment="1" applyProtection="1">
      <alignment vertical="center"/>
    </xf>
    <xf numFmtId="0" fontId="4" fillId="4" borderId="0" xfId="25" applyFont="1" applyFill="1" applyBorder="1" applyAlignment="1" applyProtection="1">
      <alignment vertical="center"/>
    </xf>
    <xf numFmtId="0" fontId="4" fillId="4" borderId="4" xfId="0" applyFont="1" applyFill="1" applyBorder="1" applyAlignment="1" applyProtection="1">
      <alignment horizontal="left" vertical="center"/>
    </xf>
    <xf numFmtId="0" fontId="7" fillId="4" borderId="4" xfId="0" applyFont="1" applyFill="1" applyBorder="1" applyAlignment="1" applyProtection="1">
      <alignment horizontal="center" vertical="center"/>
    </xf>
    <xf numFmtId="1" fontId="4" fillId="2" borderId="1" xfId="0" applyNumberFormat="1" applyFont="1" applyFill="1" applyBorder="1" applyAlignment="1" applyProtection="1">
      <alignment vertical="center"/>
      <protection locked="0"/>
    </xf>
    <xf numFmtId="3" fontId="3" fillId="4" borderId="15" xfId="24" applyNumberFormat="1" applyFont="1" applyFill="1" applyBorder="1" applyAlignment="1" applyProtection="1">
      <alignment vertical="center"/>
    </xf>
    <xf numFmtId="0" fontId="0" fillId="4" borderId="0" xfId="0" applyFill="1" applyAlignment="1" applyProtection="1">
      <alignment vertical="center"/>
    </xf>
    <xf numFmtId="0" fontId="4" fillId="9" borderId="0" xfId="24" applyFont="1" applyFill="1" applyAlignment="1" applyProtection="1">
      <alignment vertical="center"/>
    </xf>
    <xf numFmtId="0" fontId="0" fillId="0" borderId="0" xfId="0" applyAlignment="1" applyProtection="1">
      <alignment vertical="center"/>
      <protection locked="0"/>
    </xf>
    <xf numFmtId="164" fontId="4" fillId="4" borderId="0" xfId="0" applyNumberFormat="1" applyFont="1" applyFill="1" applyAlignment="1" applyProtection="1">
      <alignment horizontal="right" vertical="center"/>
    </xf>
    <xf numFmtId="37" fontId="4" fillId="4" borderId="2" xfId="0" quotePrefix="1" applyNumberFormat="1" applyFont="1" applyFill="1" applyBorder="1" applyAlignment="1" applyProtection="1">
      <alignment horizontal="right" vertical="center"/>
    </xf>
    <xf numFmtId="37" fontId="4" fillId="4" borderId="0" xfId="0" applyNumberFormat="1" applyFont="1" applyFill="1" applyBorder="1" applyAlignment="1" applyProtection="1">
      <alignment horizontal="center" vertical="center"/>
    </xf>
    <xf numFmtId="3" fontId="4" fillId="2" borderId="5" xfId="0" applyNumberFormat="1" applyFont="1" applyFill="1" applyBorder="1" applyAlignment="1" applyProtection="1">
      <alignment vertical="center"/>
      <protection locked="0"/>
    </xf>
    <xf numFmtId="3" fontId="4" fillId="2" borderId="6" xfId="0" applyNumberFormat="1" applyFont="1" applyFill="1" applyBorder="1" applyAlignment="1" applyProtection="1">
      <alignment vertical="center"/>
      <protection locked="0"/>
    </xf>
    <xf numFmtId="3" fontId="4" fillId="4" borderId="6" xfId="0" applyNumberFormat="1" applyFont="1" applyFill="1" applyBorder="1" applyAlignment="1" applyProtection="1">
      <alignment vertical="center"/>
    </xf>
    <xf numFmtId="3" fontId="4" fillId="4" borderId="1" xfId="0" applyNumberFormat="1" applyFont="1" applyFill="1" applyBorder="1" applyAlignment="1" applyProtection="1">
      <alignment horizontal="fill" vertical="center"/>
    </xf>
    <xf numFmtId="0" fontId="4" fillId="4" borderId="5" xfId="0" applyFont="1" applyFill="1" applyBorder="1" applyAlignment="1" applyProtection="1">
      <alignment vertical="center"/>
    </xf>
    <xf numFmtId="3" fontId="4" fillId="3" borderId="1" xfId="0" applyNumberFormat="1" applyFont="1" applyFill="1" applyBorder="1" applyAlignment="1" applyProtection="1">
      <alignment vertical="center"/>
      <protection locked="0"/>
    </xf>
    <xf numFmtId="0" fontId="4" fillId="2" borderId="5" xfId="0" applyFont="1" applyFill="1" applyBorder="1" applyAlignment="1" applyProtection="1">
      <alignment vertical="center"/>
      <protection locked="0"/>
    </xf>
    <xf numFmtId="0" fontId="4" fillId="3" borderId="6" xfId="0" applyFont="1" applyFill="1" applyBorder="1" applyAlignment="1" applyProtection="1">
      <alignment vertical="center"/>
    </xf>
    <xf numFmtId="37" fontId="4" fillId="2" borderId="5" xfId="0" applyNumberFormat="1" applyFont="1" applyFill="1" applyBorder="1" applyAlignment="1" applyProtection="1">
      <alignment horizontal="left" vertical="center"/>
      <protection locked="0"/>
    </xf>
    <xf numFmtId="37" fontId="4" fillId="4" borderId="5" xfId="0" applyNumberFormat="1" applyFont="1" applyFill="1" applyBorder="1" applyAlignment="1" applyProtection="1">
      <alignment horizontal="left" vertical="center"/>
      <protection locked="0"/>
    </xf>
    <xf numFmtId="37" fontId="4" fillId="4" borderId="6" xfId="0" applyNumberFormat="1" applyFont="1" applyFill="1" applyBorder="1" applyAlignment="1" applyProtection="1">
      <alignment horizontal="left" vertical="center"/>
    </xf>
    <xf numFmtId="3" fontId="15" fillId="10" borderId="6" xfId="0" applyNumberFormat="1" applyFont="1" applyFill="1" applyBorder="1" applyAlignment="1" applyProtection="1">
      <alignment horizontal="center" vertical="center"/>
    </xf>
    <xf numFmtId="0" fontId="3" fillId="4" borderId="5" xfId="0" applyFont="1" applyFill="1" applyBorder="1" applyAlignment="1" applyProtection="1">
      <alignment vertical="center"/>
    </xf>
    <xf numFmtId="3" fontId="3" fillId="8" borderId="6" xfId="0" applyNumberFormat="1" applyFont="1" applyFill="1" applyBorder="1" applyAlignment="1" applyProtection="1">
      <alignment vertical="center"/>
    </xf>
    <xf numFmtId="3" fontId="3" fillId="8" borderId="1" xfId="0" applyNumberFormat="1" applyFont="1" applyFill="1" applyBorder="1" applyAlignment="1" applyProtection="1">
      <alignment vertical="center"/>
    </xf>
    <xf numFmtId="37" fontId="3" fillId="4" borderId="5" xfId="0" applyNumberFormat="1" applyFont="1" applyFill="1" applyBorder="1" applyAlignment="1" applyProtection="1">
      <alignment horizontal="left" vertical="center"/>
    </xf>
    <xf numFmtId="0" fontId="15" fillId="4" borderId="6" xfId="0" applyFont="1" applyFill="1" applyBorder="1" applyAlignment="1" applyProtection="1">
      <alignment horizontal="center" vertical="center"/>
    </xf>
    <xf numFmtId="3" fontId="15" fillId="10" borderId="1" xfId="0" applyNumberFormat="1" applyFont="1" applyFill="1" applyBorder="1" applyAlignment="1" applyProtection="1">
      <alignment horizontal="center" vertical="center"/>
      <protection locked="0"/>
    </xf>
    <xf numFmtId="3" fontId="15" fillId="10" borderId="1" xfId="0" applyNumberFormat="1" applyFont="1" applyFill="1" applyBorder="1" applyAlignment="1" applyProtection="1">
      <alignment horizontal="center" vertical="center"/>
    </xf>
    <xf numFmtId="3" fontId="4" fillId="8" borderId="1" xfId="0" applyNumberFormat="1" applyFont="1" applyFill="1" applyBorder="1" applyAlignment="1" applyProtection="1">
      <alignment vertical="center"/>
    </xf>
    <xf numFmtId="3" fontId="3" fillId="4" borderId="1" xfId="0" applyNumberFormat="1" applyFont="1" applyFill="1" applyBorder="1" applyAlignment="1" applyProtection="1">
      <alignment vertical="center"/>
    </xf>
    <xf numFmtId="3" fontId="4" fillId="8" borderId="6" xfId="0" applyNumberFormat="1" applyFont="1" applyFill="1" applyBorder="1" applyAlignment="1" applyProtection="1">
      <alignment vertical="center"/>
    </xf>
    <xf numFmtId="3" fontId="4" fillId="4" borderId="0" xfId="0" applyNumberFormat="1" applyFont="1" applyFill="1" applyAlignment="1" applyProtection="1">
      <alignment horizontal="center" vertical="center"/>
    </xf>
    <xf numFmtId="0" fontId="15" fillId="0" borderId="0" xfId="0" applyFont="1" applyAlignment="1" applyProtection="1">
      <alignment vertical="center"/>
    </xf>
    <xf numFmtId="0" fontId="16" fillId="4" borderId="0" xfId="0" applyFont="1" applyFill="1" applyAlignment="1" applyProtection="1">
      <alignment horizontal="center" vertical="center"/>
    </xf>
    <xf numFmtId="171" fontId="4" fillId="4" borderId="0" xfId="0" applyNumberFormat="1" applyFont="1" applyFill="1" applyBorder="1" applyAlignment="1">
      <alignment horizontal="center" vertical="center"/>
    </xf>
    <xf numFmtId="0" fontId="4" fillId="0" borderId="0" xfId="0" applyFont="1" applyFill="1" applyBorder="1" applyAlignment="1" applyProtection="1">
      <alignment vertical="center"/>
      <protection locked="0"/>
    </xf>
    <xf numFmtId="0" fontId="4" fillId="0" borderId="0" xfId="0" applyFont="1" applyFill="1" applyAlignment="1" applyProtection="1">
      <alignment vertical="center"/>
      <protection locked="0"/>
    </xf>
    <xf numFmtId="164" fontId="4" fillId="2" borderId="0" xfId="0" applyNumberFormat="1" applyFont="1" applyFill="1" applyAlignment="1" applyProtection="1">
      <alignment horizontal="left" vertical="center"/>
      <protection locked="0"/>
    </xf>
    <xf numFmtId="3" fontId="4" fillId="0" borderId="0" xfId="0" applyNumberFormat="1" applyFont="1" applyAlignment="1" applyProtection="1">
      <alignment vertical="center"/>
      <protection locked="0"/>
    </xf>
    <xf numFmtId="3" fontId="4" fillId="0" borderId="0" xfId="0" applyNumberFormat="1" applyFont="1" applyFill="1" applyBorder="1" applyAlignment="1" applyProtection="1">
      <alignment vertical="center"/>
    </xf>
    <xf numFmtId="1" fontId="4" fillId="4" borderId="0" xfId="0" applyNumberFormat="1" applyFont="1" applyFill="1" applyBorder="1" applyAlignment="1" applyProtection="1">
      <alignment horizontal="right" vertical="center"/>
    </xf>
    <xf numFmtId="37" fontId="4" fillId="4" borderId="0" xfId="0" applyNumberFormat="1" applyFont="1" applyFill="1" applyAlignment="1" applyProtection="1">
      <alignment horizontal="fill" vertical="center"/>
    </xf>
    <xf numFmtId="3" fontId="4" fillId="2" borderId="6" xfId="0" applyNumberFormat="1" applyFont="1" applyFill="1" applyBorder="1" applyAlignment="1" applyProtection="1">
      <alignment horizontal="right" vertical="center"/>
      <protection locked="0"/>
    </xf>
    <xf numFmtId="3" fontId="4" fillId="4" borderId="1" xfId="1" applyNumberFormat="1" applyFont="1" applyFill="1" applyBorder="1" applyAlignment="1" applyProtection="1">
      <alignment horizontal="right" vertical="center"/>
    </xf>
    <xf numFmtId="3" fontId="4" fillId="2" borderId="1" xfId="0" applyNumberFormat="1" applyFont="1" applyFill="1" applyBorder="1" applyAlignment="1" applyProtection="1">
      <alignment horizontal="right" vertical="center"/>
      <protection locked="0"/>
    </xf>
    <xf numFmtId="3" fontId="4" fillId="4" borderId="1" xfId="0" applyNumberFormat="1" applyFont="1" applyFill="1" applyBorder="1" applyAlignment="1" applyProtection="1">
      <alignment horizontal="right" vertical="center"/>
    </xf>
    <xf numFmtId="0" fontId="4" fillId="4" borderId="5" xfId="0" applyNumberFormat="1" applyFont="1" applyFill="1" applyBorder="1" applyAlignment="1" applyProtection="1">
      <alignment horizontal="left" vertical="center"/>
    </xf>
    <xf numFmtId="0" fontId="4" fillId="2" borderId="5" xfId="0" applyNumberFormat="1" applyFont="1" applyFill="1" applyBorder="1" applyAlignment="1" applyProtection="1">
      <alignment horizontal="left" vertical="center"/>
      <protection locked="0"/>
    </xf>
    <xf numFmtId="37" fontId="4" fillId="3" borderId="6" xfId="0" applyNumberFormat="1" applyFont="1" applyFill="1" applyBorder="1" applyAlignment="1" applyProtection="1">
      <alignment horizontal="left" vertical="center"/>
    </xf>
    <xf numFmtId="3" fontId="4" fillId="3" borderId="1" xfId="0" applyNumberFormat="1" applyFont="1" applyFill="1" applyBorder="1" applyAlignment="1" applyProtection="1">
      <alignment horizontal="right" vertical="center"/>
      <protection locked="0"/>
    </xf>
    <xf numFmtId="0" fontId="4" fillId="2" borderId="11" xfId="0" applyNumberFormat="1" applyFont="1" applyFill="1" applyBorder="1" applyAlignment="1" applyProtection="1">
      <alignment horizontal="left" vertical="center"/>
      <protection locked="0"/>
    </xf>
    <xf numFmtId="3" fontId="3" fillId="8" borderId="4" xfId="0" applyNumberFormat="1" applyFont="1" applyFill="1" applyBorder="1" applyAlignment="1" applyProtection="1">
      <alignment horizontal="right" vertical="center"/>
    </xf>
    <xf numFmtId="3" fontId="3" fillId="8" borderId="1" xfId="0" applyNumberFormat="1" applyFont="1" applyFill="1" applyBorder="1" applyAlignment="1" applyProtection="1">
      <alignment horizontal="right" vertical="center"/>
    </xf>
    <xf numFmtId="3" fontId="4" fillId="8" borderId="1" xfId="0" applyNumberFormat="1" applyFont="1" applyFill="1" applyBorder="1" applyAlignment="1" applyProtection="1">
      <alignment horizontal="right" vertical="center"/>
    </xf>
    <xf numFmtId="0" fontId="4" fillId="3" borderId="0" xfId="0" applyFont="1" applyFill="1" applyAlignment="1" applyProtection="1">
      <alignment horizontal="left" vertical="center"/>
      <protection locked="0"/>
    </xf>
    <xf numFmtId="3" fontId="15" fillId="11" borderId="1" xfId="0" applyNumberFormat="1" applyFont="1" applyFill="1" applyBorder="1" applyAlignment="1" applyProtection="1">
      <alignment horizontal="center" vertical="center"/>
    </xf>
    <xf numFmtId="37" fontId="3" fillId="4" borderId="0" xfId="0" applyNumberFormat="1" applyFont="1" applyFill="1" applyAlignment="1" applyProtection="1">
      <alignment horizontal="left" vertical="center"/>
    </xf>
    <xf numFmtId="1" fontId="4" fillId="4" borderId="3" xfId="0" applyNumberFormat="1" applyFont="1" applyFill="1" applyBorder="1" applyAlignment="1" applyProtection="1">
      <alignment horizontal="center" vertical="center"/>
    </xf>
    <xf numFmtId="1" fontId="4" fillId="4" borderId="0" xfId="0" applyNumberFormat="1" applyFont="1" applyFill="1" applyBorder="1" applyAlignment="1" applyProtection="1">
      <alignment horizontal="center" vertical="center"/>
    </xf>
    <xf numFmtId="0" fontId="15" fillId="4" borderId="0" xfId="0" applyFont="1" applyFill="1" applyAlignment="1" applyProtection="1">
      <alignment vertical="center"/>
    </xf>
    <xf numFmtId="37" fontId="4" fillId="4" borderId="1" xfId="0" applyNumberFormat="1" applyFont="1" applyFill="1" applyBorder="1" applyAlignment="1" applyProtection="1">
      <alignment horizontal="left" vertical="center"/>
      <protection locked="0"/>
    </xf>
    <xf numFmtId="37" fontId="4" fillId="2" borderId="1" xfId="0" applyNumberFormat="1" applyFont="1" applyFill="1" applyBorder="1" applyAlignment="1" applyProtection="1">
      <alignment horizontal="left" vertical="center"/>
      <protection locked="0"/>
    </xf>
    <xf numFmtId="37" fontId="3" fillId="4" borderId="1" xfId="0" applyNumberFormat="1" applyFont="1" applyFill="1" applyBorder="1" applyAlignment="1" applyProtection="1">
      <alignment horizontal="left" vertical="center"/>
    </xf>
    <xf numFmtId="164" fontId="4" fillId="3" borderId="0" xfId="0" applyNumberFormat="1" applyFont="1" applyFill="1" applyAlignment="1" applyProtection="1">
      <alignment horizontal="left" vertical="center"/>
      <protection locked="0"/>
    </xf>
    <xf numFmtId="37" fontId="4" fillId="4" borderId="0" xfId="0" quotePrefix="1" applyNumberFormat="1" applyFont="1" applyFill="1" applyBorder="1" applyAlignment="1" applyProtection="1">
      <alignment horizontal="right" vertical="center"/>
    </xf>
    <xf numFmtId="1" fontId="4" fillId="4" borderId="0" xfId="0" applyNumberFormat="1" applyFont="1" applyFill="1" applyAlignment="1" applyProtection="1">
      <alignment horizontal="right" vertical="center"/>
    </xf>
    <xf numFmtId="0" fontId="4" fillId="2" borderId="0" xfId="0" applyFont="1" applyFill="1" applyAlignment="1" applyProtection="1">
      <alignment horizontal="left" vertical="center"/>
      <protection locked="0"/>
    </xf>
    <xf numFmtId="0" fontId="4" fillId="4" borderId="5" xfId="0" applyFont="1" applyFill="1" applyBorder="1" applyAlignment="1" applyProtection="1">
      <alignment horizontal="left" vertical="center"/>
    </xf>
    <xf numFmtId="0" fontId="4" fillId="4" borderId="6" xfId="0" applyFont="1" applyFill="1" applyBorder="1" applyAlignment="1" applyProtection="1">
      <alignment horizontal="left" vertical="center"/>
    </xf>
    <xf numFmtId="0" fontId="4" fillId="4" borderId="12" xfId="0" applyFont="1" applyFill="1" applyBorder="1" applyAlignment="1" applyProtection="1">
      <alignment horizontal="left" vertical="center"/>
    </xf>
    <xf numFmtId="37" fontId="4" fillId="4" borderId="6" xfId="0" applyNumberFormat="1" applyFont="1" applyFill="1" applyBorder="1" applyAlignment="1" applyProtection="1">
      <alignment vertical="center"/>
    </xf>
    <xf numFmtId="0" fontId="4" fillId="3" borderId="6" xfId="0" applyFont="1" applyFill="1" applyBorder="1" applyAlignment="1" applyProtection="1">
      <alignment horizontal="left" vertical="center"/>
    </xf>
    <xf numFmtId="0" fontId="4" fillId="2" borderId="5" xfId="0" applyFont="1" applyFill="1" applyBorder="1" applyAlignment="1" applyProtection="1">
      <alignment horizontal="left" vertical="center"/>
      <protection locked="0"/>
    </xf>
    <xf numFmtId="0" fontId="4" fillId="4" borderId="0" xfId="0" applyFont="1" applyFill="1" applyAlignment="1">
      <alignment horizontal="center" vertical="center"/>
    </xf>
    <xf numFmtId="0" fontId="3" fillId="4" borderId="0" xfId="0" applyFont="1" applyFill="1" applyAlignment="1">
      <alignment horizontal="center" vertical="center"/>
    </xf>
    <xf numFmtId="0" fontId="24" fillId="4" borderId="0" xfId="0" applyFont="1" applyFill="1" applyAlignment="1">
      <alignment horizontal="center" vertical="center"/>
    </xf>
    <xf numFmtId="0" fontId="4" fillId="4" borderId="6" xfId="0" applyFont="1" applyFill="1" applyBorder="1" applyAlignment="1">
      <alignment vertical="center"/>
    </xf>
    <xf numFmtId="0" fontId="4" fillId="4" borderId="2" xfId="0" applyFont="1" applyFill="1" applyBorder="1" applyAlignment="1">
      <alignment vertical="center"/>
    </xf>
    <xf numFmtId="0" fontId="25" fillId="4" borderId="3" xfId="0" applyFont="1" applyFill="1" applyBorder="1" applyAlignment="1">
      <alignment vertical="center"/>
    </xf>
    <xf numFmtId="0" fontId="25" fillId="4" borderId="6" xfId="0" applyFont="1" applyFill="1" applyBorder="1" applyAlignment="1">
      <alignment horizontal="center" vertical="center"/>
    </xf>
    <xf numFmtId="0" fontId="25" fillId="4" borderId="13" xfId="0" applyFont="1" applyFill="1" applyBorder="1" applyAlignment="1">
      <alignment vertical="center"/>
    </xf>
    <xf numFmtId="0" fontId="25" fillId="4" borderId="1" xfId="0" applyFont="1" applyFill="1" applyBorder="1" applyAlignment="1">
      <alignment horizontal="center" vertical="center"/>
    </xf>
    <xf numFmtId="0" fontId="4" fillId="4" borderId="6" xfId="0" applyFont="1" applyFill="1" applyBorder="1" applyAlignment="1">
      <alignment horizontal="center" vertical="center"/>
    </xf>
    <xf numFmtId="0" fontId="25" fillId="4" borderId="12" xfId="0" applyFont="1" applyFill="1" applyBorder="1" applyAlignment="1">
      <alignment vertical="center"/>
    </xf>
    <xf numFmtId="3" fontId="25" fillId="3" borderId="1" xfId="0" applyNumberFormat="1" applyFont="1" applyFill="1" applyBorder="1" applyAlignment="1" applyProtection="1">
      <alignment horizontal="center" vertical="center"/>
      <protection locked="0"/>
    </xf>
    <xf numFmtId="0" fontId="25" fillId="4" borderId="2" xfId="0" applyFont="1" applyFill="1" applyBorder="1" applyAlignment="1">
      <alignment vertical="center"/>
    </xf>
    <xf numFmtId="3" fontId="25" fillId="8" borderId="1" xfId="0" applyNumberFormat="1" applyFont="1" applyFill="1" applyBorder="1" applyAlignment="1">
      <alignment horizontal="center" vertical="center"/>
    </xf>
    <xf numFmtId="0" fontId="25" fillId="4" borderId="0" xfId="0" applyFont="1" applyFill="1" applyAlignment="1">
      <alignment vertical="center"/>
    </xf>
    <xf numFmtId="3" fontId="25" fillId="4" borderId="0" xfId="0" applyNumberFormat="1" applyFont="1" applyFill="1" applyAlignment="1">
      <alignment horizontal="center" vertical="center"/>
    </xf>
    <xf numFmtId="0" fontId="25" fillId="4" borderId="0" xfId="0" applyFont="1" applyFill="1" applyAlignment="1">
      <alignment horizontal="center" vertical="center"/>
    </xf>
    <xf numFmtId="0" fontId="25" fillId="3" borderId="1" xfId="0" applyFont="1" applyFill="1" applyBorder="1" applyAlignment="1" applyProtection="1">
      <alignment vertical="center"/>
      <protection locked="0"/>
    </xf>
    <xf numFmtId="0" fontId="25" fillId="3" borderId="13" xfId="0" applyFont="1" applyFill="1" applyBorder="1" applyAlignment="1" applyProtection="1">
      <alignment vertical="center"/>
      <protection locked="0"/>
    </xf>
    <xf numFmtId="3" fontId="25" fillId="3" borderId="13" xfId="0" applyNumberFormat="1" applyFont="1" applyFill="1" applyBorder="1" applyAlignment="1" applyProtection="1">
      <alignment horizontal="center" vertical="center"/>
      <protection locked="0"/>
    </xf>
    <xf numFmtId="0" fontId="25" fillId="3" borderId="0" xfId="0" applyFont="1" applyFill="1" applyAlignment="1" applyProtection="1">
      <alignment vertical="center"/>
      <protection locked="0"/>
    </xf>
    <xf numFmtId="3" fontId="25" fillId="3" borderId="9" xfId="0" applyNumberFormat="1" applyFont="1" applyFill="1" applyBorder="1" applyAlignment="1" applyProtection="1">
      <alignment horizontal="center" vertical="center"/>
      <protection locked="0"/>
    </xf>
    <xf numFmtId="3" fontId="25" fillId="3" borderId="6" xfId="0" applyNumberFormat="1" applyFont="1" applyFill="1" applyBorder="1" applyAlignment="1" applyProtection="1">
      <alignment horizontal="center" vertical="center"/>
      <protection locked="0"/>
    </xf>
    <xf numFmtId="0" fontId="25" fillId="3" borderId="6" xfId="0" applyFont="1" applyFill="1" applyBorder="1" applyAlignment="1" applyProtection="1">
      <alignment vertical="center"/>
      <protection locked="0"/>
    </xf>
    <xf numFmtId="0" fontId="25" fillId="3" borderId="4" xfId="0" applyFont="1" applyFill="1" applyBorder="1" applyAlignment="1" applyProtection="1">
      <alignment vertical="center"/>
      <protection locked="0"/>
    </xf>
    <xf numFmtId="3" fontId="25" fillId="3" borderId="14" xfId="0" applyNumberFormat="1" applyFont="1" applyFill="1" applyBorder="1" applyAlignment="1" applyProtection="1">
      <alignment horizontal="center" vertical="center"/>
      <protection locked="0"/>
    </xf>
    <xf numFmtId="0" fontId="25" fillId="3" borderId="14" xfId="0" applyFont="1" applyFill="1" applyBorder="1" applyAlignment="1" applyProtection="1">
      <alignment vertical="center"/>
      <protection locked="0"/>
    </xf>
    <xf numFmtId="3" fontId="25" fillId="8" borderId="4" xfId="0" applyNumberFormat="1" applyFont="1" applyFill="1" applyBorder="1" applyAlignment="1">
      <alignment horizontal="center" vertical="center"/>
    </xf>
    <xf numFmtId="3" fontId="25" fillId="10" borderId="1" xfId="0" applyNumberFormat="1" applyFont="1" applyFill="1" applyBorder="1" applyAlignment="1">
      <alignment horizontal="center" vertical="center"/>
    </xf>
    <xf numFmtId="3" fontId="4" fillId="4" borderId="0" xfId="0" applyNumberFormat="1" applyFont="1" applyFill="1" applyAlignment="1">
      <alignment vertical="center"/>
    </xf>
    <xf numFmtId="0" fontId="4" fillId="9" borderId="0" xfId="0" applyFont="1" applyFill="1" applyAlignment="1">
      <alignment vertical="center"/>
    </xf>
    <xf numFmtId="0" fontId="4" fillId="4" borderId="0" xfId="0" applyFont="1" applyFill="1" applyAlignment="1">
      <alignment horizontal="right" vertical="center"/>
    </xf>
    <xf numFmtId="3" fontId="4" fillId="0" borderId="0" xfId="0" applyNumberFormat="1" applyFont="1" applyAlignment="1">
      <alignment vertical="center"/>
    </xf>
    <xf numFmtId="3" fontId="4" fillId="4" borderId="1" xfId="0" applyNumberFormat="1" applyFont="1" applyFill="1" applyBorder="1" applyAlignment="1" applyProtection="1"/>
    <xf numFmtId="0" fontId="3" fillId="7" borderId="0" xfId="0" applyFont="1" applyFill="1" applyAlignment="1" applyProtection="1">
      <alignment horizontal="left" vertical="center"/>
    </xf>
    <xf numFmtId="0" fontId="4" fillId="7" borderId="0" xfId="0" applyFont="1" applyFill="1" applyAlignment="1" applyProtection="1">
      <alignment vertical="center"/>
    </xf>
    <xf numFmtId="3" fontId="4" fillId="2" borderId="2" xfId="0" applyNumberFormat="1" applyFont="1" applyFill="1" applyBorder="1" applyAlignment="1" applyProtection="1">
      <alignment vertical="center"/>
      <protection locked="0"/>
    </xf>
    <xf numFmtId="37" fontId="4" fillId="3" borderId="7" xfId="0" applyNumberFormat="1" applyFont="1" applyFill="1" applyBorder="1" applyAlignment="1" applyProtection="1">
      <alignment vertical="center"/>
      <protection locked="0"/>
    </xf>
    <xf numFmtId="37" fontId="4" fillId="4" borderId="0" xfId="0" applyNumberFormat="1" applyFont="1" applyFill="1" applyBorder="1" applyAlignment="1" applyProtection="1">
      <alignment vertical="center"/>
      <protection locked="0"/>
    </xf>
    <xf numFmtId="37" fontId="5" fillId="4" borderId="0" xfId="0" applyNumberFormat="1" applyFont="1" applyFill="1" applyBorder="1" applyAlignment="1" applyProtection="1">
      <alignment horizontal="left" vertical="center"/>
    </xf>
    <xf numFmtId="3" fontId="4" fillId="4" borderId="0" xfId="0" applyNumberFormat="1" applyFont="1" applyFill="1" applyBorder="1" applyAlignment="1" applyProtection="1">
      <alignment vertical="center"/>
      <protection locked="0"/>
    </xf>
    <xf numFmtId="0" fontId="17" fillId="4" borderId="0" xfId="0" applyFont="1" applyFill="1" applyBorder="1" applyAlignment="1" applyProtection="1">
      <alignment horizontal="center" vertical="center"/>
    </xf>
    <xf numFmtId="172" fontId="4" fillId="3" borderId="2" xfId="0" applyNumberFormat="1" applyFont="1" applyFill="1" applyBorder="1" applyAlignment="1" applyProtection="1">
      <alignment vertical="center"/>
      <protection locked="0"/>
    </xf>
    <xf numFmtId="172" fontId="4" fillId="3" borderId="7" xfId="0" applyNumberFormat="1" applyFont="1" applyFill="1" applyBorder="1" applyAlignment="1" applyProtection="1">
      <alignment vertical="center"/>
      <protection locked="0"/>
    </xf>
    <xf numFmtId="172" fontId="4" fillId="3" borderId="15" xfId="0" applyNumberFormat="1" applyFont="1" applyFill="1" applyBorder="1" applyAlignment="1" applyProtection="1">
      <alignment vertical="center"/>
      <protection locked="0"/>
    </xf>
    <xf numFmtId="172" fontId="4" fillId="8" borderId="1" xfId="0" applyNumberFormat="1" applyFont="1" applyFill="1" applyBorder="1" applyAlignment="1" applyProtection="1">
      <alignment vertical="center"/>
    </xf>
    <xf numFmtId="37" fontId="3" fillId="5" borderId="0" xfId="0" applyNumberFormat="1" applyFont="1" applyFill="1" applyAlignment="1" applyProtection="1">
      <alignment horizontal="left" vertical="center"/>
    </xf>
    <xf numFmtId="0" fontId="4" fillId="5" borderId="0" xfId="0" applyFont="1" applyFill="1" applyAlignment="1" applyProtection="1">
      <alignment vertical="center"/>
    </xf>
    <xf numFmtId="3" fontId="4" fillId="5" borderId="0" xfId="0" applyNumberFormat="1" applyFont="1" applyFill="1" applyAlignment="1" applyProtection="1">
      <alignment vertical="center"/>
    </xf>
    <xf numFmtId="3" fontId="4" fillId="4" borderId="9" xfId="0" applyNumberFormat="1" applyFont="1" applyFill="1" applyBorder="1" applyAlignment="1" applyProtection="1">
      <alignment vertical="center"/>
    </xf>
    <xf numFmtId="37" fontId="4" fillId="4" borderId="7" xfId="0" applyNumberFormat="1" applyFont="1" applyFill="1" applyBorder="1" applyAlignment="1" applyProtection="1">
      <alignment horizontal="left" vertical="center"/>
    </xf>
    <xf numFmtId="172" fontId="4" fillId="3" borderId="1" xfId="0" applyNumberFormat="1" applyFont="1" applyFill="1" applyBorder="1" applyAlignment="1" applyProtection="1">
      <alignment vertical="center"/>
      <protection locked="0"/>
    </xf>
    <xf numFmtId="171" fontId="4" fillId="2" borderId="1" xfId="0" applyNumberFormat="1" applyFont="1" applyFill="1" applyBorder="1" applyAlignment="1" applyProtection="1">
      <alignment vertical="center"/>
      <protection locked="0"/>
    </xf>
    <xf numFmtId="37" fontId="4" fillId="9" borderId="0" xfId="0" applyNumberFormat="1" applyFont="1" applyFill="1" applyBorder="1" applyAlignment="1" applyProtection="1">
      <alignment horizontal="left" vertical="center"/>
    </xf>
    <xf numFmtId="0" fontId="4" fillId="9" borderId="0" xfId="0" applyFont="1" applyFill="1" applyBorder="1" applyAlignment="1" applyProtection="1">
      <alignment vertical="center"/>
    </xf>
    <xf numFmtId="171" fontId="4" fillId="9" borderId="0" xfId="0" applyNumberFormat="1" applyFont="1" applyFill="1" applyBorder="1" applyAlignment="1" applyProtection="1">
      <alignment vertical="center"/>
      <protection locked="0"/>
    </xf>
    <xf numFmtId="0" fontId="4" fillId="7" borderId="3" xfId="0" applyFont="1" applyFill="1" applyBorder="1" applyAlignment="1">
      <alignment horizontal="center" vertical="center"/>
    </xf>
    <xf numFmtId="0" fontId="4" fillId="7" borderId="4" xfId="0" applyFont="1" applyFill="1" applyBorder="1" applyAlignment="1">
      <alignment horizontal="center" vertical="center"/>
    </xf>
    <xf numFmtId="0" fontId="15" fillId="4" borderId="0" xfId="0" applyFont="1" applyFill="1" applyAlignment="1">
      <alignment vertical="center"/>
    </xf>
    <xf numFmtId="0" fontId="20" fillId="4" borderId="0" xfId="0" applyFont="1" applyFill="1" applyAlignment="1">
      <alignment vertical="center"/>
    </xf>
    <xf numFmtId="37" fontId="4" fillId="4" borderId="1" xfId="0" applyNumberFormat="1" applyFont="1" applyFill="1" applyBorder="1" applyAlignment="1">
      <alignment vertical="center"/>
    </xf>
    <xf numFmtId="3" fontId="29" fillId="10" borderId="0" xfId="0" applyNumberFormat="1" applyFont="1" applyFill="1" applyAlignment="1">
      <alignment horizontal="center" vertical="center"/>
    </xf>
    <xf numFmtId="0" fontId="4" fillId="0" borderId="0" xfId="7" applyFont="1" applyAlignment="1">
      <alignment vertical="center"/>
    </xf>
    <xf numFmtId="0" fontId="28" fillId="0" borderId="0" xfId="7" applyFont="1" applyAlignment="1">
      <alignment horizontal="center" vertical="center"/>
    </xf>
    <xf numFmtId="0" fontId="3" fillId="0" borderId="0" xfId="7" applyFont="1" applyAlignment="1">
      <alignment vertical="center" wrapText="1"/>
    </xf>
    <xf numFmtId="0" fontId="35" fillId="0" borderId="0" xfId="7" applyFont="1" applyAlignment="1">
      <alignment vertical="center"/>
    </xf>
    <xf numFmtId="3" fontId="36" fillId="4" borderId="0" xfId="0" applyNumberFormat="1" applyFont="1" applyFill="1" applyAlignment="1" applyProtection="1">
      <alignment horizontal="center" vertical="center"/>
    </xf>
    <xf numFmtId="3" fontId="16" fillId="4" borderId="0" xfId="0" applyNumberFormat="1" applyFont="1" applyFill="1" applyAlignment="1" applyProtection="1">
      <alignment horizontal="center" vertical="center"/>
    </xf>
    <xf numFmtId="0" fontId="36" fillId="4" borderId="0" xfId="0" applyFont="1" applyFill="1" applyAlignment="1" applyProtection="1">
      <alignment horizontal="center" vertical="center"/>
    </xf>
    <xf numFmtId="0" fontId="4" fillId="0" borderId="0" xfId="0" applyFont="1" applyAlignment="1">
      <alignment vertical="center" wrapText="1"/>
    </xf>
    <xf numFmtId="0" fontId="4" fillId="0" borderId="0" xfId="0" applyNumberFormat="1" applyFont="1" applyAlignment="1">
      <alignment vertical="center" wrapText="1"/>
    </xf>
    <xf numFmtId="0" fontId="4" fillId="0" borderId="0" xfId="13" applyFont="1" applyAlignment="1">
      <alignment vertical="center" wrapText="1"/>
    </xf>
    <xf numFmtId="0" fontId="3" fillId="0" borderId="0" xfId="0" applyFont="1" applyAlignment="1">
      <alignment vertical="center" wrapText="1"/>
    </xf>
    <xf numFmtId="0" fontId="35" fillId="0" borderId="0" xfId="0" applyFont="1" applyAlignment="1">
      <alignment vertical="center"/>
    </xf>
    <xf numFmtId="0" fontId="7" fillId="0" borderId="0" xfId="0" applyFont="1" applyAlignment="1">
      <alignment vertical="center"/>
    </xf>
    <xf numFmtId="0" fontId="13" fillId="0" borderId="0" xfId="0" applyFont="1" applyAlignment="1">
      <alignment vertical="center" wrapText="1"/>
    </xf>
    <xf numFmtId="0" fontId="37" fillId="0" borderId="0" xfId="0" applyFont="1" applyAlignment="1">
      <alignment vertical="center"/>
    </xf>
    <xf numFmtId="0" fontId="30" fillId="0" borderId="0" xfId="0" applyFont="1" applyAlignment="1">
      <alignment horizontal="center" vertical="center"/>
    </xf>
    <xf numFmtId="0" fontId="0" fillId="0" borderId="0" xfId="0" applyAlignment="1"/>
    <xf numFmtId="0" fontId="4" fillId="0" borderId="0" xfId="18" applyFont="1" applyAlignment="1">
      <alignment vertical="center"/>
    </xf>
    <xf numFmtId="0" fontId="1" fillId="0" borderId="0" xfId="22"/>
    <xf numFmtId="0" fontId="1" fillId="0" borderId="0" xfId="22" applyNumberFormat="1" applyFont="1" applyAlignment="1">
      <alignment horizontal="left" vertical="center"/>
    </xf>
    <xf numFmtId="0" fontId="4" fillId="0" borderId="0" xfId="22" applyFont="1" applyAlignment="1">
      <alignment horizontal="left" vertical="center"/>
    </xf>
    <xf numFmtId="49" fontId="4" fillId="3" borderId="0" xfId="22" applyNumberFormat="1" applyFont="1" applyFill="1" applyAlignment="1" applyProtection="1">
      <alignment horizontal="left" vertical="center"/>
      <protection locked="0"/>
    </xf>
    <xf numFmtId="175" fontId="25" fillId="0" borderId="0" xfId="22" applyNumberFormat="1" applyFont="1" applyAlignment="1">
      <alignment horizontal="left" vertical="center"/>
    </xf>
    <xf numFmtId="49" fontId="4" fillId="0" borderId="0" xfId="22" applyNumberFormat="1" applyFont="1" applyAlignment="1">
      <alignment horizontal="left" vertical="center"/>
    </xf>
    <xf numFmtId="0" fontId="25" fillId="0" borderId="0" xfId="22" applyFont="1" applyAlignment="1">
      <alignment horizontal="left" vertical="center"/>
    </xf>
    <xf numFmtId="176" fontId="25" fillId="0" borderId="0" xfId="22" applyNumberFormat="1" applyFont="1" applyAlignment="1">
      <alignment horizontal="left" vertical="center"/>
    </xf>
    <xf numFmtId="0" fontId="4" fillId="3" borderId="0" xfId="22" applyFont="1" applyFill="1" applyAlignment="1" applyProtection="1">
      <alignment horizontal="left" vertical="center"/>
      <protection locked="0"/>
    </xf>
    <xf numFmtId="0" fontId="1" fillId="3" borderId="0" xfId="22" applyFill="1" applyAlignment="1" applyProtection="1">
      <alignment horizontal="left" vertical="center"/>
      <protection locked="0"/>
    </xf>
    <xf numFmtId="0" fontId="5" fillId="0" borderId="0" xfId="0" applyFont="1"/>
    <xf numFmtId="0" fontId="5" fillId="0" borderId="0" xfId="0" applyFont="1" applyBorder="1"/>
    <xf numFmtId="0" fontId="5" fillId="0" borderId="0" xfId="4" applyFont="1" applyAlignment="1">
      <alignment vertical="center"/>
    </xf>
    <xf numFmtId="0" fontId="4" fillId="0" borderId="0" xfId="5" applyFont="1" applyAlignment="1">
      <alignment vertical="center"/>
    </xf>
    <xf numFmtId="0" fontId="4" fillId="0" borderId="0" xfId="23" applyFont="1" applyAlignment="1">
      <alignment vertical="center"/>
    </xf>
    <xf numFmtId="0" fontId="31" fillId="0" borderId="0" xfId="0" applyFont="1" applyAlignment="1">
      <alignment horizontal="center"/>
    </xf>
    <xf numFmtId="0" fontId="2" fillId="0" borderId="0" xfId="0" applyFont="1"/>
    <xf numFmtId="0" fontId="19" fillId="0" borderId="0" xfId="0" applyFont="1"/>
    <xf numFmtId="0" fontId="19" fillId="0" borderId="0" xfId="0" applyFont="1" applyAlignment="1"/>
    <xf numFmtId="0" fontId="2" fillId="0" borderId="0" xfId="0" quotePrefix="1" applyFont="1"/>
    <xf numFmtId="0" fontId="2" fillId="0" borderId="0" xfId="10" applyFont="1"/>
    <xf numFmtId="0" fontId="2" fillId="0" borderId="0" xfId="10" applyFont="1" applyFill="1"/>
    <xf numFmtId="0" fontId="2" fillId="0" borderId="0" xfId="0" applyFont="1" applyAlignment="1"/>
    <xf numFmtId="0" fontId="19" fillId="0" borderId="0" xfId="0" applyFont="1" applyAlignment="1">
      <alignment horizontal="center"/>
    </xf>
    <xf numFmtId="0" fontId="4" fillId="0" borderId="0" xfId="5" applyFont="1" applyAlignment="1">
      <alignment vertical="center" wrapText="1"/>
    </xf>
    <xf numFmtId="0" fontId="4" fillId="0" borderId="0" xfId="6" applyFont="1" applyAlignment="1">
      <alignment vertical="center" wrapText="1"/>
    </xf>
    <xf numFmtId="0" fontId="4" fillId="4" borderId="3" xfId="0" applyFont="1" applyFill="1" applyBorder="1" applyAlignment="1" applyProtection="1">
      <alignment horizontal="center" vertical="center" wrapText="1"/>
    </xf>
    <xf numFmtId="0" fontId="4" fillId="4" borderId="13"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4" fillId="4" borderId="0" xfId="0" applyFont="1" applyFill="1"/>
    <xf numFmtId="0" fontId="5" fillId="0" borderId="0" xfId="3" applyFont="1" applyAlignment="1">
      <alignment vertical="center"/>
    </xf>
    <xf numFmtId="0" fontId="38" fillId="4" borderId="0" xfId="0" applyFont="1" applyFill="1" applyAlignment="1" applyProtection="1">
      <alignment horizontal="right" vertical="center"/>
      <protection locked="0"/>
    </xf>
    <xf numFmtId="0" fontId="7" fillId="4" borderId="0" xfId="0" applyFont="1" applyFill="1" applyAlignment="1" applyProtection="1">
      <alignment horizontal="left" vertical="center"/>
      <protection locked="0"/>
    </xf>
    <xf numFmtId="14" fontId="4" fillId="2" borderId="1" xfId="0" applyNumberFormat="1" applyFont="1" applyFill="1" applyBorder="1" applyAlignment="1" applyProtection="1">
      <alignment vertical="center"/>
      <protection locked="0"/>
    </xf>
    <xf numFmtId="1" fontId="4" fillId="2" borderId="1" xfId="0" applyNumberFormat="1" applyFont="1" applyFill="1" applyBorder="1" applyAlignment="1" applyProtection="1">
      <alignment horizontal="center" vertical="center"/>
      <protection locked="0"/>
    </xf>
    <xf numFmtId="37" fontId="4" fillId="5" borderId="3" xfId="0" applyNumberFormat="1" applyFont="1" applyFill="1" applyBorder="1" applyAlignment="1" applyProtection="1">
      <alignment horizontal="center" wrapText="1"/>
    </xf>
    <xf numFmtId="0" fontId="0" fillId="5" borderId="4" xfId="0" applyFill="1" applyBorder="1" applyAlignment="1">
      <alignment wrapText="1"/>
    </xf>
    <xf numFmtId="37" fontId="16" fillId="4" borderId="0" xfId="0" applyNumberFormat="1" applyFont="1" applyFill="1" applyAlignment="1" applyProtection="1">
      <alignment horizontal="center" vertical="justify"/>
    </xf>
    <xf numFmtId="0" fontId="17" fillId="0" borderId="0" xfId="0" applyFont="1" applyAlignment="1">
      <alignment horizontal="center" vertical="justify"/>
    </xf>
    <xf numFmtId="37" fontId="16" fillId="4" borderId="0" xfId="0" applyNumberFormat="1" applyFont="1" applyFill="1" applyAlignment="1" applyProtection="1">
      <alignment horizontal="center" vertical="center"/>
    </xf>
    <xf numFmtId="0" fontId="17" fillId="0" borderId="0" xfId="0" applyFont="1" applyAlignment="1">
      <alignment horizontal="center" vertical="center"/>
    </xf>
    <xf numFmtId="37" fontId="17" fillId="4" borderId="0" xfId="0" applyNumberFormat="1" applyFont="1" applyFill="1" applyBorder="1" applyAlignment="1" applyProtection="1">
      <alignment horizontal="center" vertical="center"/>
    </xf>
    <xf numFmtId="0" fontId="4" fillId="0" borderId="0" xfId="0" applyFont="1" applyAlignment="1">
      <alignment horizontal="center" vertical="center"/>
    </xf>
    <xf numFmtId="0" fontId="3" fillId="7" borderId="0" xfId="0" applyFont="1" applyFill="1" applyBorder="1" applyAlignment="1">
      <alignment horizontal="center" vertical="center"/>
    </xf>
    <xf numFmtId="0" fontId="19" fillId="7" borderId="0" xfId="0" applyFont="1" applyFill="1" applyBorder="1" applyAlignment="1">
      <alignment horizontal="center" vertical="center"/>
    </xf>
    <xf numFmtId="0" fontId="15" fillId="4" borderId="0" xfId="0" applyFont="1" applyFill="1" applyBorder="1" applyAlignment="1">
      <alignment vertical="center"/>
    </xf>
    <xf numFmtId="0" fontId="20" fillId="0" borderId="0" xfId="0" applyFont="1" applyAlignment="1">
      <alignment vertical="center"/>
    </xf>
    <xf numFmtId="0" fontId="4" fillId="0" borderId="0" xfId="22" applyFont="1" applyAlignment="1">
      <alignment horizontal="left" vertical="center" wrapText="1"/>
    </xf>
    <xf numFmtId="0" fontId="1" fillId="0" borderId="0" xfId="22" applyAlignment="1">
      <alignment horizontal="left" vertical="center" wrapText="1"/>
    </xf>
    <xf numFmtId="0" fontId="17" fillId="0" borderId="0" xfId="22" applyFont="1" applyAlignment="1">
      <alignment horizontal="left" vertical="center"/>
    </xf>
    <xf numFmtId="37" fontId="4" fillId="4" borderId="0" xfId="0" applyNumberFormat="1" applyFont="1" applyFill="1" applyAlignment="1" applyProtection="1">
      <alignment horizontal="center"/>
    </xf>
    <xf numFmtId="37" fontId="4" fillId="4" borderId="3" xfId="0" applyNumberFormat="1" applyFont="1" applyFill="1" applyBorder="1" applyAlignment="1" applyProtection="1">
      <alignment horizontal="center" wrapText="1"/>
    </xf>
    <xf numFmtId="0" fontId="0" fillId="0" borderId="8" xfId="0" applyBorder="1" applyAlignment="1" applyProtection="1">
      <alignment horizontal="center"/>
    </xf>
    <xf numFmtId="0" fontId="0" fillId="0" borderId="4" xfId="0" applyBorder="1" applyAlignment="1" applyProtection="1">
      <alignment horizontal="center"/>
    </xf>
    <xf numFmtId="37" fontId="5" fillId="4" borderId="0" xfId="0" applyNumberFormat="1" applyFont="1" applyFill="1" applyAlignment="1" applyProtection="1">
      <alignment horizontal="center"/>
    </xf>
    <xf numFmtId="0" fontId="3" fillId="4" borderId="0" xfId="0" applyFont="1" applyFill="1" applyAlignment="1" applyProtection="1">
      <alignment horizontal="center" vertical="center"/>
    </xf>
    <xf numFmtId="37" fontId="4" fillId="4" borderId="3" xfId="0" applyNumberFormat="1" applyFont="1" applyFill="1"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4" xfId="0" applyBorder="1" applyAlignment="1" applyProtection="1">
      <alignment horizontal="center" vertical="center" wrapText="1"/>
    </xf>
    <xf numFmtId="37" fontId="4" fillId="4" borderId="15" xfId="0" applyNumberFormat="1" applyFont="1" applyFill="1" applyBorder="1" applyAlignment="1" applyProtection="1">
      <alignment horizontal="center" vertical="center"/>
    </xf>
    <xf numFmtId="0" fontId="0" fillId="0" borderId="15" xfId="0" applyBorder="1" applyAlignment="1">
      <alignment horizontal="center" vertical="center"/>
    </xf>
    <xf numFmtId="37" fontId="4" fillId="4" borderId="5" xfId="0" applyNumberFormat="1" applyFont="1" applyFill="1" applyBorder="1" applyAlignment="1" applyProtection="1">
      <alignment horizontal="center" vertical="center"/>
    </xf>
    <xf numFmtId="0" fontId="0" fillId="0" borderId="7" xfId="0" applyBorder="1" applyAlignment="1" applyProtection="1">
      <alignment vertical="center"/>
    </xf>
    <xf numFmtId="0" fontId="0" fillId="0" borderId="6" xfId="0" applyBorder="1" applyAlignment="1" applyProtection="1">
      <alignment vertical="center"/>
    </xf>
    <xf numFmtId="0" fontId="4" fillId="4" borderId="0" xfId="0" applyFont="1" applyFill="1" applyAlignment="1" applyProtection="1">
      <alignment horizontal="center" vertical="center"/>
    </xf>
    <xf numFmtId="0" fontId="0" fillId="0" borderId="0" xfId="0" applyAlignment="1" applyProtection="1">
      <alignment vertical="center"/>
    </xf>
    <xf numFmtId="37" fontId="4" fillId="4" borderId="0" xfId="0" applyNumberFormat="1" applyFont="1" applyFill="1" applyAlignment="1" applyProtection="1">
      <alignment horizontal="center" vertical="center"/>
    </xf>
    <xf numFmtId="0" fontId="0" fillId="0" borderId="0" xfId="0" applyAlignment="1" applyProtection="1">
      <alignment horizontal="center" vertical="center"/>
    </xf>
    <xf numFmtId="0" fontId="8" fillId="7" borderId="19" xfId="0" applyFont="1" applyFill="1" applyBorder="1" applyAlignment="1" applyProtection="1">
      <alignment horizontal="center" vertical="center"/>
    </xf>
    <xf numFmtId="0" fontId="0" fillId="0" borderId="15" xfId="0" applyBorder="1" applyAlignment="1" applyProtection="1">
      <alignment vertical="center"/>
    </xf>
    <xf numFmtId="3" fontId="4" fillId="3" borderId="19" xfId="0" applyNumberFormat="1" applyFont="1" applyFill="1" applyBorder="1" applyAlignment="1" applyProtection="1">
      <alignment vertical="center"/>
      <protection locked="0"/>
    </xf>
    <xf numFmtId="3" fontId="0" fillId="0" borderId="0" xfId="0" applyNumberFormat="1" applyBorder="1" applyAlignment="1" applyProtection="1">
      <alignment vertical="center"/>
      <protection locked="0"/>
    </xf>
    <xf numFmtId="0" fontId="8" fillId="7" borderId="0" xfId="0" applyFont="1" applyFill="1" applyAlignment="1" applyProtection="1">
      <alignment horizontal="center" vertical="center"/>
    </xf>
    <xf numFmtId="0" fontId="0" fillId="0" borderId="0" xfId="0" applyAlignment="1">
      <alignment vertical="center"/>
    </xf>
    <xf numFmtId="0" fontId="6" fillId="4" borderId="0" xfId="0" applyFont="1" applyFill="1" applyAlignment="1" applyProtection="1">
      <alignment horizontal="center" vertical="center"/>
    </xf>
    <xf numFmtId="37" fontId="3" fillId="4" borderId="0" xfId="0" applyNumberFormat="1" applyFont="1" applyFill="1" applyAlignment="1" applyProtection="1">
      <alignment horizontal="center" vertical="center"/>
    </xf>
    <xf numFmtId="3" fontId="4" fillId="2" borderId="5" xfId="0" applyNumberFormat="1" applyFont="1" applyFill="1" applyBorder="1" applyAlignment="1" applyProtection="1">
      <alignment vertical="center"/>
      <protection locked="0"/>
    </xf>
    <xf numFmtId="3" fontId="4" fillId="2" borderId="6" xfId="0" applyNumberFormat="1" applyFont="1" applyFill="1" applyBorder="1" applyAlignment="1" applyProtection="1">
      <alignment vertical="center"/>
      <protection locked="0"/>
    </xf>
    <xf numFmtId="3" fontId="15" fillId="10" borderId="5" xfId="0" applyNumberFormat="1" applyFont="1" applyFill="1" applyBorder="1" applyAlignment="1" applyProtection="1">
      <alignment horizontal="center" vertical="center"/>
      <protection locked="0"/>
    </xf>
    <xf numFmtId="0" fontId="21" fillId="10" borderId="6" xfId="0" applyFont="1" applyFill="1" applyBorder="1" applyAlignment="1">
      <alignment horizontal="center" vertical="center"/>
    </xf>
    <xf numFmtId="171" fontId="4" fillId="4" borderId="0" xfId="0" applyNumberFormat="1" applyFont="1" applyFill="1" applyBorder="1" applyAlignment="1">
      <alignment horizontal="right" vertical="center"/>
    </xf>
    <xf numFmtId="0" fontId="2" fillId="0" borderId="0" xfId="0" applyFont="1" applyAlignment="1">
      <alignment horizontal="right" vertical="center"/>
    </xf>
    <xf numFmtId="3" fontId="15" fillId="10" borderId="5" xfId="0" applyNumberFormat="1" applyFont="1" applyFill="1" applyBorder="1" applyAlignment="1" applyProtection="1">
      <alignment horizontal="center" vertical="center"/>
    </xf>
    <xf numFmtId="3" fontId="15" fillId="10" borderId="6" xfId="0" applyNumberFormat="1" applyFont="1" applyFill="1" applyBorder="1" applyAlignment="1" applyProtection="1">
      <alignment horizontal="center" vertical="center"/>
    </xf>
    <xf numFmtId="37" fontId="4" fillId="4" borderId="15" xfId="0" applyNumberFormat="1" applyFont="1" applyFill="1" applyBorder="1" applyAlignment="1" applyProtection="1">
      <alignment horizontal="right" vertical="center"/>
    </xf>
    <xf numFmtId="0" fontId="2" fillId="0" borderId="15" xfId="0" applyFont="1" applyBorder="1" applyAlignment="1">
      <alignment vertical="center"/>
    </xf>
    <xf numFmtId="0" fontId="2" fillId="0" borderId="13" xfId="0" applyFont="1" applyBorder="1" applyAlignment="1">
      <alignment vertical="center"/>
    </xf>
    <xf numFmtId="37" fontId="4" fillId="4" borderId="0" xfId="0" applyNumberFormat="1" applyFont="1" applyFill="1" applyAlignment="1" applyProtection="1">
      <alignment horizontal="right" vertical="center"/>
    </xf>
    <xf numFmtId="37" fontId="4" fillId="4" borderId="14" xfId="0" applyNumberFormat="1" applyFont="1" applyFill="1" applyBorder="1" applyAlignment="1" applyProtection="1">
      <alignment horizontal="right" vertical="center"/>
    </xf>
    <xf numFmtId="3" fontId="3" fillId="4" borderId="5" xfId="0" applyNumberFormat="1" applyFont="1" applyFill="1" applyBorder="1" applyAlignment="1" applyProtection="1">
      <alignment vertical="center"/>
    </xf>
    <xf numFmtId="3" fontId="3" fillId="4" borderId="6" xfId="0" applyNumberFormat="1" applyFont="1" applyFill="1" applyBorder="1" applyAlignment="1" applyProtection="1">
      <alignment vertical="center"/>
    </xf>
    <xf numFmtId="3" fontId="4" fillId="8" borderId="5" xfId="0" applyNumberFormat="1" applyFont="1" applyFill="1" applyBorder="1" applyAlignment="1" applyProtection="1">
      <alignment vertical="center"/>
    </xf>
    <xf numFmtId="3" fontId="4" fillId="8" borderId="6" xfId="0" applyNumberFormat="1" applyFont="1" applyFill="1" applyBorder="1" applyAlignment="1" applyProtection="1">
      <alignment vertical="center"/>
    </xf>
    <xf numFmtId="0" fontId="21" fillId="0" borderId="6" xfId="0" applyFont="1" applyBorder="1" applyAlignment="1">
      <alignment horizontal="center" vertical="center"/>
    </xf>
    <xf numFmtId="0" fontId="21" fillId="10" borderId="6" xfId="0" applyFont="1" applyFill="1" applyBorder="1" applyAlignment="1" applyProtection="1">
      <alignment horizontal="center" vertical="center"/>
    </xf>
    <xf numFmtId="0" fontId="21" fillId="0" borderId="6" xfId="0" applyFont="1" applyBorder="1" applyAlignment="1" applyProtection="1">
      <alignment horizontal="center" vertical="center"/>
    </xf>
    <xf numFmtId="1" fontId="4" fillId="4" borderId="11" xfId="0" applyNumberFormat="1" applyFont="1" applyFill="1" applyBorder="1" applyAlignment="1" applyProtection="1">
      <alignment horizontal="center" vertical="center"/>
    </xf>
    <xf numFmtId="1" fontId="4" fillId="4" borderId="13" xfId="0" applyNumberFormat="1" applyFont="1" applyFill="1" applyBorder="1" applyAlignment="1" applyProtection="1">
      <alignment horizontal="center" vertical="center"/>
    </xf>
    <xf numFmtId="37" fontId="4" fillId="4" borderId="12" xfId="0" applyNumberFormat="1" applyFont="1" applyFill="1" applyBorder="1" applyAlignment="1" applyProtection="1">
      <alignment horizontal="center" vertical="center"/>
    </xf>
    <xf numFmtId="37" fontId="4" fillId="4" borderId="9" xfId="0" applyNumberFormat="1" applyFont="1" applyFill="1" applyBorder="1" applyAlignment="1" applyProtection="1">
      <alignment horizontal="center" vertical="center"/>
    </xf>
    <xf numFmtId="3" fontId="4" fillId="4" borderId="5" xfId="0" applyNumberFormat="1" applyFont="1" applyFill="1" applyBorder="1" applyAlignment="1" applyProtection="1">
      <alignment vertical="center"/>
    </xf>
    <xf numFmtId="3" fontId="4" fillId="4" borderId="6" xfId="0" applyNumberFormat="1" applyFont="1" applyFill="1" applyBorder="1" applyAlignment="1" applyProtection="1">
      <alignment vertical="center"/>
    </xf>
    <xf numFmtId="37" fontId="4" fillId="4" borderId="11" xfId="0" applyNumberFormat="1" applyFont="1" applyFill="1" applyBorder="1" applyAlignment="1" applyProtection="1">
      <alignment horizontal="center" vertical="center"/>
    </xf>
    <xf numFmtId="37" fontId="4" fillId="4" borderId="13" xfId="0" applyNumberFormat="1" applyFont="1" applyFill="1" applyBorder="1" applyAlignment="1" applyProtection="1">
      <alignment horizontal="center" vertical="center"/>
    </xf>
    <xf numFmtId="0" fontId="4" fillId="4" borderId="0" xfId="2" applyNumberFormat="1" applyFont="1" applyFill="1" applyBorder="1" applyAlignment="1" applyProtection="1">
      <alignment horizontal="right" vertical="center"/>
    </xf>
    <xf numFmtId="0" fontId="4" fillId="0" borderId="0" xfId="2" applyFont="1" applyAlignment="1" applyProtection="1">
      <alignment horizontal="right" vertical="center"/>
    </xf>
    <xf numFmtId="0" fontId="4" fillId="0" borderId="14" xfId="2" applyFont="1" applyBorder="1" applyAlignment="1" applyProtection="1">
      <alignment horizontal="right" vertical="center"/>
    </xf>
    <xf numFmtId="3" fontId="3" fillId="8" borderId="5" xfId="0" applyNumberFormat="1" applyFont="1" applyFill="1" applyBorder="1" applyAlignment="1" applyProtection="1">
      <alignment vertical="center"/>
    </xf>
    <xf numFmtId="3" fontId="3" fillId="8" borderId="6" xfId="0" applyNumberFormat="1" applyFont="1" applyFill="1" applyBorder="1" applyAlignment="1" applyProtection="1">
      <alignment vertical="center"/>
    </xf>
    <xf numFmtId="0" fontId="0" fillId="0" borderId="6" xfId="0" applyBorder="1" applyAlignment="1" applyProtection="1">
      <alignment vertical="center"/>
      <protection locked="0"/>
    </xf>
    <xf numFmtId="0" fontId="15" fillId="4" borderId="19" xfId="0" applyFont="1" applyFill="1" applyBorder="1" applyAlignment="1" applyProtection="1">
      <alignment vertical="center" wrapText="1"/>
    </xf>
    <xf numFmtId="0" fontId="0" fillId="0" borderId="0" xfId="0" applyAlignment="1">
      <alignment vertical="center" wrapText="1"/>
    </xf>
    <xf numFmtId="0" fontId="0" fillId="0" borderId="19" xfId="0" applyBorder="1" applyAlignment="1">
      <alignment vertical="center" wrapText="1"/>
    </xf>
    <xf numFmtId="3" fontId="15" fillId="11" borderId="5" xfId="0" applyNumberFormat="1" applyFont="1" applyFill="1" applyBorder="1" applyAlignment="1" applyProtection="1">
      <alignment horizontal="center" vertical="center"/>
    </xf>
    <xf numFmtId="0" fontId="21" fillId="11" borderId="6" xfId="0" applyFont="1" applyFill="1" applyBorder="1" applyAlignment="1" applyProtection="1">
      <alignment horizontal="center" vertical="center"/>
    </xf>
    <xf numFmtId="37" fontId="8" fillId="4" borderId="3" xfId="0" applyNumberFormat="1" applyFont="1" applyFill="1" applyBorder="1" applyAlignment="1" applyProtection="1">
      <alignment horizontal="center" vertical="center" wrapText="1"/>
    </xf>
    <xf numFmtId="0" fontId="9" fillId="0" borderId="4" xfId="0" applyFont="1" applyBorder="1" applyAlignment="1" applyProtection="1">
      <alignment horizontal="center" vertical="center" wrapText="1"/>
    </xf>
    <xf numFmtId="0" fontId="0" fillId="0" borderId="7" xfId="0" applyBorder="1" applyAlignment="1">
      <alignment vertical="center"/>
    </xf>
    <xf numFmtId="0" fontId="0" fillId="0" borderId="6" xfId="0" applyBorder="1" applyAlignment="1">
      <alignment vertical="center"/>
    </xf>
    <xf numFmtId="37" fontId="3" fillId="4" borderId="0" xfId="0" applyNumberFormat="1" applyFont="1" applyFill="1" applyBorder="1" applyAlignment="1" applyProtection="1">
      <alignment horizontal="center" vertical="center"/>
    </xf>
    <xf numFmtId="3" fontId="4" fillId="8" borderId="5" xfId="0" applyNumberFormat="1" applyFont="1" applyFill="1" applyBorder="1" applyAlignment="1" applyProtection="1">
      <alignment horizontal="right" vertical="center"/>
    </xf>
    <xf numFmtId="3" fontId="4" fillId="8" borderId="6" xfId="0" applyNumberFormat="1" applyFont="1" applyFill="1" applyBorder="1" applyAlignment="1" applyProtection="1">
      <alignment horizontal="right" vertical="center"/>
    </xf>
    <xf numFmtId="3" fontId="4" fillId="2" borderId="5" xfId="0" applyNumberFormat="1" applyFont="1" applyFill="1" applyBorder="1" applyAlignment="1" applyProtection="1">
      <alignment horizontal="right" vertical="center"/>
      <protection locked="0"/>
    </xf>
    <xf numFmtId="3" fontId="4" fillId="2" borderId="6" xfId="0" applyNumberFormat="1" applyFont="1" applyFill="1" applyBorder="1" applyAlignment="1" applyProtection="1">
      <alignment horizontal="right" vertical="center"/>
      <protection locked="0"/>
    </xf>
    <xf numFmtId="3" fontId="3" fillId="8" borderId="5" xfId="0" applyNumberFormat="1" applyFont="1" applyFill="1" applyBorder="1" applyAlignment="1" applyProtection="1">
      <alignment horizontal="right" vertical="center"/>
    </xf>
    <xf numFmtId="3" fontId="3" fillId="8" borderId="6" xfId="0" applyNumberFormat="1" applyFont="1" applyFill="1" applyBorder="1" applyAlignment="1" applyProtection="1">
      <alignment horizontal="right" vertical="center"/>
    </xf>
    <xf numFmtId="0" fontId="0" fillId="0" borderId="6" xfId="0" applyBorder="1" applyAlignment="1">
      <alignment horizontal="right" vertical="center"/>
    </xf>
    <xf numFmtId="3" fontId="4" fillId="4" borderId="5" xfId="0" applyNumberFormat="1" applyFont="1" applyFill="1" applyBorder="1" applyAlignment="1" applyProtection="1">
      <alignment horizontal="right" vertical="center"/>
    </xf>
    <xf numFmtId="3" fontId="4" fillId="4" borderId="6" xfId="0" applyNumberFormat="1" applyFont="1" applyFill="1" applyBorder="1" applyAlignment="1" applyProtection="1">
      <alignment horizontal="right" vertical="center"/>
    </xf>
    <xf numFmtId="3" fontId="4" fillId="4" borderId="5" xfId="1" applyNumberFormat="1" applyFont="1" applyFill="1" applyBorder="1" applyAlignment="1" applyProtection="1">
      <alignment horizontal="right" vertical="center"/>
    </xf>
    <xf numFmtId="3" fontId="4" fillId="4" borderId="6" xfId="1" applyNumberFormat="1" applyFont="1" applyFill="1" applyBorder="1" applyAlignment="1" applyProtection="1">
      <alignment horizontal="right" vertical="center"/>
    </xf>
    <xf numFmtId="37" fontId="4" fillId="4" borderId="5" xfId="0" applyNumberFormat="1" applyFont="1" applyFill="1" applyBorder="1" applyAlignment="1">
      <alignment vertical="center"/>
    </xf>
    <xf numFmtId="0" fontId="4" fillId="4" borderId="6" xfId="0" applyFont="1" applyFill="1" applyBorder="1" applyAlignment="1">
      <alignment vertical="center"/>
    </xf>
    <xf numFmtId="0" fontId="4" fillId="4" borderId="5" xfId="0" applyFont="1" applyFill="1" applyBorder="1" applyAlignment="1">
      <alignment vertical="center"/>
    </xf>
    <xf numFmtId="0" fontId="4" fillId="4" borderId="0" xfId="0" applyFont="1" applyFill="1" applyAlignment="1">
      <alignment horizontal="right"/>
    </xf>
    <xf numFmtId="0" fontId="0" fillId="0" borderId="0" xfId="0" applyAlignment="1">
      <alignment horizontal="right"/>
    </xf>
    <xf numFmtId="0" fontId="3" fillId="4" borderId="0" xfId="0" applyFont="1" applyFill="1" applyAlignment="1" applyProtection="1">
      <alignment horizontal="center"/>
    </xf>
    <xf numFmtId="0" fontId="0" fillId="0" borderId="0" xfId="0" applyAlignment="1" applyProtection="1"/>
    <xf numFmtId="0" fontId="4" fillId="4" borderId="0" xfId="0" applyFont="1" applyFill="1" applyAlignment="1" applyProtection="1">
      <alignment horizontal="right"/>
    </xf>
    <xf numFmtId="0" fontId="0" fillId="0" borderId="0" xfId="0" applyAlignment="1"/>
    <xf numFmtId="0" fontId="12" fillId="0" borderId="0" xfId="0" applyFont="1" applyAlignment="1">
      <alignment horizontal="center"/>
    </xf>
    <xf numFmtId="0" fontId="13" fillId="0" borderId="0" xfId="0" applyFont="1" applyAlignment="1">
      <alignment horizontal="center"/>
    </xf>
    <xf numFmtId="0" fontId="12" fillId="0" borderId="0" xfId="0" applyFont="1" applyAlignment="1">
      <alignment horizontal="left" wrapText="1"/>
    </xf>
    <xf numFmtId="0" fontId="0" fillId="0" borderId="0" xfId="0" applyAlignment="1">
      <alignment wrapText="1"/>
    </xf>
    <xf numFmtId="0" fontId="13" fillId="0" borderId="0" xfId="0" applyFont="1" applyAlignment="1">
      <alignment wrapText="1"/>
    </xf>
    <xf numFmtId="0" fontId="7" fillId="0" borderId="0" xfId="0" applyFont="1" applyAlignment="1">
      <alignment horizontal="left" wrapText="1"/>
    </xf>
    <xf numFmtId="0" fontId="7" fillId="0" borderId="0" xfId="0" applyFont="1" applyAlignment="1">
      <alignment horizontal="center"/>
    </xf>
    <xf numFmtId="0" fontId="7" fillId="0" borderId="0" xfId="0" applyFont="1" applyAlignment="1">
      <alignment wrapText="1"/>
    </xf>
    <xf numFmtId="0" fontId="7" fillId="0" borderId="0" xfId="0" applyFont="1" applyAlignment="1">
      <alignment horizontal="left"/>
    </xf>
  </cellXfs>
  <cellStyles count="26">
    <cellStyle name="Comma" xfId="1" builtinId="3"/>
    <cellStyle name="Hyperlink" xfId="2" builtinId="8"/>
    <cellStyle name="Normal" xfId="0" builtinId="0"/>
    <cellStyle name="Normal 16" xfId="3"/>
    <cellStyle name="Normal 16 2" xfId="4"/>
    <cellStyle name="Normal 17 2" xfId="5"/>
    <cellStyle name="Normal 18" xfId="6"/>
    <cellStyle name="Normal 2" xfId="7"/>
    <cellStyle name="Normal 2 10" xfId="8"/>
    <cellStyle name="Normal 2 2" xfId="9"/>
    <cellStyle name="Normal 2 2 10" xfId="10"/>
    <cellStyle name="Normal 2 3" xfId="11"/>
    <cellStyle name="Normal 2 4" xfId="12"/>
    <cellStyle name="Normal 2 5" xfId="13"/>
    <cellStyle name="Normal 2 6" xfId="14"/>
    <cellStyle name="Normal 2 7" xfId="15"/>
    <cellStyle name="Normal 2 8" xfId="16"/>
    <cellStyle name="Normal 2 9" xfId="17"/>
    <cellStyle name="Normal 3" xfId="18"/>
    <cellStyle name="Normal 3 2" xfId="19"/>
    <cellStyle name="Normal 4" xfId="20"/>
    <cellStyle name="Normal 6" xfId="21"/>
    <cellStyle name="Normal 7 2" xfId="22"/>
    <cellStyle name="Normal 8" xfId="23"/>
    <cellStyle name="Normal_debt" xfId="24"/>
    <cellStyle name="Normal_lpform" xfId="25"/>
  </cellStyles>
  <dxfs count="166">
    <dxf>
      <fill>
        <patternFill>
          <bgColor rgb="FFFF0000"/>
        </patternFill>
      </fill>
    </dxf>
    <dxf>
      <font>
        <b/>
        <i val="0"/>
        <condense val="0"/>
        <extend val="0"/>
      </font>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condense val="0"/>
        <extend val="0"/>
        <color indexed="43"/>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A94"/>
  <sheetViews>
    <sheetView zoomScaleNormal="100" workbookViewId="0">
      <selection activeCell="A61" sqref="A61"/>
    </sheetView>
  </sheetViews>
  <sheetFormatPr defaultRowHeight="15.75"/>
  <cols>
    <col min="1" max="1" width="81.59765625" style="1" customWidth="1"/>
    <col min="2" max="16384" width="8.796875" style="1"/>
  </cols>
  <sheetData>
    <row r="1" spans="1:1">
      <c r="A1" s="3" t="s">
        <v>5</v>
      </c>
    </row>
    <row r="3" spans="1:1" ht="34.5" customHeight="1">
      <c r="A3" s="6" t="s">
        <v>526</v>
      </c>
    </row>
    <row r="4" spans="1:1">
      <c r="A4" s="2"/>
    </row>
    <row r="5" spans="1:1" ht="52.5" customHeight="1">
      <c r="A5" s="4" t="s">
        <v>6</v>
      </c>
    </row>
    <row r="6" spans="1:1">
      <c r="A6" s="4"/>
    </row>
    <row r="7" spans="1:1" ht="34.5" customHeight="1">
      <c r="A7" s="4" t="s">
        <v>25</v>
      </c>
    </row>
    <row r="8" spans="1:1">
      <c r="A8" s="4"/>
    </row>
    <row r="9" spans="1:1">
      <c r="A9" s="4" t="s">
        <v>527</v>
      </c>
    </row>
    <row r="12" spans="1:1">
      <c r="A12" s="3" t="s">
        <v>584</v>
      </c>
    </row>
    <row r="13" spans="1:1">
      <c r="A13" s="3"/>
    </row>
    <row r="14" spans="1:1" ht="18.75" customHeight="1">
      <c r="A14" s="2" t="s">
        <v>586</v>
      </c>
    </row>
    <row r="16" spans="1:1" ht="39" customHeight="1">
      <c r="A16" s="7" t="s">
        <v>665</v>
      </c>
    </row>
    <row r="17" spans="1:1" ht="9.75" customHeight="1">
      <c r="A17" s="7"/>
    </row>
    <row r="20" spans="1:1">
      <c r="A20" s="3" t="s">
        <v>528</v>
      </c>
    </row>
    <row r="22" spans="1:1" ht="34.5" customHeight="1">
      <c r="A22" s="4" t="s">
        <v>587</v>
      </c>
    </row>
    <row r="23" spans="1:1" ht="9.75" customHeight="1">
      <c r="A23" s="4"/>
    </row>
    <row r="24" spans="1:1">
      <c r="A24" s="118" t="s">
        <v>529</v>
      </c>
    </row>
    <row r="25" spans="1:1">
      <c r="A25" s="4"/>
    </row>
    <row r="26" spans="1:1" ht="17.25" customHeight="1">
      <c r="A26" s="92" t="s">
        <v>530</v>
      </c>
    </row>
    <row r="27" spans="1:1" ht="17.25" customHeight="1">
      <c r="A27" s="93"/>
    </row>
    <row r="28" spans="1:1" ht="87.75" customHeight="1">
      <c r="A28" s="94" t="s">
        <v>552</v>
      </c>
    </row>
    <row r="30" spans="1:1">
      <c r="A30" s="95" t="s">
        <v>531</v>
      </c>
    </row>
    <row r="32" spans="1:1">
      <c r="A32" s="119" t="s">
        <v>585</v>
      </c>
    </row>
    <row r="34" spans="1:1">
      <c r="A34" s="4" t="s">
        <v>532</v>
      </c>
    </row>
    <row r="37" spans="1:1">
      <c r="A37" s="3" t="s">
        <v>533</v>
      </c>
    </row>
    <row r="39" spans="1:1" ht="78" customHeight="1">
      <c r="A39" s="4" t="s">
        <v>534</v>
      </c>
    </row>
    <row r="40" spans="1:1" ht="57.75" customHeight="1">
      <c r="A40" s="96" t="s">
        <v>535</v>
      </c>
    </row>
    <row r="41" spans="1:1" ht="10.5" customHeight="1">
      <c r="A41" s="4"/>
    </row>
    <row r="42" spans="1:1" ht="74.25" customHeight="1">
      <c r="A42" s="4" t="s">
        <v>567</v>
      </c>
    </row>
    <row r="43" spans="1:1" ht="59.25" customHeight="1">
      <c r="A43" s="4" t="s">
        <v>536</v>
      </c>
    </row>
    <row r="44" spans="1:1" ht="84.75" customHeight="1">
      <c r="A44" s="4" t="s">
        <v>629</v>
      </c>
    </row>
    <row r="45" spans="1:1" ht="12" customHeight="1">
      <c r="A45" s="4"/>
    </row>
    <row r="46" spans="1:1" ht="74.099999999999994" customHeight="1">
      <c r="A46" s="478" t="s">
        <v>276</v>
      </c>
    </row>
    <row r="47" spans="1:1" ht="69.95" customHeight="1">
      <c r="A47" s="479" t="s">
        <v>277</v>
      </c>
    </row>
    <row r="48" spans="1:1" ht="12" customHeight="1">
      <c r="A48" s="4"/>
    </row>
    <row r="49" spans="1:1" ht="68.25" customHeight="1">
      <c r="A49" s="4" t="s">
        <v>278</v>
      </c>
    </row>
    <row r="50" spans="1:1" ht="74.25" customHeight="1">
      <c r="A50" s="4" t="s">
        <v>279</v>
      </c>
    </row>
    <row r="51" spans="1:1" ht="50.25" customHeight="1">
      <c r="A51" s="4" t="s">
        <v>280</v>
      </c>
    </row>
    <row r="52" spans="1:1" ht="15.75" customHeight="1"/>
    <row r="53" spans="1:1" ht="80.25" customHeight="1">
      <c r="A53" s="4" t="s">
        <v>281</v>
      </c>
    </row>
    <row r="54" spans="1:1" ht="40.5" customHeight="1">
      <c r="A54" s="4" t="s">
        <v>282</v>
      </c>
    </row>
    <row r="55" spans="1:1" ht="45" customHeight="1">
      <c r="A55" s="4" t="s">
        <v>283</v>
      </c>
    </row>
    <row r="56" spans="1:1">
      <c r="A56" s="4"/>
    </row>
    <row r="57" spans="1:1" ht="68.25" customHeight="1">
      <c r="A57" s="4" t="s">
        <v>284</v>
      </c>
    </row>
    <row r="58" spans="1:1">
      <c r="A58" s="4"/>
    </row>
    <row r="59" spans="1:1" ht="40.5" customHeight="1">
      <c r="A59" s="4" t="s">
        <v>285</v>
      </c>
    </row>
    <row r="60" spans="1:1" ht="30" customHeight="1">
      <c r="A60" s="4" t="s">
        <v>315</v>
      </c>
    </row>
    <row r="61" spans="1:1" ht="75" customHeight="1">
      <c r="A61" s="443" t="s">
        <v>316</v>
      </c>
    </row>
    <row r="62" spans="1:1" ht="41.25" customHeight="1">
      <c r="A62" s="4" t="s">
        <v>313</v>
      </c>
    </row>
    <row r="63" spans="1:1" ht="41.25" customHeight="1">
      <c r="A63" s="4" t="s">
        <v>314</v>
      </c>
    </row>
    <row r="64" spans="1:1" ht="9" customHeight="1">
      <c r="A64" s="4"/>
    </row>
    <row r="65" spans="1:1" ht="58.5" customHeight="1">
      <c r="A65" s="4" t="s">
        <v>286</v>
      </c>
    </row>
    <row r="66" spans="1:1" ht="9.75" customHeight="1"/>
    <row r="67" spans="1:1" s="4" customFormat="1" ht="69" customHeight="1">
      <c r="A67" s="4" t="s">
        <v>287</v>
      </c>
    </row>
    <row r="68" spans="1:1" ht="9" customHeight="1"/>
    <row r="69" spans="1:1" ht="76.5" customHeight="1">
      <c r="A69" s="4" t="s">
        <v>288</v>
      </c>
    </row>
    <row r="70" spans="1:1" ht="60" customHeight="1">
      <c r="A70" s="4" t="s">
        <v>289</v>
      </c>
    </row>
    <row r="71" spans="1:1" ht="124.5" customHeight="1">
      <c r="A71" s="4" t="s">
        <v>290</v>
      </c>
    </row>
    <row r="72" spans="1:1" ht="64.5" customHeight="1">
      <c r="A72" s="4" t="s">
        <v>291</v>
      </c>
    </row>
    <row r="73" spans="1:1" ht="80.25" customHeight="1">
      <c r="A73" s="4" t="s">
        <v>292</v>
      </c>
    </row>
    <row r="74" spans="1:1" ht="138.75" customHeight="1">
      <c r="A74" s="443" t="s">
        <v>293</v>
      </c>
    </row>
    <row r="75" spans="1:1" ht="102.75" customHeight="1">
      <c r="A75" s="444" t="s">
        <v>294</v>
      </c>
    </row>
    <row r="76" spans="1:1" ht="81" customHeight="1">
      <c r="A76" s="445" t="s">
        <v>295</v>
      </c>
    </row>
    <row r="77" spans="1:1" ht="126.75" customHeight="1">
      <c r="A77" s="4" t="s">
        <v>296</v>
      </c>
    </row>
    <row r="78" spans="1:1" ht="78" customHeight="1">
      <c r="A78" s="130" t="s">
        <v>297</v>
      </c>
    </row>
    <row r="79" spans="1:1" ht="124.5" customHeight="1">
      <c r="A79" s="130" t="s">
        <v>298</v>
      </c>
    </row>
    <row r="80" spans="1:1" ht="138" customHeight="1">
      <c r="A80" s="4" t="s">
        <v>299</v>
      </c>
    </row>
    <row r="81" spans="1:1" ht="147" customHeight="1">
      <c r="A81" s="4" t="s">
        <v>300</v>
      </c>
    </row>
    <row r="82" spans="1:1" ht="101.25" customHeight="1">
      <c r="A82" s="443" t="s">
        <v>301</v>
      </c>
    </row>
    <row r="84" spans="1:1" ht="108.75" customHeight="1">
      <c r="A84" s="4" t="s">
        <v>302</v>
      </c>
    </row>
    <row r="85" spans="1:1" ht="89.25" customHeight="1">
      <c r="A85" s="130" t="s">
        <v>303</v>
      </c>
    </row>
    <row r="86" spans="1:1" ht="57" customHeight="1">
      <c r="A86" s="130" t="s">
        <v>304</v>
      </c>
    </row>
    <row r="87" spans="1:1" ht="20.25" customHeight="1">
      <c r="A87" s="4" t="s">
        <v>305</v>
      </c>
    </row>
    <row r="89" spans="1:1" ht="53.25" customHeight="1">
      <c r="A89" s="4" t="s">
        <v>306</v>
      </c>
    </row>
    <row r="90" spans="1:1" ht="21" customHeight="1">
      <c r="A90" s="4" t="s">
        <v>307</v>
      </c>
    </row>
    <row r="91" spans="1:1" ht="33.75" customHeight="1">
      <c r="A91" s="4" t="s">
        <v>308</v>
      </c>
    </row>
    <row r="92" spans="1:1" ht="51.75" customHeight="1">
      <c r="A92" s="4" t="s">
        <v>309</v>
      </c>
    </row>
    <row r="93" spans="1:1" ht="14.25" customHeight="1"/>
    <row r="94" spans="1:1" ht="69.75" customHeight="1">
      <c r="A94" s="4" t="s">
        <v>310</v>
      </c>
    </row>
  </sheetData>
  <sheetProtection sheet="1"/>
  <phoneticPr fontId="0" type="noConversion"/>
  <pageMargins left="0.5" right="0.5" top="0.5" bottom="0.5" header="0.5" footer="0"/>
  <pageSetup fitToHeight="2" orientation="portrait" blackAndWhite="1" horizontalDpi="300" verticalDpi="300" r:id="rId1"/>
  <headerFooter alignWithMargins="0">
    <oddFooter>&amp;Lrevised 1/05/10</oddFooter>
  </headerFooter>
</worksheet>
</file>

<file path=xl/worksheets/sheet10.xml><?xml version="1.0" encoding="utf-8"?>
<worksheet xmlns="http://schemas.openxmlformats.org/spreadsheetml/2006/main" xmlns:r="http://schemas.openxmlformats.org/officeDocument/2006/relationships">
  <sheetPr>
    <pageSetUpPr fitToPage="1"/>
  </sheetPr>
  <dimension ref="A1:H74"/>
  <sheetViews>
    <sheetView workbookViewId="0">
      <selection activeCell="B69" sqref="B69:C70"/>
    </sheetView>
  </sheetViews>
  <sheetFormatPr defaultRowHeight="15.75"/>
  <cols>
    <col min="1" max="1" width="27.5" style="239" customWidth="1"/>
    <col min="2" max="2" width="9.5" style="239" customWidth="1"/>
    <col min="3" max="3" width="10.3984375" style="239" customWidth="1"/>
    <col min="4" max="4" width="5.69921875" style="239" customWidth="1"/>
    <col min="5" max="5" width="9.59765625" style="239" customWidth="1"/>
    <col min="6" max="6" width="6.59765625" style="239" customWidth="1"/>
    <col min="7" max="7" width="13.69921875" style="239" customWidth="1"/>
    <col min="8" max="16384" width="8.796875" style="239"/>
  </cols>
  <sheetData>
    <row r="1" spans="1:7">
      <c r="A1" s="193" t="str">
        <f ca="1">inputPrYr!D2</f>
        <v>Winterset Township</v>
      </c>
      <c r="B1" s="133"/>
      <c r="C1" s="141" t="s">
        <v>370</v>
      </c>
      <c r="D1" s="141"/>
      <c r="E1" s="133"/>
      <c r="F1" s="133"/>
      <c r="G1" s="208">
        <f ca="1">inputPrYr!D5</f>
        <v>2013</v>
      </c>
    </row>
    <row r="2" spans="1:7">
      <c r="A2" s="200" t="s">
        <v>413</v>
      </c>
      <c r="B2" s="133"/>
      <c r="C2" s="133"/>
      <c r="D2" s="133"/>
      <c r="E2" s="133"/>
      <c r="F2" s="133"/>
      <c r="G2" s="365"/>
    </row>
    <row r="3" spans="1:7">
      <c r="A3" s="133"/>
      <c r="B3" s="342"/>
      <c r="C3" s="139"/>
      <c r="D3" s="139"/>
      <c r="E3" s="139"/>
      <c r="F3" s="139"/>
      <c r="G3" s="133"/>
    </row>
    <row r="4" spans="1:7">
      <c r="A4" s="141" t="s">
        <v>345</v>
      </c>
      <c r="B4" s="140"/>
      <c r="C4" s="550" t="s">
        <v>346</v>
      </c>
      <c r="D4" s="551"/>
      <c r="E4" s="556" t="s">
        <v>347</v>
      </c>
      <c r="F4" s="557"/>
      <c r="G4" s="143" t="s">
        <v>348</v>
      </c>
    </row>
    <row r="5" spans="1:7">
      <c r="A5" s="232">
        <f ca="1">inputPrYr!B19</f>
        <v>0</v>
      </c>
      <c r="B5" s="309"/>
      <c r="C5" s="552" t="str">
        <f ca="1">gen!C5</f>
        <v>Actual 2011</v>
      </c>
      <c r="D5" s="553"/>
      <c r="E5" s="552" t="str">
        <f ca="1">gen!E5</f>
        <v>Estimate 2012</v>
      </c>
      <c r="F5" s="553"/>
      <c r="G5" s="148" t="str">
        <f ca="1">gen!G5</f>
        <v>Year 2013</v>
      </c>
    </row>
    <row r="6" spans="1:7">
      <c r="A6" s="149" t="s">
        <v>462</v>
      </c>
      <c r="B6" s="150"/>
      <c r="C6" s="530"/>
      <c r="D6" s="531"/>
      <c r="E6" s="554">
        <f>C32</f>
        <v>0</v>
      </c>
      <c r="F6" s="555"/>
      <c r="G6" s="284">
        <f>E32</f>
        <v>0</v>
      </c>
    </row>
    <row r="7" spans="1:7">
      <c r="A7" s="149" t="s">
        <v>464</v>
      </c>
      <c r="B7" s="150"/>
      <c r="C7" s="554"/>
      <c r="D7" s="555"/>
      <c r="E7" s="554"/>
      <c r="F7" s="555"/>
      <c r="G7" s="313"/>
    </row>
    <row r="8" spans="1:7">
      <c r="A8" s="149" t="s">
        <v>351</v>
      </c>
      <c r="B8" s="150"/>
      <c r="C8" s="530"/>
      <c r="D8" s="531"/>
      <c r="E8" s="554">
        <f ca="1">inputPrYr!E19</f>
        <v>0</v>
      </c>
      <c r="F8" s="555"/>
      <c r="G8" s="313" t="s">
        <v>658</v>
      </c>
    </row>
    <row r="9" spans="1:7">
      <c r="A9" s="149" t="s">
        <v>352</v>
      </c>
      <c r="B9" s="150"/>
      <c r="C9" s="530"/>
      <c r="D9" s="531"/>
      <c r="E9" s="530"/>
      <c r="F9" s="531"/>
      <c r="G9" s="279"/>
    </row>
    <row r="10" spans="1:7">
      <c r="A10" s="149" t="s">
        <v>353</v>
      </c>
      <c r="B10" s="150"/>
      <c r="C10" s="530"/>
      <c r="D10" s="531"/>
      <c r="E10" s="530"/>
      <c r="F10" s="531"/>
      <c r="G10" s="284">
        <f ca="1">mvalloc!G14</f>
        <v>0</v>
      </c>
    </row>
    <row r="11" spans="1:7">
      <c r="A11" s="149" t="s">
        <v>354</v>
      </c>
      <c r="B11" s="150"/>
      <c r="C11" s="530"/>
      <c r="D11" s="531"/>
      <c r="E11" s="530"/>
      <c r="F11" s="531"/>
      <c r="G11" s="284">
        <f ca="1">mvalloc!I14</f>
        <v>0</v>
      </c>
    </row>
    <row r="12" spans="1:7">
      <c r="A12" s="314" t="s">
        <v>409</v>
      </c>
      <c r="B12" s="150"/>
      <c r="C12" s="530"/>
      <c r="D12" s="531"/>
      <c r="E12" s="530"/>
      <c r="F12" s="531"/>
      <c r="G12" s="284">
        <f ca="1">mvalloc!J14</f>
        <v>0</v>
      </c>
    </row>
    <row r="13" spans="1:7">
      <c r="A13" s="314" t="s">
        <v>508</v>
      </c>
      <c r="B13" s="150"/>
      <c r="C13" s="530"/>
      <c r="D13" s="531"/>
      <c r="E13" s="530"/>
      <c r="F13" s="531"/>
      <c r="G13" s="284">
        <f ca="1">mvalloc!K14</f>
        <v>0</v>
      </c>
    </row>
    <row r="14" spans="1:7">
      <c r="A14" s="318"/>
      <c r="B14" s="317"/>
      <c r="C14" s="530"/>
      <c r="D14" s="531"/>
      <c r="E14" s="530"/>
      <c r="F14" s="531"/>
      <c r="G14" s="279"/>
    </row>
    <row r="15" spans="1:7">
      <c r="A15" s="318"/>
      <c r="B15" s="317"/>
      <c r="C15" s="530"/>
      <c r="D15" s="531"/>
      <c r="E15" s="530"/>
      <c r="F15" s="531"/>
      <c r="G15" s="279"/>
    </row>
    <row r="16" spans="1:7">
      <c r="A16" s="318"/>
      <c r="B16" s="317"/>
      <c r="C16" s="530"/>
      <c r="D16" s="531"/>
      <c r="E16" s="530"/>
      <c r="F16" s="531"/>
      <c r="G16" s="279"/>
    </row>
    <row r="17" spans="1:7">
      <c r="A17" s="318" t="s">
        <v>357</v>
      </c>
      <c r="B17" s="317"/>
      <c r="C17" s="530"/>
      <c r="D17" s="531"/>
      <c r="E17" s="530"/>
      <c r="F17" s="531"/>
      <c r="G17" s="279"/>
    </row>
    <row r="18" spans="1:7">
      <c r="A18" s="319" t="s">
        <v>574</v>
      </c>
      <c r="B18" s="320"/>
      <c r="C18" s="530"/>
      <c r="D18" s="531"/>
      <c r="E18" s="530"/>
      <c r="F18" s="531"/>
      <c r="G18" s="311"/>
    </row>
    <row r="19" spans="1:7">
      <c r="A19" s="319" t="s">
        <v>575</v>
      </c>
      <c r="B19" s="320"/>
      <c r="C19" s="536" t="str">
        <f>IF(C20*0.1&lt;C18,"Exceed 10% Rule","")</f>
        <v/>
      </c>
      <c r="D19" s="537"/>
      <c r="E19" s="536" t="str">
        <f>IF(E20*0.1&lt;E18,"Exceed 10% Rule","")</f>
        <v/>
      </c>
      <c r="F19" s="537"/>
      <c r="G19" s="321" t="str">
        <f>IF(G20*0.1+G37&lt;G18,"Exceed 10% Rule","")</f>
        <v/>
      </c>
    </row>
    <row r="20" spans="1:7">
      <c r="A20" s="322" t="s">
        <v>358</v>
      </c>
      <c r="B20" s="150"/>
      <c r="C20" s="561">
        <f>SUM(C8:C18)</f>
        <v>0</v>
      </c>
      <c r="D20" s="562"/>
      <c r="E20" s="561">
        <f>SUM(E8:E18)</f>
        <v>0</v>
      </c>
      <c r="F20" s="562"/>
      <c r="G20" s="324">
        <f>SUM(G8:G18)</f>
        <v>0</v>
      </c>
    </row>
    <row r="21" spans="1:7">
      <c r="A21" s="325" t="s">
        <v>359</v>
      </c>
      <c r="B21" s="150"/>
      <c r="C21" s="561">
        <f>C20+C6</f>
        <v>0</v>
      </c>
      <c r="D21" s="562"/>
      <c r="E21" s="561">
        <f>E20+E6</f>
        <v>0</v>
      </c>
      <c r="F21" s="562"/>
      <c r="G21" s="324">
        <f>G20+G6</f>
        <v>0</v>
      </c>
    </row>
    <row r="22" spans="1:7">
      <c r="A22" s="149" t="s">
        <v>360</v>
      </c>
      <c r="B22" s="150"/>
      <c r="C22" s="554"/>
      <c r="D22" s="555"/>
      <c r="E22" s="554"/>
      <c r="F22" s="555"/>
      <c r="G22" s="284"/>
    </row>
    <row r="23" spans="1:7">
      <c r="A23" s="318" t="s">
        <v>470</v>
      </c>
      <c r="B23" s="317"/>
      <c r="C23" s="530"/>
      <c r="D23" s="531"/>
      <c r="E23" s="530"/>
      <c r="F23" s="531"/>
      <c r="G23" s="279"/>
    </row>
    <row r="24" spans="1:7">
      <c r="A24" s="318" t="s">
        <v>446</v>
      </c>
      <c r="B24" s="317"/>
      <c r="C24" s="530"/>
      <c r="D24" s="531"/>
      <c r="E24" s="530"/>
      <c r="F24" s="531"/>
      <c r="G24" s="279"/>
    </row>
    <row r="25" spans="1:7">
      <c r="A25" s="318"/>
      <c r="B25" s="317"/>
      <c r="C25" s="530"/>
      <c r="D25" s="531"/>
      <c r="E25" s="530"/>
      <c r="F25" s="531"/>
      <c r="G25" s="279"/>
    </row>
    <row r="26" spans="1:7">
      <c r="A26" s="318"/>
      <c r="B26" s="317"/>
      <c r="C26" s="530"/>
      <c r="D26" s="531"/>
      <c r="E26" s="530"/>
      <c r="F26" s="531"/>
      <c r="G26" s="279"/>
    </row>
    <row r="27" spans="1:7">
      <c r="A27" s="318"/>
      <c r="B27" s="317"/>
      <c r="C27" s="530"/>
      <c r="D27" s="531"/>
      <c r="E27" s="530"/>
      <c r="F27" s="531"/>
      <c r="G27" s="279"/>
    </row>
    <row r="28" spans="1:7">
      <c r="A28" s="314" t="s">
        <v>577</v>
      </c>
      <c r="B28" s="320"/>
      <c r="C28" s="530"/>
      <c r="D28" s="531"/>
      <c r="E28" s="530"/>
      <c r="F28" s="531"/>
      <c r="G28" s="329" t="str">
        <f ca="1">nhood!E9</f>
        <v/>
      </c>
    </row>
    <row r="29" spans="1:7">
      <c r="A29" s="314" t="s">
        <v>574</v>
      </c>
      <c r="B29" s="320"/>
      <c r="C29" s="530"/>
      <c r="D29" s="531"/>
      <c r="E29" s="530"/>
      <c r="F29" s="531"/>
      <c r="G29" s="311"/>
    </row>
    <row r="30" spans="1:7">
      <c r="A30" s="314" t="s">
        <v>576</v>
      </c>
      <c r="B30" s="320"/>
      <c r="C30" s="536" t="str">
        <f>IF(C31*0.1&lt;C29,"Exceed 10% Rule","")</f>
        <v/>
      </c>
      <c r="D30" s="537"/>
      <c r="E30" s="536" t="str">
        <f>IF(E31*0.1&lt;E29,"Exceed 10% Rule","")</f>
        <v/>
      </c>
      <c r="F30" s="537"/>
      <c r="G30" s="321" t="str">
        <f>IF(G31*0.1&lt;G29,"Exceed 10% Rule","")</f>
        <v/>
      </c>
    </row>
    <row r="31" spans="1:7">
      <c r="A31" s="325" t="s">
        <v>361</v>
      </c>
      <c r="B31" s="150"/>
      <c r="C31" s="561">
        <f>SUM(C23:C29)</f>
        <v>0</v>
      </c>
      <c r="D31" s="562"/>
      <c r="E31" s="561">
        <f>SUM(E23:E29)</f>
        <v>0</v>
      </c>
      <c r="F31" s="562"/>
      <c r="G31" s="324">
        <f>SUM(G23:G29)</f>
        <v>0</v>
      </c>
    </row>
    <row r="32" spans="1:7">
      <c r="A32" s="149" t="s">
        <v>463</v>
      </c>
      <c r="B32" s="150"/>
      <c r="C32" s="545">
        <f>C21-C31</f>
        <v>0</v>
      </c>
      <c r="D32" s="546"/>
      <c r="E32" s="545">
        <f>E21-E31</f>
        <v>0</v>
      </c>
      <c r="F32" s="546"/>
      <c r="G32" s="313" t="s">
        <v>658</v>
      </c>
    </row>
    <row r="33" spans="1:8">
      <c r="A33" s="191" t="str">
        <f>CONCATENATE("",G1-2,"/",G1-1," Budget Authority Amount:")</f>
        <v>2011/2012 Budget Authority Amount:</v>
      </c>
      <c r="B33" s="332">
        <f ca="1">inputOth!B51</f>
        <v>0</v>
      </c>
      <c r="C33" s="136">
        <f ca="1">inputPrYr!D19</f>
        <v>0</v>
      </c>
      <c r="D33" s="538" t="s">
        <v>610</v>
      </c>
      <c r="E33" s="539"/>
      <c r="F33" s="540"/>
      <c r="G33" s="279"/>
      <c r="H33" s="333" t="str">
        <f>IF(G31/0.95-G31&lt;G33,"Exceeds 5%","")</f>
        <v/>
      </c>
    </row>
    <row r="34" spans="1:8">
      <c r="A34" s="191"/>
      <c r="B34" s="334" t="str">
        <f>IF(C31&gt;B33,"See Tab A","")</f>
        <v/>
      </c>
      <c r="C34" s="334" t="str">
        <f>IF(E31&gt;C33,"See Tab C","")</f>
        <v/>
      </c>
      <c r="D34" s="133"/>
      <c r="E34" s="541" t="s">
        <v>611</v>
      </c>
      <c r="F34" s="542"/>
      <c r="G34" s="284">
        <f>G31+G33</f>
        <v>0</v>
      </c>
    </row>
    <row r="35" spans="1:8">
      <c r="A35" s="191"/>
      <c r="B35" s="334" t="str">
        <f>IF(C32&lt;0,"See Tab B","")</f>
        <v/>
      </c>
      <c r="C35" s="442" t="str">
        <f>IF(E32&lt;0,"See Tab D","")</f>
        <v/>
      </c>
      <c r="D35" s="133"/>
      <c r="E35" s="541" t="s">
        <v>363</v>
      </c>
      <c r="F35" s="542"/>
      <c r="G35" s="329">
        <f>IF(G34-G21&gt;0,G34-G21,0)</f>
        <v>0</v>
      </c>
    </row>
    <row r="36" spans="1:8">
      <c r="A36" s="209"/>
      <c r="B36" s="133"/>
      <c r="C36" s="133"/>
      <c r="D36" s="534" t="s">
        <v>612</v>
      </c>
      <c r="E36" s="535"/>
      <c r="F36" s="335">
        <f ca="1">inputOth!$E$42</f>
        <v>0</v>
      </c>
      <c r="G36" s="284">
        <f>ROUND(IF(F36&gt;0,(G35*F36),0),0)</f>
        <v>0</v>
      </c>
    </row>
    <row r="37" spans="1:8">
      <c r="A37" s="133"/>
      <c r="B37" s="133"/>
      <c r="C37" s="558" t="str">
        <f>CONCATENATE("Amount of  ",$G$1-1," Ad Valorem Tax")</f>
        <v>Amount of  2012 Ad Valorem Tax</v>
      </c>
      <c r="D37" s="559"/>
      <c r="E37" s="559"/>
      <c r="F37" s="560"/>
      <c r="G37" s="329">
        <f>G35+G36</f>
        <v>0</v>
      </c>
    </row>
    <row r="38" spans="1:8">
      <c r="A38" s="141" t="s">
        <v>345</v>
      </c>
      <c r="B38" s="342"/>
      <c r="C38" s="139"/>
      <c r="D38" s="139"/>
      <c r="E38" s="139"/>
      <c r="F38" s="139"/>
      <c r="G38" s="139"/>
    </row>
    <row r="39" spans="1:8">
      <c r="A39" s="133"/>
      <c r="B39" s="140"/>
      <c r="C39" s="550" t="s">
        <v>346</v>
      </c>
      <c r="D39" s="551"/>
      <c r="E39" s="556" t="s">
        <v>347</v>
      </c>
      <c r="F39" s="557"/>
      <c r="G39" s="143" t="s">
        <v>348</v>
      </c>
    </row>
    <row r="40" spans="1:8">
      <c r="A40" s="231">
        <f ca="1">inputPrYr!B20</f>
        <v>0</v>
      </c>
      <c r="B40" s="309"/>
      <c r="C40" s="552" t="str">
        <f>C5</f>
        <v>Actual 2011</v>
      </c>
      <c r="D40" s="553"/>
      <c r="E40" s="552" t="str">
        <f>E5</f>
        <v>Estimate 2012</v>
      </c>
      <c r="F40" s="553"/>
      <c r="G40" s="148" t="str">
        <f>G5</f>
        <v>Year 2013</v>
      </c>
    </row>
    <row r="41" spans="1:8">
      <c r="A41" s="149" t="s">
        <v>462</v>
      </c>
      <c r="B41" s="150"/>
      <c r="C41" s="530"/>
      <c r="D41" s="531"/>
      <c r="E41" s="554">
        <f>C67</f>
        <v>0</v>
      </c>
      <c r="F41" s="555"/>
      <c r="G41" s="284">
        <f>E67</f>
        <v>0</v>
      </c>
    </row>
    <row r="42" spans="1:8">
      <c r="A42" s="149" t="s">
        <v>464</v>
      </c>
      <c r="B42" s="150"/>
      <c r="C42" s="554"/>
      <c r="D42" s="555"/>
      <c r="E42" s="554"/>
      <c r="F42" s="555"/>
      <c r="G42" s="313"/>
    </row>
    <row r="43" spans="1:8">
      <c r="A43" s="149" t="s">
        <v>351</v>
      </c>
      <c r="B43" s="150"/>
      <c r="C43" s="530"/>
      <c r="D43" s="531"/>
      <c r="E43" s="554">
        <f ca="1">inputPrYr!E20</f>
        <v>0</v>
      </c>
      <c r="F43" s="555"/>
      <c r="G43" s="313" t="s">
        <v>658</v>
      </c>
    </row>
    <row r="44" spans="1:8">
      <c r="A44" s="149" t="s">
        <v>352</v>
      </c>
      <c r="B44" s="150"/>
      <c r="C44" s="530"/>
      <c r="D44" s="531"/>
      <c r="E44" s="530"/>
      <c r="F44" s="531"/>
      <c r="G44" s="279"/>
    </row>
    <row r="45" spans="1:8">
      <c r="A45" s="149" t="s">
        <v>353</v>
      </c>
      <c r="B45" s="150"/>
      <c r="C45" s="530"/>
      <c r="D45" s="531"/>
      <c r="E45" s="530"/>
      <c r="F45" s="531"/>
      <c r="G45" s="284">
        <f ca="1">mvalloc!G15</f>
        <v>0</v>
      </c>
    </row>
    <row r="46" spans="1:8">
      <c r="A46" s="149" t="s">
        <v>354</v>
      </c>
      <c r="B46" s="150"/>
      <c r="C46" s="530"/>
      <c r="D46" s="531"/>
      <c r="E46" s="530"/>
      <c r="F46" s="531"/>
      <c r="G46" s="284">
        <f ca="1">mvalloc!I15</f>
        <v>0</v>
      </c>
    </row>
    <row r="47" spans="1:8">
      <c r="A47" s="149" t="s">
        <v>443</v>
      </c>
      <c r="B47" s="150"/>
      <c r="C47" s="530"/>
      <c r="D47" s="531"/>
      <c r="E47" s="530"/>
      <c r="F47" s="531"/>
      <c r="G47" s="284">
        <f ca="1">mvalloc!J15</f>
        <v>0</v>
      </c>
    </row>
    <row r="48" spans="1:8">
      <c r="A48" s="149" t="s">
        <v>508</v>
      </c>
      <c r="B48" s="150"/>
      <c r="C48" s="530"/>
      <c r="D48" s="531"/>
      <c r="E48" s="530"/>
      <c r="F48" s="531"/>
      <c r="G48" s="284">
        <f ca="1">mvalloc!K15</f>
        <v>0</v>
      </c>
    </row>
    <row r="49" spans="1:7">
      <c r="A49" s="316"/>
      <c r="B49" s="317"/>
      <c r="C49" s="530"/>
      <c r="D49" s="531"/>
      <c r="E49" s="530"/>
      <c r="F49" s="531"/>
      <c r="G49" s="279"/>
    </row>
    <row r="50" spans="1:7">
      <c r="A50" s="316"/>
      <c r="B50" s="317"/>
      <c r="C50" s="530"/>
      <c r="D50" s="531"/>
      <c r="E50" s="530"/>
      <c r="F50" s="531"/>
      <c r="G50" s="279"/>
    </row>
    <row r="51" spans="1:7">
      <c r="A51" s="318"/>
      <c r="B51" s="317"/>
      <c r="C51" s="530"/>
      <c r="D51" s="531"/>
      <c r="E51" s="530"/>
      <c r="F51" s="531"/>
      <c r="G51" s="279"/>
    </row>
    <row r="52" spans="1:7">
      <c r="A52" s="318" t="s">
        <v>357</v>
      </c>
      <c r="B52" s="317"/>
      <c r="C52" s="530"/>
      <c r="D52" s="531"/>
      <c r="E52" s="530"/>
      <c r="F52" s="531"/>
      <c r="G52" s="279"/>
    </row>
    <row r="53" spans="1:7">
      <c r="A53" s="319" t="s">
        <v>574</v>
      </c>
      <c r="B53" s="320"/>
      <c r="C53" s="530"/>
      <c r="D53" s="531"/>
      <c r="E53" s="530"/>
      <c r="F53" s="531"/>
      <c r="G53" s="311"/>
    </row>
    <row r="54" spans="1:7">
      <c r="A54" s="319" t="s">
        <v>575</v>
      </c>
      <c r="B54" s="320"/>
      <c r="C54" s="536" t="str">
        <f>IF(C55*0.1&lt;C53,"Exceed 10% Rule","")</f>
        <v/>
      </c>
      <c r="D54" s="537"/>
      <c r="E54" s="536" t="str">
        <f>IF(E55*0.1&lt;E53,"Exceed 10% Rule","")</f>
        <v/>
      </c>
      <c r="F54" s="537"/>
      <c r="G54" s="321" t="str">
        <f>IF(G55*0.1+G72&lt;G53,"Exceed 10% Rule","")</f>
        <v/>
      </c>
    </row>
    <row r="55" spans="1:7">
      <c r="A55" s="322" t="s">
        <v>358</v>
      </c>
      <c r="B55" s="150"/>
      <c r="C55" s="561">
        <f>SUM(C43:C53)</f>
        <v>0</v>
      </c>
      <c r="D55" s="562"/>
      <c r="E55" s="561">
        <f>SUM(E43:E53)</f>
        <v>0</v>
      </c>
      <c r="F55" s="562"/>
      <c r="G55" s="324">
        <f>SUM(G43:G53)</f>
        <v>0</v>
      </c>
    </row>
    <row r="56" spans="1:7">
      <c r="A56" s="325" t="s">
        <v>359</v>
      </c>
      <c r="B56" s="150"/>
      <c r="C56" s="561">
        <f>C55+C41</f>
        <v>0</v>
      </c>
      <c r="D56" s="562"/>
      <c r="E56" s="561">
        <f>E55+E41</f>
        <v>0</v>
      </c>
      <c r="F56" s="562"/>
      <c r="G56" s="324">
        <f>G55+G41</f>
        <v>0</v>
      </c>
    </row>
    <row r="57" spans="1:7">
      <c r="A57" s="149" t="s">
        <v>360</v>
      </c>
      <c r="B57" s="150"/>
      <c r="C57" s="554"/>
      <c r="D57" s="555"/>
      <c r="E57" s="554"/>
      <c r="F57" s="555"/>
      <c r="G57" s="284"/>
    </row>
    <row r="58" spans="1:7">
      <c r="A58" s="318" t="s">
        <v>470</v>
      </c>
      <c r="B58" s="317"/>
      <c r="C58" s="530"/>
      <c r="D58" s="531"/>
      <c r="E58" s="530"/>
      <c r="F58" s="531"/>
      <c r="G58" s="279"/>
    </row>
    <row r="59" spans="1:7">
      <c r="A59" s="318" t="s">
        <v>446</v>
      </c>
      <c r="B59" s="317"/>
      <c r="C59" s="530"/>
      <c r="D59" s="531"/>
      <c r="E59" s="530"/>
      <c r="F59" s="531"/>
      <c r="G59" s="279"/>
    </row>
    <row r="60" spans="1:7">
      <c r="A60" s="318"/>
      <c r="B60" s="317"/>
      <c r="C60" s="530"/>
      <c r="D60" s="531"/>
      <c r="E60" s="530"/>
      <c r="F60" s="531"/>
      <c r="G60" s="279"/>
    </row>
    <row r="61" spans="1:7">
      <c r="A61" s="318"/>
      <c r="B61" s="317"/>
      <c r="C61" s="530"/>
      <c r="D61" s="531"/>
      <c r="E61" s="530"/>
      <c r="F61" s="531"/>
      <c r="G61" s="279"/>
    </row>
    <row r="62" spans="1:7">
      <c r="A62" s="318"/>
      <c r="B62" s="317"/>
      <c r="C62" s="530"/>
      <c r="D62" s="531"/>
      <c r="E62" s="530"/>
      <c r="F62" s="531"/>
      <c r="G62" s="279"/>
    </row>
    <row r="63" spans="1:7">
      <c r="A63" s="314" t="s">
        <v>577</v>
      </c>
      <c r="B63" s="320"/>
      <c r="C63" s="530"/>
      <c r="D63" s="531"/>
      <c r="E63" s="530"/>
      <c r="F63" s="531"/>
      <c r="G63" s="329" t="str">
        <f ca="1">nhood!E10</f>
        <v/>
      </c>
    </row>
    <row r="64" spans="1:7">
      <c r="A64" s="314" t="s">
        <v>574</v>
      </c>
      <c r="B64" s="320"/>
      <c r="C64" s="530"/>
      <c r="D64" s="531"/>
      <c r="E64" s="530"/>
      <c r="F64" s="531"/>
      <c r="G64" s="311"/>
    </row>
    <row r="65" spans="1:8">
      <c r="A65" s="314" t="s">
        <v>576</v>
      </c>
      <c r="B65" s="320"/>
      <c r="C65" s="536" t="str">
        <f>IF(C66*0.1&lt;C64,"Exceed 10% Rule","")</f>
        <v/>
      </c>
      <c r="D65" s="537"/>
      <c r="E65" s="536" t="str">
        <f>IF(E66*0.1&lt;E64,"Exceed 10% Rule","")</f>
        <v/>
      </c>
      <c r="F65" s="537"/>
      <c r="G65" s="321" t="str">
        <f>IF(G66*0.1&lt;G64,"Exceed 10% Rule","")</f>
        <v/>
      </c>
    </row>
    <row r="66" spans="1:8">
      <c r="A66" s="325" t="s">
        <v>361</v>
      </c>
      <c r="B66" s="150"/>
      <c r="C66" s="561">
        <f>SUM(C58:C64)</f>
        <v>0</v>
      </c>
      <c r="D66" s="562"/>
      <c r="E66" s="561">
        <f>SUM(E58:E64)</f>
        <v>0</v>
      </c>
      <c r="F66" s="562"/>
      <c r="G66" s="324">
        <f>SUM(G58:G64)</f>
        <v>0</v>
      </c>
    </row>
    <row r="67" spans="1:8">
      <c r="A67" s="149" t="s">
        <v>463</v>
      </c>
      <c r="B67" s="150"/>
      <c r="C67" s="545">
        <f>C56-C66</f>
        <v>0</v>
      </c>
      <c r="D67" s="546"/>
      <c r="E67" s="545">
        <f>E56-E66</f>
        <v>0</v>
      </c>
      <c r="F67" s="546"/>
      <c r="G67" s="313" t="s">
        <v>658</v>
      </c>
    </row>
    <row r="68" spans="1:8">
      <c r="A68" s="191" t="str">
        <f>CONCATENATE("",G1-2,"/",G1-1," Budget Authority Amount:")</f>
        <v>2011/2012 Budget Authority Amount:</v>
      </c>
      <c r="B68" s="332">
        <f ca="1">inputOth!B52</f>
        <v>0</v>
      </c>
      <c r="C68" s="136">
        <f ca="1">inputPrYr!D20</f>
        <v>0</v>
      </c>
      <c r="D68" s="538" t="s">
        <v>610</v>
      </c>
      <c r="E68" s="539"/>
      <c r="F68" s="540"/>
      <c r="G68" s="279"/>
      <c r="H68" s="333" t="str">
        <f>IF(G66/0.95-G66&lt;G68,"Exceeds 5%","")</f>
        <v/>
      </c>
    </row>
    <row r="69" spans="1:8">
      <c r="A69" s="191"/>
      <c r="B69" s="334" t="str">
        <f>IF(C66&gt;B68,"See Tab A","")</f>
        <v/>
      </c>
      <c r="C69" s="334" t="str">
        <f>IF(E66&gt;C68,"See Tab C","")</f>
        <v/>
      </c>
      <c r="D69" s="133"/>
      <c r="E69" s="541" t="s">
        <v>611</v>
      </c>
      <c r="F69" s="542"/>
      <c r="G69" s="284">
        <f>G66+G68</f>
        <v>0</v>
      </c>
    </row>
    <row r="70" spans="1:8">
      <c r="A70" s="191"/>
      <c r="B70" s="334" t="str">
        <f>IF(C67&lt;0,"See Tab B","")</f>
        <v/>
      </c>
      <c r="C70" s="442" t="str">
        <f>IF(E67&lt;0,"See Tab D","")</f>
        <v/>
      </c>
      <c r="D70" s="133"/>
      <c r="E70" s="541" t="s">
        <v>363</v>
      </c>
      <c r="F70" s="542"/>
      <c r="G70" s="329">
        <f>IF(G69-G56&gt;0,G69-G56,0)</f>
        <v>0</v>
      </c>
    </row>
    <row r="71" spans="1:8">
      <c r="A71" s="209"/>
      <c r="B71" s="133"/>
      <c r="C71" s="133"/>
      <c r="D71" s="534" t="s">
        <v>612</v>
      </c>
      <c r="E71" s="535"/>
      <c r="F71" s="335">
        <f ca="1">inputOth!$E$42</f>
        <v>0</v>
      </c>
      <c r="G71" s="284">
        <f>ROUND(IF(F71&gt;0,(G70*F71),0),0)</f>
        <v>0</v>
      </c>
    </row>
    <row r="72" spans="1:8">
      <c r="A72" s="133"/>
      <c r="B72" s="133"/>
      <c r="C72" s="558" t="str">
        <f>CONCATENATE("Amount of  ",$G$1-1," Ad Valorem Tax")</f>
        <v>Amount of  2012 Ad Valorem Tax</v>
      </c>
      <c r="D72" s="559"/>
      <c r="E72" s="559"/>
      <c r="F72" s="560"/>
      <c r="G72" s="329">
        <f>G70+G71</f>
        <v>0</v>
      </c>
    </row>
    <row r="73" spans="1:8">
      <c r="A73" s="209" t="s">
        <v>344</v>
      </c>
      <c r="B73" s="338"/>
      <c r="C73" s="133"/>
      <c r="D73" s="133"/>
      <c r="E73" s="133"/>
      <c r="F73" s="133"/>
      <c r="G73" s="133"/>
    </row>
    <row r="74" spans="1:8">
      <c r="A74" s="187"/>
      <c r="B74" s="187"/>
    </row>
  </sheetData>
  <sheetProtection sheet="1" objects="1" scenarios="1"/>
  <mergeCells count="126">
    <mergeCell ref="E19:F19"/>
    <mergeCell ref="E6:F6"/>
    <mergeCell ref="E7:F7"/>
    <mergeCell ref="E14:F14"/>
    <mergeCell ref="E15:F15"/>
    <mergeCell ref="C4:D4"/>
    <mergeCell ref="C5:D5"/>
    <mergeCell ref="C6:D6"/>
    <mergeCell ref="C7:D7"/>
    <mergeCell ref="C15:D15"/>
    <mergeCell ref="C20:D20"/>
    <mergeCell ref="C21:D21"/>
    <mergeCell ref="C22:D22"/>
    <mergeCell ref="E17:F17"/>
    <mergeCell ref="E4:F4"/>
    <mergeCell ref="E5:F5"/>
    <mergeCell ref="C18:D18"/>
    <mergeCell ref="C19:D19"/>
    <mergeCell ref="E18:F18"/>
    <mergeCell ref="E9:F9"/>
    <mergeCell ref="E8:F8"/>
    <mergeCell ref="C8:D8"/>
    <mergeCell ref="C9:D9"/>
    <mergeCell ref="C12:D12"/>
    <mergeCell ref="C13:D13"/>
    <mergeCell ref="C10:D10"/>
    <mergeCell ref="C11:D11"/>
    <mergeCell ref="C16:D16"/>
    <mergeCell ref="C17:D17"/>
    <mergeCell ref="E16:F16"/>
    <mergeCell ref="E10:F10"/>
    <mergeCell ref="E11:F11"/>
    <mergeCell ref="E12:F12"/>
    <mergeCell ref="E13:F13"/>
    <mergeCell ref="C14:D14"/>
    <mergeCell ref="C67:D67"/>
    <mergeCell ref="E29:F29"/>
    <mergeCell ref="C29:D29"/>
    <mergeCell ref="C30:D30"/>
    <mergeCell ref="E65:F65"/>
    <mergeCell ref="C48:D48"/>
    <mergeCell ref="D33:F33"/>
    <mergeCell ref="E66:F66"/>
    <mergeCell ref="E34:F34"/>
    <mergeCell ref="E30:F30"/>
    <mergeCell ref="E31:F31"/>
    <mergeCell ref="E32:F32"/>
    <mergeCell ref="E64:F64"/>
    <mergeCell ref="E43:F43"/>
    <mergeCell ref="E46:F46"/>
    <mergeCell ref="E51:F51"/>
    <mergeCell ref="E53:F53"/>
    <mergeCell ref="C47:D47"/>
    <mergeCell ref="C46:D46"/>
    <mergeCell ref="E39:F39"/>
    <mergeCell ref="E40:F40"/>
    <mergeCell ref="E41:F41"/>
    <mergeCell ref="E42:F42"/>
    <mergeCell ref="C39:D39"/>
    <mergeCell ref="E47:F47"/>
    <mergeCell ref="C40:D40"/>
    <mergeCell ref="C41:D41"/>
    <mergeCell ref="C31:D31"/>
    <mergeCell ref="C24:D24"/>
    <mergeCell ref="E23:F23"/>
    <mergeCell ref="E24:F24"/>
    <mergeCell ref="C26:D26"/>
    <mergeCell ref="C27:D27"/>
    <mergeCell ref="C28:D28"/>
    <mergeCell ref="E25:F25"/>
    <mergeCell ref="E26:F26"/>
    <mergeCell ref="E27:F27"/>
    <mergeCell ref="E28:F28"/>
    <mergeCell ref="C23:D23"/>
    <mergeCell ref="E20:F20"/>
    <mergeCell ref="E21:F21"/>
    <mergeCell ref="E48:F48"/>
    <mergeCell ref="E49:F49"/>
    <mergeCell ref="E44:F44"/>
    <mergeCell ref="E45:F45"/>
    <mergeCell ref="C25:D25"/>
    <mergeCell ref="E22:F22"/>
    <mergeCell ref="D36:E36"/>
    <mergeCell ref="C37:F37"/>
    <mergeCell ref="C32:D32"/>
    <mergeCell ref="E35:F35"/>
    <mergeCell ref="E55:F55"/>
    <mergeCell ref="E52:F52"/>
    <mergeCell ref="C56:D56"/>
    <mergeCell ref="C57:D57"/>
    <mergeCell ref="C42:D42"/>
    <mergeCell ref="C50:D50"/>
    <mergeCell ref="E50:F50"/>
    <mergeCell ref="C43:D43"/>
    <mergeCell ref="C44:D44"/>
    <mergeCell ref="C45:D45"/>
    <mergeCell ref="C49:D49"/>
    <mergeCell ref="C52:D52"/>
    <mergeCell ref="C54:D54"/>
    <mergeCell ref="C55:D55"/>
    <mergeCell ref="C51:D51"/>
    <mergeCell ref="E62:F62"/>
    <mergeCell ref="C53:D53"/>
    <mergeCell ref="E61:F61"/>
    <mergeCell ref="E60:F60"/>
    <mergeCell ref="E54:F54"/>
    <mergeCell ref="E59:F59"/>
    <mergeCell ref="C61:D61"/>
    <mergeCell ref="C72:F72"/>
    <mergeCell ref="D68:F68"/>
    <mergeCell ref="E69:F69"/>
    <mergeCell ref="E70:F70"/>
    <mergeCell ref="D71:E71"/>
    <mergeCell ref="E67:F67"/>
    <mergeCell ref="C65:D65"/>
    <mergeCell ref="C66:D66"/>
    <mergeCell ref="C62:D62"/>
    <mergeCell ref="C64:D64"/>
    <mergeCell ref="E63:F63"/>
    <mergeCell ref="C63:D63"/>
    <mergeCell ref="E56:F56"/>
    <mergeCell ref="E57:F57"/>
    <mergeCell ref="E58:F58"/>
    <mergeCell ref="C58:D58"/>
    <mergeCell ref="C59:D59"/>
    <mergeCell ref="C60:D60"/>
  </mergeCells>
  <phoneticPr fontId="0" type="noConversion"/>
  <conditionalFormatting sqref="G68">
    <cfRule type="cellIs" dxfId="132" priority="3" stopIfTrue="1" operator="greaterThan">
      <formula>$G$66/0.95-$G$66</formula>
    </cfRule>
  </conditionalFormatting>
  <conditionalFormatting sqref="C64:D64">
    <cfRule type="cellIs" dxfId="131" priority="4" stopIfTrue="1" operator="greaterThan">
      <formula>$C$66*0.1</formula>
    </cfRule>
  </conditionalFormatting>
  <conditionalFormatting sqref="E64:F64">
    <cfRule type="cellIs" dxfId="130" priority="5" stopIfTrue="1" operator="greaterThan">
      <formula>$E$66*0.1</formula>
    </cfRule>
  </conditionalFormatting>
  <conditionalFormatting sqref="G64">
    <cfRule type="cellIs" dxfId="129" priority="6" stopIfTrue="1" operator="greaterThan">
      <formula>$G$66*0.1</formula>
    </cfRule>
  </conditionalFormatting>
  <conditionalFormatting sqref="C53:D53">
    <cfRule type="cellIs" dxfId="128" priority="7" stopIfTrue="1" operator="greaterThan">
      <formula>$C$55*0.1</formula>
    </cfRule>
  </conditionalFormatting>
  <conditionalFormatting sqref="E53:F53">
    <cfRule type="cellIs" dxfId="127" priority="8" stopIfTrue="1" operator="greaterThan">
      <formula>$E$55*0.1</formula>
    </cfRule>
  </conditionalFormatting>
  <conditionalFormatting sqref="G33">
    <cfRule type="cellIs" dxfId="126" priority="9" stopIfTrue="1" operator="greaterThan">
      <formula>$G$31/0.95-$G$31</formula>
    </cfRule>
  </conditionalFormatting>
  <conditionalFormatting sqref="C29:D29">
    <cfRule type="cellIs" dxfId="125" priority="10" stopIfTrue="1" operator="greaterThan">
      <formula>$C$31*0.1</formula>
    </cfRule>
  </conditionalFormatting>
  <conditionalFormatting sqref="E29:F29">
    <cfRule type="cellIs" dxfId="124" priority="11" stopIfTrue="1" operator="greaterThan">
      <formula>$E$31*0.1</formula>
    </cfRule>
  </conditionalFormatting>
  <conditionalFormatting sqref="G29">
    <cfRule type="cellIs" dxfId="123" priority="12" stopIfTrue="1" operator="greaterThan">
      <formula>$G$31*0.1</formula>
    </cfRule>
  </conditionalFormatting>
  <conditionalFormatting sqref="C18:D18">
    <cfRule type="cellIs" dxfId="122" priority="13" stopIfTrue="1" operator="greaterThan">
      <formula>$C$20*0.1</formula>
    </cfRule>
  </conditionalFormatting>
  <conditionalFormatting sqref="E18:F18">
    <cfRule type="cellIs" dxfId="121" priority="14" stopIfTrue="1" operator="greaterThan">
      <formula>$E$20*0.1</formula>
    </cfRule>
  </conditionalFormatting>
  <conditionalFormatting sqref="G53">
    <cfRule type="cellIs" dxfId="120" priority="15" stopIfTrue="1" operator="greaterThan">
      <formula>$G$55*0.1+$G$72</formula>
    </cfRule>
  </conditionalFormatting>
  <conditionalFormatting sqref="G18">
    <cfRule type="cellIs" dxfId="119" priority="16" stopIfTrue="1" operator="greaterThan">
      <formula>$G$20*0.1+$G$37</formula>
    </cfRule>
  </conditionalFormatting>
  <conditionalFormatting sqref="C67:D67 C32:D32">
    <cfRule type="cellIs" dxfId="118" priority="17" stopIfTrue="1" operator="lessThan">
      <formula>0</formula>
    </cfRule>
  </conditionalFormatting>
  <conditionalFormatting sqref="C66:D66">
    <cfRule type="cellIs" dxfId="117" priority="18" stopIfTrue="1" operator="greaterThan">
      <formula>$B$68</formula>
    </cfRule>
  </conditionalFormatting>
  <conditionalFormatting sqref="E66:F66">
    <cfRule type="cellIs" dxfId="116" priority="19" stopIfTrue="1" operator="greaterThan">
      <formula>$C$68</formula>
    </cfRule>
  </conditionalFormatting>
  <conditionalFormatting sqref="C31:D31">
    <cfRule type="cellIs" dxfId="115" priority="20" stopIfTrue="1" operator="greaterThan">
      <formula>$B$33</formula>
    </cfRule>
  </conditionalFormatting>
  <conditionalFormatting sqref="E31:F31">
    <cfRule type="cellIs" dxfId="114" priority="21" stopIfTrue="1" operator="greaterThan">
      <formula>$C$33</formula>
    </cfRule>
  </conditionalFormatting>
  <conditionalFormatting sqref="E32:F32">
    <cfRule type="cellIs" dxfId="113" priority="2" stopIfTrue="1" operator="lessThan">
      <formula>0</formula>
    </cfRule>
  </conditionalFormatting>
  <conditionalFormatting sqref="E67:F67">
    <cfRule type="cellIs" dxfId="112" priority="1" stopIfTrue="1" operator="lessThan">
      <formula>0</formula>
    </cfRule>
  </conditionalFormatting>
  <pageMargins left="0.9" right="0.9" top="0.96" bottom="0.5" header="0.41" footer="0.3"/>
  <pageSetup scale="67" orientation="portrait" blackAndWhite="1" horizontalDpi="4294967292" verticalDpi="96" r:id="rId1"/>
  <headerFooter alignWithMargins="0">
    <oddHeader xml:space="preserve">&amp;RState of Kansas
Township
</oddHeader>
    <oddFooter>&amp;Lrevised 8/25/09</oddFooter>
  </headerFooter>
</worksheet>
</file>

<file path=xl/worksheets/sheet11.xml><?xml version="1.0" encoding="utf-8"?>
<worksheet xmlns="http://schemas.openxmlformats.org/spreadsheetml/2006/main" xmlns:r="http://schemas.openxmlformats.org/officeDocument/2006/relationships">
  <sheetPr>
    <pageSetUpPr fitToPage="1"/>
  </sheetPr>
  <dimension ref="A1:H74"/>
  <sheetViews>
    <sheetView workbookViewId="0">
      <selection activeCell="A69" sqref="A69:A70"/>
    </sheetView>
  </sheetViews>
  <sheetFormatPr defaultRowHeight="15.75"/>
  <cols>
    <col min="1" max="1" width="27.5" style="239" customWidth="1"/>
    <col min="2" max="2" width="9.5" style="239" customWidth="1"/>
    <col min="3" max="3" width="10.3984375" style="239" customWidth="1"/>
    <col min="4" max="4" width="5.69921875" style="239" customWidth="1"/>
    <col min="5" max="5" width="9.59765625" style="239" customWidth="1"/>
    <col min="6" max="6" width="6.59765625" style="239" customWidth="1"/>
    <col min="7" max="7" width="13.69921875" style="239" customWidth="1"/>
    <col min="8" max="16384" width="8.796875" style="239"/>
  </cols>
  <sheetData>
    <row r="1" spans="1:7">
      <c r="A1" s="193" t="str">
        <f ca="1">inputPrYr!D2</f>
        <v>Winterset Township</v>
      </c>
      <c r="B1" s="141" t="s">
        <v>372</v>
      </c>
      <c r="C1" s="133"/>
      <c r="D1" s="133"/>
      <c r="E1" s="133"/>
      <c r="F1" s="133"/>
      <c r="G1" s="208">
        <f ca="1">inputPrYr!D5</f>
        <v>2013</v>
      </c>
    </row>
    <row r="2" spans="1:7">
      <c r="A2" s="200" t="s">
        <v>413</v>
      </c>
      <c r="B2" s="133"/>
      <c r="C2" s="133"/>
      <c r="D2" s="133"/>
      <c r="E2" s="230"/>
      <c r="F2" s="230"/>
      <c r="G2" s="366"/>
    </row>
    <row r="3" spans="1:7">
      <c r="A3" s="133"/>
      <c r="B3" s="342"/>
      <c r="C3" s="139"/>
      <c r="D3" s="139"/>
      <c r="E3" s="139"/>
      <c r="F3" s="139"/>
      <c r="G3" s="139"/>
    </row>
    <row r="4" spans="1:7">
      <c r="A4" s="141" t="s">
        <v>345</v>
      </c>
      <c r="B4" s="140"/>
      <c r="C4" s="550" t="s">
        <v>346</v>
      </c>
      <c r="D4" s="551"/>
      <c r="E4" s="556" t="s">
        <v>347</v>
      </c>
      <c r="F4" s="557"/>
      <c r="G4" s="143" t="s">
        <v>348</v>
      </c>
    </row>
    <row r="5" spans="1:7">
      <c r="A5" s="232">
        <f ca="1">inputPrYr!B21</f>
        <v>0</v>
      </c>
      <c r="B5" s="309"/>
      <c r="C5" s="552" t="str">
        <f ca="1">gen!C5</f>
        <v>Actual 2011</v>
      </c>
      <c r="D5" s="553"/>
      <c r="E5" s="552" t="str">
        <f ca="1">gen!E5</f>
        <v>Estimate 2012</v>
      </c>
      <c r="F5" s="553"/>
      <c r="G5" s="148" t="str">
        <f ca="1">gen!G5</f>
        <v>Year 2013</v>
      </c>
    </row>
    <row r="6" spans="1:7">
      <c r="A6" s="149" t="s">
        <v>462</v>
      </c>
      <c r="B6" s="150"/>
      <c r="C6" s="530"/>
      <c r="D6" s="531"/>
      <c r="E6" s="554">
        <f>C32</f>
        <v>0</v>
      </c>
      <c r="F6" s="555"/>
      <c r="G6" s="284">
        <f>E32</f>
        <v>0</v>
      </c>
    </row>
    <row r="7" spans="1:7">
      <c r="A7" s="149" t="s">
        <v>464</v>
      </c>
      <c r="B7" s="150"/>
      <c r="C7" s="554"/>
      <c r="D7" s="555"/>
      <c r="E7" s="554"/>
      <c r="F7" s="555"/>
      <c r="G7" s="313"/>
    </row>
    <row r="8" spans="1:7">
      <c r="A8" s="149" t="s">
        <v>351</v>
      </c>
      <c r="B8" s="150"/>
      <c r="C8" s="530"/>
      <c r="D8" s="531"/>
      <c r="E8" s="554">
        <f ca="1">inputPrYr!E21</f>
        <v>0</v>
      </c>
      <c r="F8" s="555"/>
      <c r="G8" s="313" t="s">
        <v>658</v>
      </c>
    </row>
    <row r="9" spans="1:7">
      <c r="A9" s="149" t="s">
        <v>352</v>
      </c>
      <c r="B9" s="150"/>
      <c r="C9" s="530"/>
      <c r="D9" s="531"/>
      <c r="E9" s="530"/>
      <c r="F9" s="531"/>
      <c r="G9" s="279"/>
    </row>
    <row r="10" spans="1:7">
      <c r="A10" s="149" t="s">
        <v>353</v>
      </c>
      <c r="B10" s="150"/>
      <c r="C10" s="530"/>
      <c r="D10" s="531"/>
      <c r="E10" s="530"/>
      <c r="F10" s="531"/>
      <c r="G10" s="284">
        <f ca="1">mvalloc!G16</f>
        <v>0</v>
      </c>
    </row>
    <row r="11" spans="1:7">
      <c r="A11" s="149" t="s">
        <v>354</v>
      </c>
      <c r="B11" s="150"/>
      <c r="C11" s="530"/>
      <c r="D11" s="531"/>
      <c r="E11" s="530"/>
      <c r="F11" s="531"/>
      <c r="G11" s="284">
        <f ca="1">mvalloc!I16</f>
        <v>0</v>
      </c>
    </row>
    <row r="12" spans="1:7">
      <c r="A12" s="149" t="s">
        <v>443</v>
      </c>
      <c r="B12" s="150"/>
      <c r="C12" s="530"/>
      <c r="D12" s="531"/>
      <c r="E12" s="530"/>
      <c r="F12" s="531"/>
      <c r="G12" s="284">
        <f ca="1">mvalloc!J16</f>
        <v>0</v>
      </c>
    </row>
    <row r="13" spans="1:7">
      <c r="A13" s="149" t="s">
        <v>508</v>
      </c>
      <c r="B13" s="150"/>
      <c r="C13" s="530"/>
      <c r="D13" s="531"/>
      <c r="E13" s="530"/>
      <c r="F13" s="531"/>
      <c r="G13" s="284">
        <f ca="1">mvalloc!K16</f>
        <v>0</v>
      </c>
    </row>
    <row r="14" spans="1:7">
      <c r="A14" s="316"/>
      <c r="B14" s="317"/>
      <c r="C14" s="530"/>
      <c r="D14" s="531"/>
      <c r="E14" s="530"/>
      <c r="F14" s="531"/>
      <c r="G14" s="279"/>
    </row>
    <row r="15" spans="1:7">
      <c r="A15" s="316"/>
      <c r="B15" s="317"/>
      <c r="C15" s="530"/>
      <c r="D15" s="531"/>
      <c r="E15" s="530"/>
      <c r="F15" s="531"/>
      <c r="G15" s="279"/>
    </row>
    <row r="16" spans="1:7">
      <c r="A16" s="318"/>
      <c r="B16" s="317"/>
      <c r="C16" s="530"/>
      <c r="D16" s="531"/>
      <c r="E16" s="530"/>
      <c r="F16" s="531"/>
      <c r="G16" s="279"/>
    </row>
    <row r="17" spans="1:7">
      <c r="A17" s="318" t="s">
        <v>357</v>
      </c>
      <c r="B17" s="317"/>
      <c r="C17" s="530"/>
      <c r="D17" s="531"/>
      <c r="E17" s="530"/>
      <c r="F17" s="531"/>
      <c r="G17" s="279"/>
    </row>
    <row r="18" spans="1:7">
      <c r="A18" s="319" t="s">
        <v>574</v>
      </c>
      <c r="B18" s="320"/>
      <c r="C18" s="530"/>
      <c r="D18" s="531"/>
      <c r="E18" s="530"/>
      <c r="F18" s="531"/>
      <c r="G18" s="311"/>
    </row>
    <row r="19" spans="1:7">
      <c r="A19" s="319" t="s">
        <v>575</v>
      </c>
      <c r="B19" s="320"/>
      <c r="C19" s="536" t="str">
        <f>IF(C20*0.1&lt;C18,"Exceed 10% Rule","")</f>
        <v/>
      </c>
      <c r="D19" s="537"/>
      <c r="E19" s="536" t="str">
        <f>IF(E20*0.1&lt;E18,"Exceed 10% Rule","")</f>
        <v/>
      </c>
      <c r="F19" s="537"/>
      <c r="G19" s="321" t="str">
        <f>IF(G20*0.1+G37&lt;G18,"Exceed 10% Rule","")</f>
        <v/>
      </c>
    </row>
    <row r="20" spans="1:7">
      <c r="A20" s="322" t="s">
        <v>358</v>
      </c>
      <c r="B20" s="150"/>
      <c r="C20" s="561">
        <f>SUM(C8:C18)</f>
        <v>0</v>
      </c>
      <c r="D20" s="562"/>
      <c r="E20" s="561">
        <f>SUM(E8:E18)</f>
        <v>0</v>
      </c>
      <c r="F20" s="562"/>
      <c r="G20" s="324">
        <f>SUM(G8:G18)</f>
        <v>0</v>
      </c>
    </row>
    <row r="21" spans="1:7">
      <c r="A21" s="325" t="s">
        <v>359</v>
      </c>
      <c r="B21" s="150"/>
      <c r="C21" s="561">
        <f>C20+C6</f>
        <v>0</v>
      </c>
      <c r="D21" s="562"/>
      <c r="E21" s="561">
        <f>E20+E6</f>
        <v>0</v>
      </c>
      <c r="F21" s="562"/>
      <c r="G21" s="324">
        <f>G20+G6</f>
        <v>0</v>
      </c>
    </row>
    <row r="22" spans="1:7">
      <c r="A22" s="149" t="s">
        <v>360</v>
      </c>
      <c r="B22" s="150"/>
      <c r="C22" s="554"/>
      <c r="D22" s="555"/>
      <c r="E22" s="554"/>
      <c r="F22" s="555"/>
      <c r="G22" s="284"/>
    </row>
    <row r="23" spans="1:7">
      <c r="A23" s="318" t="s">
        <v>470</v>
      </c>
      <c r="B23" s="317"/>
      <c r="C23" s="530"/>
      <c r="D23" s="531"/>
      <c r="E23" s="530"/>
      <c r="F23" s="531"/>
      <c r="G23" s="279"/>
    </row>
    <row r="24" spans="1:7">
      <c r="A24" s="318" t="s">
        <v>446</v>
      </c>
      <c r="B24" s="317"/>
      <c r="C24" s="530"/>
      <c r="D24" s="531"/>
      <c r="E24" s="530"/>
      <c r="F24" s="531"/>
      <c r="G24" s="279"/>
    </row>
    <row r="25" spans="1:7">
      <c r="A25" s="318"/>
      <c r="B25" s="317"/>
      <c r="C25" s="530"/>
      <c r="D25" s="531"/>
      <c r="E25" s="530"/>
      <c r="F25" s="531"/>
      <c r="G25" s="279"/>
    </row>
    <row r="26" spans="1:7">
      <c r="A26" s="318"/>
      <c r="B26" s="317"/>
      <c r="C26" s="530"/>
      <c r="D26" s="531"/>
      <c r="E26" s="530"/>
      <c r="F26" s="531"/>
      <c r="G26" s="279"/>
    </row>
    <row r="27" spans="1:7">
      <c r="A27" s="318"/>
      <c r="B27" s="317"/>
      <c r="C27" s="530"/>
      <c r="D27" s="531"/>
      <c r="E27" s="530"/>
      <c r="F27" s="531"/>
      <c r="G27" s="279"/>
    </row>
    <row r="28" spans="1:7">
      <c r="A28" s="314" t="s">
        <v>577</v>
      </c>
      <c r="B28" s="320"/>
      <c r="C28" s="530"/>
      <c r="D28" s="531"/>
      <c r="E28" s="530"/>
      <c r="F28" s="531"/>
      <c r="G28" s="329" t="str">
        <f ca="1">nhood!E11</f>
        <v/>
      </c>
    </row>
    <row r="29" spans="1:7">
      <c r="A29" s="314" t="s">
        <v>574</v>
      </c>
      <c r="B29" s="320"/>
      <c r="C29" s="530"/>
      <c r="D29" s="531"/>
      <c r="E29" s="530"/>
      <c r="F29" s="531"/>
      <c r="G29" s="311"/>
    </row>
    <row r="30" spans="1:7">
      <c r="A30" s="314" t="s">
        <v>576</v>
      </c>
      <c r="B30" s="320"/>
      <c r="C30" s="536" t="str">
        <f>IF(C31*0.1&lt;C29,"Exceed 10% Rule","")</f>
        <v/>
      </c>
      <c r="D30" s="537"/>
      <c r="E30" s="536" t="str">
        <f>IF(E31*0.1&lt;E29,"Exceed 10% Rule","")</f>
        <v/>
      </c>
      <c r="F30" s="537"/>
      <c r="G30" s="321" t="str">
        <f>IF(G31*0.1&lt;G29,"Exceed 10% Rule","")</f>
        <v/>
      </c>
    </row>
    <row r="31" spans="1:7">
      <c r="A31" s="325" t="s">
        <v>361</v>
      </c>
      <c r="B31" s="150"/>
      <c r="C31" s="561">
        <f>SUM(C23:C29)</f>
        <v>0</v>
      </c>
      <c r="D31" s="562"/>
      <c r="E31" s="561">
        <f>SUM(E23:E29)</f>
        <v>0</v>
      </c>
      <c r="F31" s="562"/>
      <c r="G31" s="324">
        <f>SUM(G23:G29)</f>
        <v>0</v>
      </c>
    </row>
    <row r="32" spans="1:7">
      <c r="A32" s="149" t="s">
        <v>463</v>
      </c>
      <c r="B32" s="150"/>
      <c r="C32" s="545">
        <f>C21-C31</f>
        <v>0</v>
      </c>
      <c r="D32" s="546"/>
      <c r="E32" s="545">
        <f>E21-E31</f>
        <v>0</v>
      </c>
      <c r="F32" s="546"/>
      <c r="G32" s="313" t="s">
        <v>658</v>
      </c>
    </row>
    <row r="33" spans="1:8">
      <c r="A33" s="191" t="str">
        <f>CONCATENATE("",G1-2,"/",G1-1," Budget Authority Amount:")</f>
        <v>2011/2012 Budget Authority Amount:</v>
      </c>
      <c r="B33" s="332">
        <f ca="1">inputOth!B53</f>
        <v>0</v>
      </c>
      <c r="C33" s="136">
        <f ca="1">inputPrYr!D21</f>
        <v>0</v>
      </c>
      <c r="D33" s="538" t="s">
        <v>610</v>
      </c>
      <c r="E33" s="539"/>
      <c r="F33" s="540"/>
      <c r="G33" s="279"/>
      <c r="H33" s="333" t="str">
        <f>IF(G31/0.95-G31&lt;G33,"Exceeds 5%","")</f>
        <v/>
      </c>
    </row>
    <row r="34" spans="1:8">
      <c r="A34" s="191"/>
      <c r="B34" s="334" t="str">
        <f>IF(C31&gt;B33,"See Tab A","")</f>
        <v/>
      </c>
      <c r="C34" s="334" t="str">
        <f>IF(E31&gt;C33,"See Tab C","")</f>
        <v/>
      </c>
      <c r="D34" s="133"/>
      <c r="E34" s="541" t="s">
        <v>611</v>
      </c>
      <c r="F34" s="542"/>
      <c r="G34" s="284">
        <f>G31+G33</f>
        <v>0</v>
      </c>
    </row>
    <row r="35" spans="1:8">
      <c r="A35" s="191"/>
      <c r="B35" s="334" t="str">
        <f>IF(C32&lt;0,"See Tab B","")</f>
        <v/>
      </c>
      <c r="C35" s="442" t="str">
        <f>IF(E32&lt;0,"See Tab D","")</f>
        <v/>
      </c>
      <c r="D35" s="133"/>
      <c r="E35" s="541" t="s">
        <v>363</v>
      </c>
      <c r="F35" s="542"/>
      <c r="G35" s="329">
        <f>IF(G34-G21&gt;0,G34-G21,0)</f>
        <v>0</v>
      </c>
    </row>
    <row r="36" spans="1:8">
      <c r="A36" s="209"/>
      <c r="B36" s="133"/>
      <c r="C36" s="133"/>
      <c r="D36" s="534" t="s">
        <v>612</v>
      </c>
      <c r="E36" s="535"/>
      <c r="F36" s="335">
        <f ca="1">inputOth!$E$42</f>
        <v>0</v>
      </c>
      <c r="G36" s="284">
        <f>ROUND(IF(F36&gt;0,(G35*F36),0),0)</f>
        <v>0</v>
      </c>
    </row>
    <row r="37" spans="1:8">
      <c r="A37" s="133"/>
      <c r="B37" s="133"/>
      <c r="C37" s="558" t="str">
        <f>CONCATENATE("Amount of  ",$G$1-1," Ad Valorem Tax")</f>
        <v>Amount of  2012 Ad Valorem Tax</v>
      </c>
      <c r="D37" s="559"/>
      <c r="E37" s="559"/>
      <c r="F37" s="560"/>
      <c r="G37" s="329">
        <f>G35+G36</f>
        <v>0</v>
      </c>
    </row>
    <row r="38" spans="1:8">
      <c r="A38" s="141" t="s">
        <v>345</v>
      </c>
      <c r="B38" s="342"/>
      <c r="C38" s="139"/>
      <c r="D38" s="139"/>
      <c r="E38" s="139"/>
      <c r="F38" s="139"/>
      <c r="G38" s="139"/>
    </row>
    <row r="39" spans="1:8">
      <c r="A39" s="133"/>
      <c r="B39" s="140"/>
      <c r="C39" s="550" t="s">
        <v>346</v>
      </c>
      <c r="D39" s="551"/>
      <c r="E39" s="556" t="s">
        <v>347</v>
      </c>
      <c r="F39" s="557"/>
      <c r="G39" s="143" t="s">
        <v>348</v>
      </c>
    </row>
    <row r="40" spans="1:8">
      <c r="A40" s="231">
        <f ca="1">inputPrYr!B22</f>
        <v>0</v>
      </c>
      <c r="B40" s="309"/>
      <c r="C40" s="552" t="str">
        <f>C5</f>
        <v>Actual 2011</v>
      </c>
      <c r="D40" s="553"/>
      <c r="E40" s="552" t="str">
        <f>E5</f>
        <v>Estimate 2012</v>
      </c>
      <c r="F40" s="553"/>
      <c r="G40" s="148" t="str">
        <f>G5</f>
        <v>Year 2013</v>
      </c>
    </row>
    <row r="41" spans="1:8">
      <c r="A41" s="149" t="s">
        <v>462</v>
      </c>
      <c r="B41" s="150"/>
      <c r="C41" s="530"/>
      <c r="D41" s="531"/>
      <c r="E41" s="554">
        <f>C67</f>
        <v>0</v>
      </c>
      <c r="F41" s="555"/>
      <c r="G41" s="284">
        <f>E67</f>
        <v>0</v>
      </c>
    </row>
    <row r="42" spans="1:8">
      <c r="A42" s="149" t="s">
        <v>464</v>
      </c>
      <c r="B42" s="150"/>
      <c r="C42" s="554"/>
      <c r="D42" s="555"/>
      <c r="E42" s="554"/>
      <c r="F42" s="555"/>
      <c r="G42" s="313"/>
    </row>
    <row r="43" spans="1:8">
      <c r="A43" s="149" t="s">
        <v>351</v>
      </c>
      <c r="B43" s="150"/>
      <c r="C43" s="530"/>
      <c r="D43" s="531"/>
      <c r="E43" s="554">
        <f ca="1">inputPrYr!E22</f>
        <v>0</v>
      </c>
      <c r="F43" s="555"/>
      <c r="G43" s="313" t="s">
        <v>658</v>
      </c>
    </row>
    <row r="44" spans="1:8">
      <c r="A44" s="149" t="s">
        <v>352</v>
      </c>
      <c r="B44" s="150"/>
      <c r="C44" s="530"/>
      <c r="D44" s="531"/>
      <c r="E44" s="530"/>
      <c r="F44" s="531"/>
      <c r="G44" s="279"/>
    </row>
    <row r="45" spans="1:8">
      <c r="A45" s="149" t="s">
        <v>353</v>
      </c>
      <c r="B45" s="150"/>
      <c r="C45" s="530"/>
      <c r="D45" s="531"/>
      <c r="E45" s="530"/>
      <c r="F45" s="531"/>
      <c r="G45" s="284">
        <f ca="1">mvalloc!G17</f>
        <v>0</v>
      </c>
    </row>
    <row r="46" spans="1:8">
      <c r="A46" s="149" t="s">
        <v>354</v>
      </c>
      <c r="B46" s="150"/>
      <c r="C46" s="530"/>
      <c r="D46" s="531"/>
      <c r="E46" s="530"/>
      <c r="F46" s="531"/>
      <c r="G46" s="284">
        <f ca="1">mvalloc!I17</f>
        <v>0</v>
      </c>
    </row>
    <row r="47" spans="1:8">
      <c r="A47" s="149" t="s">
        <v>443</v>
      </c>
      <c r="B47" s="150"/>
      <c r="C47" s="530"/>
      <c r="D47" s="531"/>
      <c r="E47" s="530"/>
      <c r="F47" s="531"/>
      <c r="G47" s="284">
        <f ca="1">mvalloc!J17</f>
        <v>0</v>
      </c>
    </row>
    <row r="48" spans="1:8">
      <c r="A48" s="149" t="s">
        <v>508</v>
      </c>
      <c r="B48" s="150"/>
      <c r="C48" s="530"/>
      <c r="D48" s="531"/>
      <c r="E48" s="530"/>
      <c r="F48" s="531"/>
      <c r="G48" s="284">
        <f ca="1">mvalloc!K17</f>
        <v>0</v>
      </c>
    </row>
    <row r="49" spans="1:7">
      <c r="A49" s="318"/>
      <c r="B49" s="317"/>
      <c r="C49" s="530"/>
      <c r="D49" s="531"/>
      <c r="E49" s="530"/>
      <c r="F49" s="531"/>
      <c r="G49" s="279"/>
    </row>
    <row r="50" spans="1:7">
      <c r="A50" s="318"/>
      <c r="B50" s="317"/>
      <c r="C50" s="530"/>
      <c r="D50" s="531"/>
      <c r="E50" s="530"/>
      <c r="F50" s="531"/>
      <c r="G50" s="279"/>
    </row>
    <row r="51" spans="1:7">
      <c r="A51" s="318"/>
      <c r="B51" s="317"/>
      <c r="C51" s="530"/>
      <c r="D51" s="531"/>
      <c r="E51" s="530"/>
      <c r="F51" s="531"/>
      <c r="G51" s="279"/>
    </row>
    <row r="52" spans="1:7">
      <c r="A52" s="318" t="s">
        <v>357</v>
      </c>
      <c r="B52" s="317"/>
      <c r="C52" s="530"/>
      <c r="D52" s="531"/>
      <c r="E52" s="530"/>
      <c r="F52" s="531"/>
      <c r="G52" s="279"/>
    </row>
    <row r="53" spans="1:7">
      <c r="A53" s="319" t="s">
        <v>574</v>
      </c>
      <c r="B53" s="320"/>
      <c r="C53" s="530"/>
      <c r="D53" s="531"/>
      <c r="E53" s="530"/>
      <c r="F53" s="531"/>
      <c r="G53" s="311"/>
    </row>
    <row r="54" spans="1:7">
      <c r="A54" s="319" t="s">
        <v>575</v>
      </c>
      <c r="B54" s="320"/>
      <c r="C54" s="536" t="str">
        <f>IF(C55*0.1&lt;C53,"Exceed 10% Rule","")</f>
        <v/>
      </c>
      <c r="D54" s="537"/>
      <c r="E54" s="536" t="str">
        <f>IF(E55*0.1&lt;E53,"Exceed 10% Rule","")</f>
        <v/>
      </c>
      <c r="F54" s="537"/>
      <c r="G54" s="321" t="str">
        <f>IF(G55*0.1+G72&lt;G53,"Exceed 10% Rule","")</f>
        <v/>
      </c>
    </row>
    <row r="55" spans="1:7">
      <c r="A55" s="322" t="s">
        <v>358</v>
      </c>
      <c r="B55" s="150"/>
      <c r="C55" s="561">
        <f>SUM(C43:C53)</f>
        <v>0</v>
      </c>
      <c r="D55" s="562"/>
      <c r="E55" s="561">
        <f>SUM(E43:E53)</f>
        <v>0</v>
      </c>
      <c r="F55" s="562"/>
      <c r="G55" s="324">
        <f>SUM(G43:G53)</f>
        <v>0</v>
      </c>
    </row>
    <row r="56" spans="1:7">
      <c r="A56" s="325" t="s">
        <v>359</v>
      </c>
      <c r="B56" s="150"/>
      <c r="C56" s="561">
        <f>C55+C41</f>
        <v>0</v>
      </c>
      <c r="D56" s="562"/>
      <c r="E56" s="561">
        <f>E55+E41</f>
        <v>0</v>
      </c>
      <c r="F56" s="562"/>
      <c r="G56" s="324">
        <f>G55+G41</f>
        <v>0</v>
      </c>
    </row>
    <row r="57" spans="1:7">
      <c r="A57" s="149" t="s">
        <v>360</v>
      </c>
      <c r="B57" s="150"/>
      <c r="C57" s="554"/>
      <c r="D57" s="555"/>
      <c r="E57" s="554"/>
      <c r="F57" s="555"/>
      <c r="G57" s="284"/>
    </row>
    <row r="58" spans="1:7">
      <c r="A58" s="318" t="s">
        <v>470</v>
      </c>
      <c r="B58" s="317"/>
      <c r="C58" s="530"/>
      <c r="D58" s="531"/>
      <c r="E58" s="530"/>
      <c r="F58" s="531"/>
      <c r="G58" s="279"/>
    </row>
    <row r="59" spans="1:7">
      <c r="A59" s="318" t="s">
        <v>446</v>
      </c>
      <c r="B59" s="317"/>
      <c r="C59" s="530"/>
      <c r="D59" s="531"/>
      <c r="E59" s="530"/>
      <c r="F59" s="531"/>
      <c r="G59" s="279"/>
    </row>
    <row r="60" spans="1:7">
      <c r="A60" s="318"/>
      <c r="B60" s="317"/>
      <c r="C60" s="530"/>
      <c r="D60" s="531"/>
      <c r="E60" s="530"/>
      <c r="F60" s="531"/>
      <c r="G60" s="279"/>
    </row>
    <row r="61" spans="1:7">
      <c r="A61" s="318"/>
      <c r="B61" s="317"/>
      <c r="C61" s="530"/>
      <c r="D61" s="531"/>
      <c r="E61" s="530"/>
      <c r="F61" s="531"/>
      <c r="G61" s="279"/>
    </row>
    <row r="62" spans="1:7">
      <c r="A62" s="318"/>
      <c r="B62" s="317"/>
      <c r="C62" s="530"/>
      <c r="D62" s="531"/>
      <c r="E62" s="530"/>
      <c r="F62" s="531"/>
      <c r="G62" s="279"/>
    </row>
    <row r="63" spans="1:7">
      <c r="A63" s="314" t="s">
        <v>577</v>
      </c>
      <c r="B63" s="320"/>
      <c r="C63" s="530"/>
      <c r="D63" s="531"/>
      <c r="E63" s="530"/>
      <c r="F63" s="531"/>
      <c r="G63" s="329" t="str">
        <f ca="1">nhood!E12</f>
        <v/>
      </c>
    </row>
    <row r="64" spans="1:7">
      <c r="A64" s="314" t="s">
        <v>574</v>
      </c>
      <c r="B64" s="320"/>
      <c r="C64" s="530"/>
      <c r="D64" s="531"/>
      <c r="E64" s="530"/>
      <c r="F64" s="531"/>
      <c r="G64" s="311"/>
    </row>
    <row r="65" spans="1:8">
      <c r="A65" s="314" t="s">
        <v>576</v>
      </c>
      <c r="B65" s="320"/>
      <c r="C65" s="536" t="str">
        <f>IF(C66*0.1&lt;C64,"Exceed 10% Rule","")</f>
        <v/>
      </c>
      <c r="D65" s="537"/>
      <c r="E65" s="536" t="str">
        <f>IF(E66*0.1&lt;E64,"Exceed 10% Rule","")</f>
        <v/>
      </c>
      <c r="F65" s="537"/>
      <c r="G65" s="321" t="str">
        <f>IF(G66*0.1&lt;G64,"Exceed 10% Rule","")</f>
        <v/>
      </c>
    </row>
    <row r="66" spans="1:8">
      <c r="A66" s="325" t="s">
        <v>361</v>
      </c>
      <c r="B66" s="150"/>
      <c r="C66" s="561">
        <f>SUM(C58:C64)</f>
        <v>0</v>
      </c>
      <c r="D66" s="562"/>
      <c r="E66" s="561">
        <f>SUM(E58:E64)</f>
        <v>0</v>
      </c>
      <c r="F66" s="562"/>
      <c r="G66" s="324">
        <f>SUM(G58:G64)</f>
        <v>0</v>
      </c>
    </row>
    <row r="67" spans="1:8">
      <c r="A67" s="149" t="s">
        <v>463</v>
      </c>
      <c r="B67" s="150"/>
      <c r="C67" s="545">
        <f>C56-C66</f>
        <v>0</v>
      </c>
      <c r="D67" s="546"/>
      <c r="E67" s="545">
        <f>E56-E66</f>
        <v>0</v>
      </c>
      <c r="F67" s="546"/>
      <c r="G67" s="313" t="s">
        <v>658</v>
      </c>
    </row>
    <row r="68" spans="1:8">
      <c r="A68" s="191" t="str">
        <f>CONCATENATE("",G1-2,"/",G1-1," Budget Authority Amount:")</f>
        <v>2011/2012 Budget Authority Amount:</v>
      </c>
      <c r="B68" s="332">
        <f ca="1">inputOth!B54</f>
        <v>0</v>
      </c>
      <c r="C68" s="136">
        <f ca="1">inputPrYr!D22</f>
        <v>0</v>
      </c>
      <c r="D68" s="538" t="s">
        <v>610</v>
      </c>
      <c r="E68" s="539"/>
      <c r="F68" s="540"/>
      <c r="G68" s="279"/>
      <c r="H68" s="333" t="str">
        <f>IF(G66/0.95-G66&lt;G68,"Exceeds 5%","")</f>
        <v/>
      </c>
    </row>
    <row r="69" spans="1:8">
      <c r="A69" s="191"/>
      <c r="B69" s="334" t="str">
        <f>IF(C66&gt;B68,"See Tab A","")</f>
        <v/>
      </c>
      <c r="C69" s="334" t="str">
        <f>IF(E66&gt;C68,"See Tab C","")</f>
        <v/>
      </c>
      <c r="D69" s="133"/>
      <c r="E69" s="541" t="s">
        <v>611</v>
      </c>
      <c r="F69" s="542"/>
      <c r="G69" s="284">
        <f>G66+G68</f>
        <v>0</v>
      </c>
    </row>
    <row r="70" spans="1:8">
      <c r="A70" s="191"/>
      <c r="B70" s="334" t="str">
        <f>IF(C67&lt;0,"See Tab B","")</f>
        <v/>
      </c>
      <c r="C70" s="442" t="str">
        <f>IF(E67&lt;0,"See Tab D","")</f>
        <v/>
      </c>
      <c r="D70" s="133"/>
      <c r="E70" s="541" t="s">
        <v>363</v>
      </c>
      <c r="F70" s="542"/>
      <c r="G70" s="329">
        <f>IF(G69-G56&gt;0,G69-G56,0)</f>
        <v>0</v>
      </c>
    </row>
    <row r="71" spans="1:8">
      <c r="A71" s="209"/>
      <c r="B71" s="133"/>
      <c r="C71" s="133"/>
      <c r="D71" s="534" t="s">
        <v>612</v>
      </c>
      <c r="E71" s="535"/>
      <c r="F71" s="335">
        <f ca="1">inputOth!$E$42</f>
        <v>0</v>
      </c>
      <c r="G71" s="284">
        <f>ROUND(IF(F71&gt;0,(G70*F71),0),0)</f>
        <v>0</v>
      </c>
    </row>
    <row r="72" spans="1:8">
      <c r="A72" s="133"/>
      <c r="B72" s="133"/>
      <c r="C72" s="558" t="str">
        <f>CONCATENATE("Amount of  ",$G$1-1," Ad Valorem Tax")</f>
        <v>Amount of  2012 Ad Valorem Tax</v>
      </c>
      <c r="D72" s="559"/>
      <c r="E72" s="559"/>
      <c r="F72" s="560"/>
      <c r="G72" s="329">
        <f>G70+G71</f>
        <v>0</v>
      </c>
    </row>
    <row r="73" spans="1:8">
      <c r="A73" s="209" t="s">
        <v>344</v>
      </c>
      <c r="B73" s="338"/>
      <c r="C73" s="133"/>
      <c r="D73" s="133"/>
      <c r="E73" s="133"/>
      <c r="F73" s="133"/>
      <c r="G73" s="133"/>
    </row>
    <row r="74" spans="1:8">
      <c r="A74" s="187"/>
      <c r="B74" s="187"/>
    </row>
  </sheetData>
  <sheetProtection sheet="1" objects="1" scenarios="1"/>
  <mergeCells count="126">
    <mergeCell ref="C9:D9"/>
    <mergeCell ref="C39:D39"/>
    <mergeCell ref="C30:D30"/>
    <mergeCell ref="C31:D31"/>
    <mergeCell ref="C32:D32"/>
    <mergeCell ref="C10:D10"/>
    <mergeCell ref="C11:D11"/>
    <mergeCell ref="C12:D12"/>
    <mergeCell ref="C13:D13"/>
    <mergeCell ref="C14:D14"/>
    <mergeCell ref="E4:F4"/>
    <mergeCell ref="E5:F5"/>
    <mergeCell ref="E8:F8"/>
    <mergeCell ref="C7:D7"/>
    <mergeCell ref="C8:D8"/>
    <mergeCell ref="E6:F6"/>
    <mergeCell ref="E7:F7"/>
    <mergeCell ref="C50:D50"/>
    <mergeCell ref="C4:D4"/>
    <mergeCell ref="C5:D5"/>
    <mergeCell ref="C6:D6"/>
    <mergeCell ref="C17:D17"/>
    <mergeCell ref="C16:D16"/>
    <mergeCell ref="C23:D23"/>
    <mergeCell ref="C18:D18"/>
    <mergeCell ref="C19:D19"/>
    <mergeCell ref="C21:D21"/>
    <mergeCell ref="E9:F9"/>
    <mergeCell ref="E10:F10"/>
    <mergeCell ref="E18:F18"/>
    <mergeCell ref="E19:F19"/>
    <mergeCell ref="E16:F16"/>
    <mergeCell ref="E11:F11"/>
    <mergeCell ref="E12:F12"/>
    <mergeCell ref="E13:F13"/>
    <mergeCell ref="C45:D45"/>
    <mergeCell ref="C46:D46"/>
    <mergeCell ref="E26:F26"/>
    <mergeCell ref="E27:F27"/>
    <mergeCell ref="E45:F45"/>
    <mergeCell ref="E41:F41"/>
    <mergeCell ref="E42:F42"/>
    <mergeCell ref="E39:F39"/>
    <mergeCell ref="E40:F40"/>
    <mergeCell ref="C25:D25"/>
    <mergeCell ref="C29:D29"/>
    <mergeCell ref="C27:D27"/>
    <mergeCell ref="C28:D28"/>
    <mergeCell ref="E22:F22"/>
    <mergeCell ref="E23:F23"/>
    <mergeCell ref="E28:F28"/>
    <mergeCell ref="C22:D22"/>
    <mergeCell ref="E25:F25"/>
    <mergeCell ref="E17:F17"/>
    <mergeCell ref="C20:D20"/>
    <mergeCell ref="E20:F20"/>
    <mergeCell ref="E21:F21"/>
    <mergeCell ref="C40:D40"/>
    <mergeCell ref="E67:F67"/>
    <mergeCell ref="C64:D64"/>
    <mergeCell ref="C65:D65"/>
    <mergeCell ref="C66:D66"/>
    <mergeCell ref="C67:D67"/>
    <mergeCell ref="E64:F64"/>
    <mergeCell ref="E65:F65"/>
    <mergeCell ref="E66:F66"/>
    <mergeCell ref="C15:D15"/>
    <mergeCell ref="E14:F14"/>
    <mergeCell ref="E15:F15"/>
    <mergeCell ref="E50:F50"/>
    <mergeCell ref="C24:D24"/>
    <mergeCell ref="E24:F24"/>
    <mergeCell ref="E44:F44"/>
    <mergeCell ref="C41:D41"/>
    <mergeCell ref="C44:D44"/>
    <mergeCell ref="C47:D47"/>
    <mergeCell ref="C26:D26"/>
    <mergeCell ref="E49:F49"/>
    <mergeCell ref="E47:F47"/>
    <mergeCell ref="E43:F43"/>
    <mergeCell ref="E29:F29"/>
    <mergeCell ref="E30:F30"/>
    <mergeCell ref="E31:F31"/>
    <mergeCell ref="E32:F32"/>
    <mergeCell ref="E48:F48"/>
    <mergeCell ref="C42:D42"/>
    <mergeCell ref="D33:F33"/>
    <mergeCell ref="E34:F34"/>
    <mergeCell ref="E35:F35"/>
    <mergeCell ref="D36:E36"/>
    <mergeCell ref="E61:F61"/>
    <mergeCell ref="E60:F60"/>
    <mergeCell ref="E54:F54"/>
    <mergeCell ref="C43:D43"/>
    <mergeCell ref="C49:D49"/>
    <mergeCell ref="C55:D55"/>
    <mergeCell ref="C63:D63"/>
    <mergeCell ref="E58:F58"/>
    <mergeCell ref="E56:F56"/>
    <mergeCell ref="E57:F57"/>
    <mergeCell ref="C51:D51"/>
    <mergeCell ref="C52:D52"/>
    <mergeCell ref="E51:F51"/>
    <mergeCell ref="C53:D53"/>
    <mergeCell ref="C54:D54"/>
    <mergeCell ref="E62:F62"/>
    <mergeCell ref="E59:F59"/>
    <mergeCell ref="E55:F55"/>
    <mergeCell ref="C72:F72"/>
    <mergeCell ref="C37:F37"/>
    <mergeCell ref="D68:F68"/>
    <mergeCell ref="E69:F69"/>
    <mergeCell ref="E70:F70"/>
    <mergeCell ref="D71:E71"/>
    <mergeCell ref="C61:D61"/>
    <mergeCell ref="C62:D62"/>
    <mergeCell ref="C48:D48"/>
    <mergeCell ref="E46:F46"/>
    <mergeCell ref="E63:F63"/>
    <mergeCell ref="E52:F52"/>
    <mergeCell ref="C58:D58"/>
    <mergeCell ref="C59:D59"/>
    <mergeCell ref="C60:D60"/>
    <mergeCell ref="C56:D56"/>
    <mergeCell ref="C57:D57"/>
    <mergeCell ref="E53:F53"/>
  </mergeCells>
  <phoneticPr fontId="0" type="noConversion"/>
  <conditionalFormatting sqref="G68">
    <cfRule type="cellIs" dxfId="111" priority="3" stopIfTrue="1" operator="greaterThan">
      <formula>$G$66/0.95-$G$66</formula>
    </cfRule>
  </conditionalFormatting>
  <conditionalFormatting sqref="C64:D64">
    <cfRule type="cellIs" dxfId="110" priority="4" stopIfTrue="1" operator="greaterThan">
      <formula>$C$66*0.1</formula>
    </cfRule>
  </conditionalFormatting>
  <conditionalFormatting sqref="E64:F64">
    <cfRule type="cellIs" dxfId="109" priority="5" stopIfTrue="1" operator="greaterThan">
      <formula>$E$66*0.1</formula>
    </cfRule>
  </conditionalFormatting>
  <conditionalFormatting sqref="G64">
    <cfRule type="cellIs" dxfId="108" priority="6" stopIfTrue="1" operator="greaterThan">
      <formula>$G$66*0.1</formula>
    </cfRule>
  </conditionalFormatting>
  <conditionalFormatting sqref="C53:D53">
    <cfRule type="cellIs" dxfId="107" priority="7" stopIfTrue="1" operator="greaterThan">
      <formula>$C$55*0.1</formula>
    </cfRule>
  </conditionalFormatting>
  <conditionalFormatting sqref="E53:F53">
    <cfRule type="cellIs" dxfId="106" priority="8" stopIfTrue="1" operator="greaterThan">
      <formula>$E$55*0.1</formula>
    </cfRule>
  </conditionalFormatting>
  <conditionalFormatting sqref="G33">
    <cfRule type="cellIs" dxfId="105" priority="9" stopIfTrue="1" operator="greaterThan">
      <formula>$G$31/0.95-$G$31</formula>
    </cfRule>
  </conditionalFormatting>
  <conditionalFormatting sqref="C29:D29">
    <cfRule type="cellIs" dxfId="104" priority="10" stopIfTrue="1" operator="greaterThan">
      <formula>$C$31*0.1</formula>
    </cfRule>
  </conditionalFormatting>
  <conditionalFormatting sqref="E29:F29">
    <cfRule type="cellIs" dxfId="103" priority="11" stopIfTrue="1" operator="greaterThan">
      <formula>$E$31*0.1</formula>
    </cfRule>
  </conditionalFormatting>
  <conditionalFormatting sqref="G29">
    <cfRule type="cellIs" dxfId="102" priority="12" stopIfTrue="1" operator="greaterThan">
      <formula>$G$31*0.1</formula>
    </cfRule>
  </conditionalFormatting>
  <conditionalFormatting sqref="C18:D18">
    <cfRule type="cellIs" dxfId="101" priority="13" stopIfTrue="1" operator="greaterThan">
      <formula>$C$20*0.1</formula>
    </cfRule>
  </conditionalFormatting>
  <conditionalFormatting sqref="E18:F18">
    <cfRule type="cellIs" dxfId="100" priority="14" stopIfTrue="1" operator="greaterThan">
      <formula>$E$20*0.1</formula>
    </cfRule>
  </conditionalFormatting>
  <conditionalFormatting sqref="G53">
    <cfRule type="cellIs" dxfId="99" priority="15" stopIfTrue="1" operator="greaterThan">
      <formula>$G$55*0.1+$G$72</formula>
    </cfRule>
  </conditionalFormatting>
  <conditionalFormatting sqref="G18">
    <cfRule type="cellIs" dxfId="98" priority="16" stopIfTrue="1" operator="greaterThan">
      <formula>$G$20*0.1+$G$37</formula>
    </cfRule>
  </conditionalFormatting>
  <conditionalFormatting sqref="C67:D67 C32:D32">
    <cfRule type="cellIs" dxfId="97" priority="17" stopIfTrue="1" operator="lessThan">
      <formula>0</formula>
    </cfRule>
  </conditionalFormatting>
  <conditionalFormatting sqref="C66:D66">
    <cfRule type="cellIs" dxfId="96" priority="18" stopIfTrue="1" operator="greaterThan">
      <formula>$B$68</formula>
    </cfRule>
  </conditionalFormatting>
  <conditionalFormatting sqref="E66:F66">
    <cfRule type="cellIs" dxfId="95" priority="19" stopIfTrue="1" operator="greaterThan">
      <formula>$C$68</formula>
    </cfRule>
  </conditionalFormatting>
  <conditionalFormatting sqref="C31:D31">
    <cfRule type="cellIs" dxfId="94" priority="20" stopIfTrue="1" operator="greaterThan">
      <formula>$B$33</formula>
    </cfRule>
  </conditionalFormatting>
  <conditionalFormatting sqref="E31:F31">
    <cfRule type="cellIs" dxfId="93" priority="21" stopIfTrue="1" operator="greaterThan">
      <formula>$C$33</formula>
    </cfRule>
  </conditionalFormatting>
  <conditionalFormatting sqref="E32:F32">
    <cfRule type="cellIs" dxfId="92" priority="2" stopIfTrue="1" operator="lessThan">
      <formula>0</formula>
    </cfRule>
  </conditionalFormatting>
  <conditionalFormatting sqref="E67:F67">
    <cfRule type="cellIs" dxfId="91" priority="1" stopIfTrue="1" operator="lessThan">
      <formula>0</formula>
    </cfRule>
  </conditionalFormatting>
  <pageMargins left="0.9" right="0.9" top="0.96" bottom="0.5" header="0.41" footer="0.3"/>
  <pageSetup scale="67" orientation="portrait" blackAndWhite="1" horizontalDpi="4294967292" verticalDpi="96" r:id="rId1"/>
  <headerFooter alignWithMargins="0">
    <oddHeader xml:space="preserve">&amp;RState of Kansas
Township
</oddHeader>
    <oddFooter>&amp;Lrevised 8/25/09</oddFooter>
  </headerFooter>
</worksheet>
</file>

<file path=xl/worksheets/sheet12.xml><?xml version="1.0" encoding="utf-8"?>
<worksheet xmlns="http://schemas.openxmlformats.org/spreadsheetml/2006/main" xmlns:r="http://schemas.openxmlformats.org/officeDocument/2006/relationships">
  <sheetPr>
    <pageSetUpPr fitToPage="1"/>
  </sheetPr>
  <dimension ref="A1:H74"/>
  <sheetViews>
    <sheetView workbookViewId="0">
      <selection activeCell="A69" sqref="A69:A70"/>
    </sheetView>
  </sheetViews>
  <sheetFormatPr defaultRowHeight="15.75"/>
  <cols>
    <col min="1" max="1" width="27.59765625" style="239" customWidth="1"/>
    <col min="2" max="2" width="9.5" style="239" customWidth="1"/>
    <col min="3" max="3" width="10.3984375" style="239" customWidth="1"/>
    <col min="4" max="4" width="5.69921875" style="239" customWidth="1"/>
    <col min="5" max="5" width="9.59765625" style="239" customWidth="1"/>
    <col min="6" max="6" width="6.59765625" style="239" customWidth="1"/>
    <col min="7" max="7" width="13.69921875" style="239" customWidth="1"/>
    <col min="8" max="16384" width="8.796875" style="239"/>
  </cols>
  <sheetData>
    <row r="1" spans="1:7">
      <c r="A1" s="193" t="str">
        <f ca="1">inputPrYr!D2</f>
        <v>Winterset Township</v>
      </c>
      <c r="B1" s="141" t="s">
        <v>372</v>
      </c>
      <c r="C1" s="133"/>
      <c r="D1" s="133"/>
      <c r="E1" s="133"/>
      <c r="F1" s="133"/>
      <c r="G1" s="208">
        <f ca="1">inputPrYr!D5</f>
        <v>2013</v>
      </c>
    </row>
    <row r="2" spans="1:7">
      <c r="A2" s="200" t="s">
        <v>413</v>
      </c>
      <c r="B2" s="133"/>
      <c r="C2" s="133"/>
      <c r="D2" s="133"/>
      <c r="E2" s="230"/>
      <c r="F2" s="230"/>
      <c r="G2" s="135"/>
    </row>
    <row r="3" spans="1:7">
      <c r="A3" s="133"/>
      <c r="B3" s="342"/>
      <c r="C3" s="139"/>
      <c r="D3" s="139"/>
      <c r="E3" s="139"/>
      <c r="F3" s="139"/>
      <c r="G3" s="139"/>
    </row>
    <row r="4" spans="1:7">
      <c r="A4" s="141" t="s">
        <v>345</v>
      </c>
      <c r="B4" s="140"/>
      <c r="C4" s="550" t="s">
        <v>346</v>
      </c>
      <c r="D4" s="551"/>
      <c r="E4" s="556" t="s">
        <v>347</v>
      </c>
      <c r="F4" s="557"/>
      <c r="G4" s="143" t="s">
        <v>348</v>
      </c>
    </row>
    <row r="5" spans="1:7">
      <c r="A5" s="232">
        <f ca="1">inputPrYr!B23</f>
        <v>0</v>
      </c>
      <c r="B5" s="309"/>
      <c r="C5" s="552" t="str">
        <f ca="1">gen!C5</f>
        <v>Actual 2011</v>
      </c>
      <c r="D5" s="553"/>
      <c r="E5" s="552" t="str">
        <f ca="1">gen!E5</f>
        <v>Estimate 2012</v>
      </c>
      <c r="F5" s="553"/>
      <c r="G5" s="148" t="str">
        <f ca="1">gen!G5</f>
        <v>Year 2013</v>
      </c>
    </row>
    <row r="6" spans="1:7">
      <c r="A6" s="149" t="s">
        <v>462</v>
      </c>
      <c r="B6" s="150"/>
      <c r="C6" s="530"/>
      <c r="D6" s="531"/>
      <c r="E6" s="554">
        <f>C32</f>
        <v>0</v>
      </c>
      <c r="F6" s="555"/>
      <c r="G6" s="284">
        <f>E32</f>
        <v>0</v>
      </c>
    </row>
    <row r="7" spans="1:7">
      <c r="A7" s="149" t="s">
        <v>464</v>
      </c>
      <c r="B7" s="150"/>
      <c r="C7" s="554"/>
      <c r="D7" s="555"/>
      <c r="E7" s="554"/>
      <c r="F7" s="555"/>
      <c r="G7" s="313"/>
    </row>
    <row r="8" spans="1:7">
      <c r="A8" s="149" t="s">
        <v>351</v>
      </c>
      <c r="B8" s="150"/>
      <c r="C8" s="530"/>
      <c r="D8" s="531"/>
      <c r="E8" s="554">
        <f ca="1">inputPrYr!E23</f>
        <v>0</v>
      </c>
      <c r="F8" s="555"/>
      <c r="G8" s="313" t="s">
        <v>658</v>
      </c>
    </row>
    <row r="9" spans="1:7">
      <c r="A9" s="149" t="s">
        <v>352</v>
      </c>
      <c r="B9" s="150"/>
      <c r="C9" s="530"/>
      <c r="D9" s="531"/>
      <c r="E9" s="530"/>
      <c r="F9" s="531"/>
      <c r="G9" s="279"/>
    </row>
    <row r="10" spans="1:7">
      <c r="A10" s="149" t="s">
        <v>353</v>
      </c>
      <c r="B10" s="150"/>
      <c r="C10" s="530"/>
      <c r="D10" s="531"/>
      <c r="E10" s="530"/>
      <c r="F10" s="531"/>
      <c r="G10" s="284">
        <f ca="1">mvalloc!G18</f>
        <v>0</v>
      </c>
    </row>
    <row r="11" spans="1:7">
      <c r="A11" s="149" t="s">
        <v>354</v>
      </c>
      <c r="B11" s="150"/>
      <c r="C11" s="530"/>
      <c r="D11" s="531"/>
      <c r="E11" s="530"/>
      <c r="F11" s="531"/>
      <c r="G11" s="284">
        <f ca="1">mvalloc!I18</f>
        <v>0</v>
      </c>
    </row>
    <row r="12" spans="1:7">
      <c r="A12" s="149" t="s">
        <v>443</v>
      </c>
      <c r="B12" s="150"/>
      <c r="C12" s="530"/>
      <c r="D12" s="531"/>
      <c r="E12" s="530"/>
      <c r="F12" s="531"/>
      <c r="G12" s="284">
        <f ca="1">mvalloc!J18</f>
        <v>0</v>
      </c>
    </row>
    <row r="13" spans="1:7">
      <c r="A13" s="149" t="s">
        <v>508</v>
      </c>
      <c r="B13" s="150"/>
      <c r="C13" s="530"/>
      <c r="D13" s="531"/>
      <c r="E13" s="530"/>
      <c r="F13" s="531"/>
      <c r="G13" s="284">
        <f ca="1">mvalloc!K18</f>
        <v>0</v>
      </c>
    </row>
    <row r="14" spans="1:7">
      <c r="A14" s="318"/>
      <c r="B14" s="317"/>
      <c r="C14" s="530"/>
      <c r="D14" s="531"/>
      <c r="E14" s="530"/>
      <c r="F14" s="531"/>
      <c r="G14" s="279"/>
    </row>
    <row r="15" spans="1:7">
      <c r="A15" s="318"/>
      <c r="B15" s="317"/>
      <c r="C15" s="530"/>
      <c r="D15" s="531"/>
      <c r="E15" s="530"/>
      <c r="F15" s="531"/>
      <c r="G15" s="279"/>
    </row>
    <row r="16" spans="1:7">
      <c r="A16" s="318"/>
      <c r="B16" s="317"/>
      <c r="C16" s="530"/>
      <c r="D16" s="531"/>
      <c r="E16" s="530"/>
      <c r="F16" s="531"/>
      <c r="G16" s="279"/>
    </row>
    <row r="17" spans="1:7">
      <c r="A17" s="318" t="s">
        <v>357</v>
      </c>
      <c r="B17" s="317"/>
      <c r="C17" s="530"/>
      <c r="D17" s="531"/>
      <c r="E17" s="530"/>
      <c r="F17" s="531"/>
      <c r="G17" s="279"/>
    </row>
    <row r="18" spans="1:7">
      <c r="A18" s="319" t="s">
        <v>574</v>
      </c>
      <c r="B18" s="320"/>
      <c r="C18" s="530"/>
      <c r="D18" s="531"/>
      <c r="E18" s="530"/>
      <c r="F18" s="531"/>
      <c r="G18" s="311"/>
    </row>
    <row r="19" spans="1:7">
      <c r="A19" s="319" t="s">
        <v>575</v>
      </c>
      <c r="B19" s="320"/>
      <c r="C19" s="536" t="str">
        <f>IF(C20*0.1&lt;C18,"Exceed 10% Rule","")</f>
        <v/>
      </c>
      <c r="D19" s="537"/>
      <c r="E19" s="536" t="str">
        <f>IF(E20*0.1&lt;E18,"Exceed 10% Rule","")</f>
        <v/>
      </c>
      <c r="F19" s="537"/>
      <c r="G19" s="321" t="str">
        <f>IF(G20*0.1+G37&lt;G18,"Exceed 10% Rule","")</f>
        <v/>
      </c>
    </row>
    <row r="20" spans="1:7">
      <c r="A20" s="322" t="s">
        <v>358</v>
      </c>
      <c r="B20" s="150"/>
      <c r="C20" s="561">
        <f>SUM(C8:C18)</f>
        <v>0</v>
      </c>
      <c r="D20" s="562"/>
      <c r="E20" s="561">
        <f>SUM(E8:E18)</f>
        <v>0</v>
      </c>
      <c r="F20" s="562"/>
      <c r="G20" s="324">
        <f>SUM(G8:G18)</f>
        <v>0</v>
      </c>
    </row>
    <row r="21" spans="1:7">
      <c r="A21" s="325" t="s">
        <v>359</v>
      </c>
      <c r="B21" s="150"/>
      <c r="C21" s="561">
        <f>C20+C6</f>
        <v>0</v>
      </c>
      <c r="D21" s="562"/>
      <c r="E21" s="561">
        <f>E20+E6</f>
        <v>0</v>
      </c>
      <c r="F21" s="562"/>
      <c r="G21" s="324">
        <f>G20+G6</f>
        <v>0</v>
      </c>
    </row>
    <row r="22" spans="1:7">
      <c r="A22" s="149" t="s">
        <v>360</v>
      </c>
      <c r="B22" s="150"/>
      <c r="C22" s="554"/>
      <c r="D22" s="555"/>
      <c r="E22" s="554"/>
      <c r="F22" s="555"/>
      <c r="G22" s="284"/>
    </row>
    <row r="23" spans="1:7">
      <c r="A23" s="318" t="s">
        <v>470</v>
      </c>
      <c r="B23" s="317"/>
      <c r="C23" s="530"/>
      <c r="D23" s="531"/>
      <c r="E23" s="530"/>
      <c r="F23" s="531"/>
      <c r="G23" s="279"/>
    </row>
    <row r="24" spans="1:7">
      <c r="A24" s="318" t="s">
        <v>446</v>
      </c>
      <c r="B24" s="317"/>
      <c r="C24" s="530"/>
      <c r="D24" s="531"/>
      <c r="E24" s="530"/>
      <c r="F24" s="531"/>
      <c r="G24" s="279"/>
    </row>
    <row r="25" spans="1:7">
      <c r="A25" s="310"/>
      <c r="B25" s="317"/>
      <c r="C25" s="530"/>
      <c r="D25" s="531"/>
      <c r="E25" s="530"/>
      <c r="F25" s="531"/>
      <c r="G25" s="279"/>
    </row>
    <row r="26" spans="1:7">
      <c r="A26" s="318"/>
      <c r="B26" s="317"/>
      <c r="C26" s="530"/>
      <c r="D26" s="531"/>
      <c r="E26" s="530"/>
      <c r="F26" s="531"/>
      <c r="G26" s="279"/>
    </row>
    <row r="27" spans="1:7">
      <c r="A27" s="318"/>
      <c r="B27" s="317"/>
      <c r="C27" s="530"/>
      <c r="D27" s="531"/>
      <c r="E27" s="530"/>
      <c r="F27" s="531"/>
      <c r="G27" s="279"/>
    </row>
    <row r="28" spans="1:7">
      <c r="A28" s="314" t="s">
        <v>577</v>
      </c>
      <c r="B28" s="320"/>
      <c r="C28" s="530"/>
      <c r="D28" s="531"/>
      <c r="E28" s="530"/>
      <c r="F28" s="531"/>
      <c r="G28" s="329" t="str">
        <f ca="1">nhood!E13</f>
        <v/>
      </c>
    </row>
    <row r="29" spans="1:7">
      <c r="A29" s="314" t="s">
        <v>574</v>
      </c>
      <c r="B29" s="320"/>
      <c r="C29" s="530"/>
      <c r="D29" s="531"/>
      <c r="E29" s="530"/>
      <c r="F29" s="531"/>
      <c r="G29" s="311"/>
    </row>
    <row r="30" spans="1:7">
      <c r="A30" s="314" t="s">
        <v>576</v>
      </c>
      <c r="B30" s="320"/>
      <c r="C30" s="536" t="str">
        <f>IF(C31*0.1&lt;C29,"Exceed 10% Rule","")</f>
        <v/>
      </c>
      <c r="D30" s="537"/>
      <c r="E30" s="536" t="str">
        <f>IF(E31*0.1&lt;E29,"Exceed 10% Rule","")</f>
        <v/>
      </c>
      <c r="F30" s="537"/>
      <c r="G30" s="321" t="str">
        <f>IF(G31*0.1&lt;G29,"Exceed 10% Rule","")</f>
        <v/>
      </c>
    </row>
    <row r="31" spans="1:7">
      <c r="A31" s="325" t="s">
        <v>361</v>
      </c>
      <c r="B31" s="150"/>
      <c r="C31" s="561">
        <f>SUM(C23:C29)</f>
        <v>0</v>
      </c>
      <c r="D31" s="562"/>
      <c r="E31" s="561">
        <f>SUM(E23:E29)</f>
        <v>0</v>
      </c>
      <c r="F31" s="562"/>
      <c r="G31" s="324">
        <f>SUM(G23:G29)</f>
        <v>0</v>
      </c>
    </row>
    <row r="32" spans="1:7">
      <c r="A32" s="149" t="s">
        <v>463</v>
      </c>
      <c r="B32" s="150"/>
      <c r="C32" s="545">
        <f>C21-C31</f>
        <v>0</v>
      </c>
      <c r="D32" s="546"/>
      <c r="E32" s="545">
        <f>E21-E31</f>
        <v>0</v>
      </c>
      <c r="F32" s="546"/>
      <c r="G32" s="313" t="s">
        <v>658</v>
      </c>
    </row>
    <row r="33" spans="1:8">
      <c r="A33" s="191" t="str">
        <f>CONCATENATE("",G1-2,"/",G1-1," Budget Authority Amount:")</f>
        <v>2011/2012 Budget Authority Amount:</v>
      </c>
      <c r="B33" s="332">
        <f ca="1">inputOth!B55</f>
        <v>0</v>
      </c>
      <c r="C33" s="136">
        <f ca="1">inputPrYr!D23</f>
        <v>0</v>
      </c>
      <c r="D33" s="538" t="s">
        <v>610</v>
      </c>
      <c r="E33" s="539"/>
      <c r="F33" s="540"/>
      <c r="G33" s="279"/>
      <c r="H33" s="333" t="str">
        <f>IF(G31/0.95-G31&lt;G33,"Exceeds 5%","")</f>
        <v/>
      </c>
    </row>
    <row r="34" spans="1:8">
      <c r="A34" s="191"/>
      <c r="B34" s="334" t="str">
        <f>IF(C31&gt;B33,"See Tab A","")</f>
        <v/>
      </c>
      <c r="C34" s="334" t="str">
        <f>IF(E31&gt;C33,"See Tab C","")</f>
        <v/>
      </c>
      <c r="D34" s="133"/>
      <c r="E34" s="541" t="s">
        <v>611</v>
      </c>
      <c r="F34" s="542"/>
      <c r="G34" s="284">
        <f>G31+G33</f>
        <v>0</v>
      </c>
    </row>
    <row r="35" spans="1:8">
      <c r="A35" s="191"/>
      <c r="B35" s="334" t="str">
        <f>IF(C32&lt;0,"See Tab B","")</f>
        <v/>
      </c>
      <c r="C35" s="442" t="str">
        <f>IF(E32&lt;0,"See Tab D","")</f>
        <v/>
      </c>
      <c r="D35" s="133"/>
      <c r="E35" s="541" t="s">
        <v>363</v>
      </c>
      <c r="F35" s="542"/>
      <c r="G35" s="329">
        <f>IF(G34-G21&gt;0,G34-G21,0)</f>
        <v>0</v>
      </c>
    </row>
    <row r="36" spans="1:8">
      <c r="A36" s="209"/>
      <c r="B36" s="133"/>
      <c r="C36" s="133"/>
      <c r="D36" s="534" t="s">
        <v>612</v>
      </c>
      <c r="E36" s="535"/>
      <c r="F36" s="335">
        <f ca="1">inputOth!$E$42</f>
        <v>0</v>
      </c>
      <c r="G36" s="284">
        <f>ROUND(IF(F36&gt;0,(G35*F36),0),0)</f>
        <v>0</v>
      </c>
    </row>
    <row r="37" spans="1:8">
      <c r="A37" s="133"/>
      <c r="B37" s="133"/>
      <c r="C37" s="558" t="str">
        <f>CONCATENATE("Amount of  ",$G$1-1," Ad Valorem Tax")</f>
        <v>Amount of  2012 Ad Valorem Tax</v>
      </c>
      <c r="D37" s="559"/>
      <c r="E37" s="559"/>
      <c r="F37" s="560"/>
      <c r="G37" s="329">
        <f>G35+G36</f>
        <v>0</v>
      </c>
    </row>
    <row r="38" spans="1:8">
      <c r="A38" s="141" t="s">
        <v>345</v>
      </c>
      <c r="B38" s="342"/>
      <c r="C38" s="139"/>
      <c r="D38" s="139"/>
      <c r="E38" s="139"/>
      <c r="F38" s="139"/>
      <c r="G38" s="139"/>
    </row>
    <row r="39" spans="1:8">
      <c r="A39" s="133"/>
      <c r="B39" s="140"/>
      <c r="C39" s="550" t="s">
        <v>346</v>
      </c>
      <c r="D39" s="551"/>
      <c r="E39" s="556" t="s">
        <v>347</v>
      </c>
      <c r="F39" s="557"/>
      <c r="G39" s="143" t="s">
        <v>348</v>
      </c>
    </row>
    <row r="40" spans="1:8">
      <c r="A40" s="231">
        <f ca="1">inputPrYr!B24</f>
        <v>0</v>
      </c>
      <c r="B40" s="309"/>
      <c r="C40" s="552" t="str">
        <f>C5</f>
        <v>Actual 2011</v>
      </c>
      <c r="D40" s="553"/>
      <c r="E40" s="552" t="str">
        <f>E5</f>
        <v>Estimate 2012</v>
      </c>
      <c r="F40" s="553"/>
      <c r="G40" s="148" t="str">
        <f>G5</f>
        <v>Year 2013</v>
      </c>
    </row>
    <row r="41" spans="1:8">
      <c r="A41" s="149" t="s">
        <v>462</v>
      </c>
      <c r="B41" s="150"/>
      <c r="C41" s="530"/>
      <c r="D41" s="531"/>
      <c r="E41" s="554">
        <f>C67</f>
        <v>0</v>
      </c>
      <c r="F41" s="555"/>
      <c r="G41" s="284">
        <f>E67</f>
        <v>0</v>
      </c>
    </row>
    <row r="42" spans="1:8">
      <c r="A42" s="149" t="s">
        <v>464</v>
      </c>
      <c r="B42" s="150"/>
      <c r="C42" s="554"/>
      <c r="D42" s="555"/>
      <c r="E42" s="554"/>
      <c r="F42" s="555"/>
      <c r="G42" s="313"/>
    </row>
    <row r="43" spans="1:8">
      <c r="A43" s="149" t="s">
        <v>351</v>
      </c>
      <c r="B43" s="150"/>
      <c r="C43" s="530"/>
      <c r="D43" s="531"/>
      <c r="E43" s="554">
        <f ca="1">inputPrYr!E24</f>
        <v>0</v>
      </c>
      <c r="F43" s="555"/>
      <c r="G43" s="313" t="s">
        <v>658</v>
      </c>
    </row>
    <row r="44" spans="1:8">
      <c r="A44" s="149" t="s">
        <v>352</v>
      </c>
      <c r="B44" s="150"/>
      <c r="C44" s="530"/>
      <c r="D44" s="531"/>
      <c r="E44" s="530"/>
      <c r="F44" s="531"/>
      <c r="G44" s="279"/>
    </row>
    <row r="45" spans="1:8">
      <c r="A45" s="149" t="s">
        <v>353</v>
      </c>
      <c r="B45" s="150"/>
      <c r="C45" s="530"/>
      <c r="D45" s="531"/>
      <c r="E45" s="530"/>
      <c r="F45" s="531"/>
      <c r="G45" s="284">
        <f ca="1">mvalloc!G19</f>
        <v>0</v>
      </c>
    </row>
    <row r="46" spans="1:8">
      <c r="A46" s="149" t="s">
        <v>354</v>
      </c>
      <c r="B46" s="150"/>
      <c r="C46" s="530"/>
      <c r="D46" s="531"/>
      <c r="E46" s="530"/>
      <c r="F46" s="531"/>
      <c r="G46" s="284">
        <f ca="1">mvalloc!I19</f>
        <v>0</v>
      </c>
    </row>
    <row r="47" spans="1:8">
      <c r="A47" s="149" t="s">
        <v>443</v>
      </c>
      <c r="B47" s="150"/>
      <c r="C47" s="530"/>
      <c r="D47" s="531"/>
      <c r="E47" s="530"/>
      <c r="F47" s="531"/>
      <c r="G47" s="284">
        <f ca="1">mvalloc!J19</f>
        <v>0</v>
      </c>
    </row>
    <row r="48" spans="1:8">
      <c r="A48" s="149" t="s">
        <v>508</v>
      </c>
      <c r="B48" s="150"/>
      <c r="C48" s="530"/>
      <c r="D48" s="531"/>
      <c r="E48" s="530"/>
      <c r="F48" s="531"/>
      <c r="G48" s="284">
        <f ca="1">mvalloc!K19</f>
        <v>0</v>
      </c>
    </row>
    <row r="49" spans="1:7">
      <c r="A49" s="316"/>
      <c r="B49" s="317"/>
      <c r="C49" s="530"/>
      <c r="D49" s="531"/>
      <c r="E49" s="530"/>
      <c r="F49" s="531"/>
      <c r="G49" s="279"/>
    </row>
    <row r="50" spans="1:7">
      <c r="A50" s="316"/>
      <c r="B50" s="317"/>
      <c r="C50" s="530"/>
      <c r="D50" s="531"/>
      <c r="E50" s="530"/>
      <c r="F50" s="531"/>
      <c r="G50" s="279"/>
    </row>
    <row r="51" spans="1:7">
      <c r="A51" s="318"/>
      <c r="B51" s="317"/>
      <c r="C51" s="530"/>
      <c r="D51" s="531"/>
      <c r="E51" s="530"/>
      <c r="F51" s="531"/>
      <c r="G51" s="279"/>
    </row>
    <row r="52" spans="1:7">
      <c r="A52" s="318" t="s">
        <v>357</v>
      </c>
      <c r="B52" s="317"/>
      <c r="C52" s="530"/>
      <c r="D52" s="531"/>
      <c r="E52" s="530"/>
      <c r="F52" s="531"/>
      <c r="G52" s="279"/>
    </row>
    <row r="53" spans="1:7">
      <c r="A53" s="319" t="s">
        <v>574</v>
      </c>
      <c r="B53" s="320"/>
      <c r="C53" s="530"/>
      <c r="D53" s="531"/>
      <c r="E53" s="530"/>
      <c r="F53" s="531"/>
      <c r="G53" s="311"/>
    </row>
    <row r="54" spans="1:7">
      <c r="A54" s="319" t="s">
        <v>575</v>
      </c>
      <c r="B54" s="320"/>
      <c r="C54" s="536" t="str">
        <f>IF(C55*0.1&lt;C53,"Exceed 10% Rule","")</f>
        <v/>
      </c>
      <c r="D54" s="537"/>
      <c r="E54" s="536" t="str">
        <f>IF(E55*0.1&lt;E53,"Exceed 10% Rule","")</f>
        <v/>
      </c>
      <c r="F54" s="537"/>
      <c r="G54" s="321" t="str">
        <f>IF(G55*0.1+G72&lt;G53,"Exceed 10% Rule","")</f>
        <v/>
      </c>
    </row>
    <row r="55" spans="1:7">
      <c r="A55" s="322" t="s">
        <v>358</v>
      </c>
      <c r="B55" s="150"/>
      <c r="C55" s="561">
        <f>SUM(C43:C53)</f>
        <v>0</v>
      </c>
      <c r="D55" s="562"/>
      <c r="E55" s="561">
        <f>SUM(E43:E53)</f>
        <v>0</v>
      </c>
      <c r="F55" s="562"/>
      <c r="G55" s="324">
        <f>SUM(G43:G53)</f>
        <v>0</v>
      </c>
    </row>
    <row r="56" spans="1:7">
      <c r="A56" s="325" t="s">
        <v>359</v>
      </c>
      <c r="B56" s="150"/>
      <c r="C56" s="561">
        <f>C55+C41</f>
        <v>0</v>
      </c>
      <c r="D56" s="562"/>
      <c r="E56" s="561">
        <f>E55+E41</f>
        <v>0</v>
      </c>
      <c r="F56" s="562"/>
      <c r="G56" s="324">
        <f>G55+G41</f>
        <v>0</v>
      </c>
    </row>
    <row r="57" spans="1:7">
      <c r="A57" s="149" t="s">
        <v>360</v>
      </c>
      <c r="B57" s="150"/>
      <c r="C57" s="554"/>
      <c r="D57" s="555"/>
      <c r="E57" s="554"/>
      <c r="F57" s="555"/>
      <c r="G57" s="284"/>
    </row>
    <row r="58" spans="1:7">
      <c r="A58" s="318" t="s">
        <v>470</v>
      </c>
      <c r="B58" s="317"/>
      <c r="C58" s="530"/>
      <c r="D58" s="531"/>
      <c r="E58" s="530"/>
      <c r="F58" s="531"/>
      <c r="G58" s="279"/>
    </row>
    <row r="59" spans="1:7">
      <c r="A59" s="318" t="s">
        <v>446</v>
      </c>
      <c r="B59" s="317"/>
      <c r="C59" s="530"/>
      <c r="D59" s="531"/>
      <c r="E59" s="530"/>
      <c r="F59" s="531"/>
      <c r="G59" s="279"/>
    </row>
    <row r="60" spans="1:7">
      <c r="A60" s="318"/>
      <c r="B60" s="317"/>
      <c r="C60" s="530"/>
      <c r="D60" s="531"/>
      <c r="E60" s="530"/>
      <c r="F60" s="531"/>
      <c r="G60" s="279"/>
    </row>
    <row r="61" spans="1:7">
      <c r="A61" s="318"/>
      <c r="B61" s="317"/>
      <c r="C61" s="530"/>
      <c r="D61" s="531"/>
      <c r="E61" s="530"/>
      <c r="F61" s="531"/>
      <c r="G61" s="279"/>
    </row>
    <row r="62" spans="1:7">
      <c r="A62" s="318"/>
      <c r="B62" s="317"/>
      <c r="C62" s="530"/>
      <c r="D62" s="531"/>
      <c r="E62" s="530"/>
      <c r="F62" s="531"/>
      <c r="G62" s="279"/>
    </row>
    <row r="63" spans="1:7">
      <c r="A63" s="314" t="s">
        <v>577</v>
      </c>
      <c r="B63" s="320"/>
      <c r="C63" s="530"/>
      <c r="D63" s="531"/>
      <c r="E63" s="530"/>
      <c r="F63" s="531"/>
      <c r="G63" s="329" t="str">
        <f ca="1">nhood!E14</f>
        <v/>
      </c>
    </row>
    <row r="64" spans="1:7">
      <c r="A64" s="314" t="s">
        <v>574</v>
      </c>
      <c r="B64" s="320"/>
      <c r="C64" s="530"/>
      <c r="D64" s="531"/>
      <c r="E64" s="530"/>
      <c r="F64" s="531"/>
      <c r="G64" s="311"/>
    </row>
    <row r="65" spans="1:8">
      <c r="A65" s="314" t="s">
        <v>576</v>
      </c>
      <c r="B65" s="320"/>
      <c r="C65" s="536" t="str">
        <f>IF(C66*0.1&lt;C64,"Exceed 10% Rule","")</f>
        <v/>
      </c>
      <c r="D65" s="537"/>
      <c r="E65" s="536" t="str">
        <f>IF(E66*0.1&lt;E64,"Exceed 10% Rule","")</f>
        <v/>
      </c>
      <c r="F65" s="537"/>
      <c r="G65" s="321" t="str">
        <f>IF(G66*0.1&lt;G64,"Exceed 10% Rule","")</f>
        <v/>
      </c>
    </row>
    <row r="66" spans="1:8">
      <c r="A66" s="325" t="s">
        <v>361</v>
      </c>
      <c r="B66" s="150"/>
      <c r="C66" s="561">
        <f>SUM(C58:C64)</f>
        <v>0</v>
      </c>
      <c r="D66" s="562"/>
      <c r="E66" s="561">
        <f>SUM(E58:E64)</f>
        <v>0</v>
      </c>
      <c r="F66" s="562"/>
      <c r="G66" s="324">
        <f>SUM(G58:G64)</f>
        <v>0</v>
      </c>
    </row>
    <row r="67" spans="1:8">
      <c r="A67" s="149" t="s">
        <v>463</v>
      </c>
      <c r="B67" s="150"/>
      <c r="C67" s="545">
        <f>C56-C66</f>
        <v>0</v>
      </c>
      <c r="D67" s="546"/>
      <c r="E67" s="545">
        <f>E56-E66</f>
        <v>0</v>
      </c>
      <c r="F67" s="546"/>
      <c r="G67" s="313" t="s">
        <v>658</v>
      </c>
    </row>
    <row r="68" spans="1:8">
      <c r="A68" s="191" t="str">
        <f>CONCATENATE("",G1-2,"/",G1-1," Budget Authority Amount:")</f>
        <v>2011/2012 Budget Authority Amount:</v>
      </c>
      <c r="B68" s="332">
        <f ca="1">inputOth!B56</f>
        <v>0</v>
      </c>
      <c r="C68" s="136">
        <f ca="1">inputPrYr!D24</f>
        <v>0</v>
      </c>
      <c r="D68" s="538" t="s">
        <v>610</v>
      </c>
      <c r="E68" s="539"/>
      <c r="F68" s="540"/>
      <c r="G68" s="279"/>
      <c r="H68" s="333" t="str">
        <f>IF(G66/0.95-G66&lt;G68,"Exceeds 5%","")</f>
        <v/>
      </c>
    </row>
    <row r="69" spans="1:8">
      <c r="A69" s="191"/>
      <c r="B69" s="334" t="str">
        <f>IF(C66&gt;B68,"See Tab A","")</f>
        <v/>
      </c>
      <c r="C69" s="334" t="str">
        <f>IF(E66&gt;C68,"See Tab C","")</f>
        <v/>
      </c>
      <c r="D69" s="133"/>
      <c r="E69" s="541" t="s">
        <v>611</v>
      </c>
      <c r="F69" s="542"/>
      <c r="G69" s="284">
        <f>G66+G68</f>
        <v>0</v>
      </c>
    </row>
    <row r="70" spans="1:8">
      <c r="A70" s="191"/>
      <c r="B70" s="334" t="str">
        <f>IF(C67&lt;0,"See Tab B","")</f>
        <v/>
      </c>
      <c r="C70" s="442" t="str">
        <f>IF(E67&lt;0,"See Tab D","")</f>
        <v/>
      </c>
      <c r="D70" s="133"/>
      <c r="E70" s="541" t="s">
        <v>363</v>
      </c>
      <c r="F70" s="542"/>
      <c r="G70" s="329">
        <f>IF(G69-G56&gt;0,G69-G56,0)</f>
        <v>0</v>
      </c>
    </row>
    <row r="71" spans="1:8">
      <c r="A71" s="209"/>
      <c r="B71" s="133"/>
      <c r="C71" s="133"/>
      <c r="D71" s="534" t="s">
        <v>612</v>
      </c>
      <c r="E71" s="535"/>
      <c r="F71" s="335">
        <f ca="1">inputOth!$E$42</f>
        <v>0</v>
      </c>
      <c r="G71" s="284">
        <f>ROUND(IF(F71&gt;0,(G70*F71),0),0)</f>
        <v>0</v>
      </c>
    </row>
    <row r="72" spans="1:8">
      <c r="A72" s="133"/>
      <c r="B72" s="133"/>
      <c r="C72" s="558" t="str">
        <f>CONCATENATE("Amount of  ",$G$1-1," Ad Valorem Tax")</f>
        <v>Amount of  2012 Ad Valorem Tax</v>
      </c>
      <c r="D72" s="559"/>
      <c r="E72" s="559"/>
      <c r="F72" s="560"/>
      <c r="G72" s="329">
        <f>G70+G71</f>
        <v>0</v>
      </c>
    </row>
    <row r="73" spans="1:8">
      <c r="A73" s="209" t="s">
        <v>344</v>
      </c>
      <c r="B73" s="367"/>
      <c r="C73" s="133"/>
      <c r="D73" s="133"/>
      <c r="E73" s="133"/>
      <c r="F73" s="133"/>
      <c r="G73" s="133"/>
    </row>
    <row r="74" spans="1:8">
      <c r="A74" s="187"/>
      <c r="B74" s="187"/>
    </row>
  </sheetData>
  <sheetProtection sheet="1" objects="1" scenarios="1"/>
  <mergeCells count="126">
    <mergeCell ref="E16:F16"/>
    <mergeCell ref="C14:D14"/>
    <mergeCell ref="C15:D15"/>
    <mergeCell ref="C12:D12"/>
    <mergeCell ref="C13:D13"/>
    <mergeCell ref="E14:F14"/>
    <mergeCell ref="E15:F15"/>
    <mergeCell ref="E4:F4"/>
    <mergeCell ref="E5:F5"/>
    <mergeCell ref="E6:F6"/>
    <mergeCell ref="E7:F7"/>
    <mergeCell ref="E12:F12"/>
    <mergeCell ref="E13:F13"/>
    <mergeCell ref="C10:D10"/>
    <mergeCell ref="C4:D4"/>
    <mergeCell ref="C5:D5"/>
    <mergeCell ref="C6:D6"/>
    <mergeCell ref="C8:D8"/>
    <mergeCell ref="C7:D7"/>
    <mergeCell ref="E42:F42"/>
    <mergeCell ref="E23:F23"/>
    <mergeCell ref="E24:F24"/>
    <mergeCell ref="E27:F27"/>
    <mergeCell ref="C11:D11"/>
    <mergeCell ref="E8:F8"/>
    <mergeCell ref="E9:F9"/>
    <mergeCell ref="E10:F10"/>
    <mergeCell ref="E11:F11"/>
    <mergeCell ref="C9:D9"/>
    <mergeCell ref="E39:F39"/>
    <mergeCell ref="E40:F40"/>
    <mergeCell ref="C25:D25"/>
    <mergeCell ref="C29:D29"/>
    <mergeCell ref="C30:D30"/>
    <mergeCell ref="E41:F41"/>
    <mergeCell ref="E32:F32"/>
    <mergeCell ref="E25:F25"/>
    <mergeCell ref="E26:F26"/>
    <mergeCell ref="E35:F35"/>
    <mergeCell ref="D36:E36"/>
    <mergeCell ref="E34:F34"/>
    <mergeCell ref="D33:F33"/>
    <mergeCell ref="E19:F19"/>
    <mergeCell ref="E18:F18"/>
    <mergeCell ref="C19:D19"/>
    <mergeCell ref="C21:D21"/>
    <mergeCell ref="C22:D22"/>
    <mergeCell ref="C23:D23"/>
    <mergeCell ref="E22:F22"/>
    <mergeCell ref="C18:D18"/>
    <mergeCell ref="C28:D28"/>
    <mergeCell ref="E29:F29"/>
    <mergeCell ref="E30:F30"/>
    <mergeCell ref="E31:F31"/>
    <mergeCell ref="E20:F20"/>
    <mergeCell ref="E21:F21"/>
    <mergeCell ref="C24:D24"/>
    <mergeCell ref="E17:F17"/>
    <mergeCell ref="C16:D16"/>
    <mergeCell ref="C17:D17"/>
    <mergeCell ref="C26:D26"/>
    <mergeCell ref="C53:D53"/>
    <mergeCell ref="C54:D54"/>
    <mergeCell ref="C20:D20"/>
    <mergeCell ref="E28:F28"/>
    <mergeCell ref="C44:D44"/>
    <mergeCell ref="C27:D27"/>
    <mergeCell ref="C31:D31"/>
    <mergeCell ref="C52:D52"/>
    <mergeCell ref="C41:D41"/>
    <mergeCell ref="C42:D42"/>
    <mergeCell ref="C45:D45"/>
    <mergeCell ref="C46:D46"/>
    <mergeCell ref="C43:D43"/>
    <mergeCell ref="C32:D32"/>
    <mergeCell ref="C39:D39"/>
    <mergeCell ref="C40:D40"/>
    <mergeCell ref="E45:F45"/>
    <mergeCell ref="C48:D48"/>
    <mergeCell ref="C49:D49"/>
    <mergeCell ref="C50:D50"/>
    <mergeCell ref="C47:D47"/>
    <mergeCell ref="E49:F49"/>
    <mergeCell ref="E50:F50"/>
    <mergeCell ref="E47:F47"/>
    <mergeCell ref="E48:F48"/>
    <mergeCell ref="C67:D67"/>
    <mergeCell ref="C59:D59"/>
    <mergeCell ref="C60:D60"/>
    <mergeCell ref="C61:D61"/>
    <mergeCell ref="E43:F43"/>
    <mergeCell ref="E64:F64"/>
    <mergeCell ref="E65:F65"/>
    <mergeCell ref="E44:F44"/>
    <mergeCell ref="E46:F46"/>
    <mergeCell ref="E60:F60"/>
    <mergeCell ref="E56:F56"/>
    <mergeCell ref="C55:D55"/>
    <mergeCell ref="C56:D56"/>
    <mergeCell ref="E66:F66"/>
    <mergeCell ref="C63:D63"/>
    <mergeCell ref="E58:F58"/>
    <mergeCell ref="E61:F61"/>
    <mergeCell ref="E59:F59"/>
    <mergeCell ref="E57:F57"/>
    <mergeCell ref="E55:F55"/>
    <mergeCell ref="C72:F72"/>
    <mergeCell ref="C37:F37"/>
    <mergeCell ref="D68:F68"/>
    <mergeCell ref="E69:F69"/>
    <mergeCell ref="E70:F70"/>
    <mergeCell ref="D71:E71"/>
    <mergeCell ref="C62:D62"/>
    <mergeCell ref="E62:F62"/>
    <mergeCell ref="E63:F63"/>
    <mergeCell ref="C58:D58"/>
    <mergeCell ref="E67:F67"/>
    <mergeCell ref="C64:D64"/>
    <mergeCell ref="C65:D65"/>
    <mergeCell ref="C66:D66"/>
    <mergeCell ref="E51:F51"/>
    <mergeCell ref="C57:D57"/>
    <mergeCell ref="E53:F53"/>
    <mergeCell ref="E54:F54"/>
    <mergeCell ref="E52:F52"/>
    <mergeCell ref="C51:D51"/>
  </mergeCells>
  <phoneticPr fontId="0" type="noConversion"/>
  <conditionalFormatting sqref="G68">
    <cfRule type="cellIs" dxfId="90" priority="3" stopIfTrue="1" operator="greaterThan">
      <formula>$G$66/0.95-$G$66</formula>
    </cfRule>
  </conditionalFormatting>
  <conditionalFormatting sqref="C64:D64">
    <cfRule type="cellIs" dxfId="89" priority="4" stopIfTrue="1" operator="greaterThan">
      <formula>$C$66*0.1</formula>
    </cfRule>
  </conditionalFormatting>
  <conditionalFormatting sqref="E64:F64">
    <cfRule type="cellIs" dxfId="88" priority="5" stopIfTrue="1" operator="greaterThan">
      <formula>$E$66*0.1</formula>
    </cfRule>
  </conditionalFormatting>
  <conditionalFormatting sqref="G64">
    <cfRule type="cellIs" dxfId="87" priority="6" stopIfTrue="1" operator="greaterThan">
      <formula>$G$66*0.1</formula>
    </cfRule>
  </conditionalFormatting>
  <conditionalFormatting sqref="C53:D53">
    <cfRule type="cellIs" dxfId="86" priority="7" stopIfTrue="1" operator="greaterThan">
      <formula>$C$55*0.1</formula>
    </cfRule>
  </conditionalFormatting>
  <conditionalFormatting sqref="E53:F53">
    <cfRule type="cellIs" dxfId="85" priority="8" stopIfTrue="1" operator="greaterThan">
      <formula>$E$55*0.1</formula>
    </cfRule>
  </conditionalFormatting>
  <conditionalFormatting sqref="G33">
    <cfRule type="cellIs" dxfId="84" priority="9" stopIfTrue="1" operator="greaterThan">
      <formula>$G$31/0.95-$G$31</formula>
    </cfRule>
  </conditionalFormatting>
  <conditionalFormatting sqref="C29:D29">
    <cfRule type="cellIs" dxfId="83" priority="10" stopIfTrue="1" operator="greaterThan">
      <formula>$C$31*0.1</formula>
    </cfRule>
  </conditionalFormatting>
  <conditionalFormatting sqref="E29:F29">
    <cfRule type="cellIs" dxfId="82" priority="11" stopIfTrue="1" operator="greaterThan">
      <formula>$E$31*0.1</formula>
    </cfRule>
  </conditionalFormatting>
  <conditionalFormatting sqref="G29">
    <cfRule type="cellIs" dxfId="81" priority="12" stopIfTrue="1" operator="greaterThan">
      <formula>$G$31*0.1</formula>
    </cfRule>
  </conditionalFormatting>
  <conditionalFormatting sqref="C18:D18">
    <cfRule type="cellIs" dxfId="80" priority="13" stopIfTrue="1" operator="greaterThan">
      <formula>$C$20*0.1</formula>
    </cfRule>
  </conditionalFormatting>
  <conditionalFormatting sqref="E18:F18">
    <cfRule type="cellIs" dxfId="79" priority="14" stopIfTrue="1" operator="greaterThan">
      <formula>$E$20*0.1</formula>
    </cfRule>
  </conditionalFormatting>
  <conditionalFormatting sqref="G53">
    <cfRule type="cellIs" dxfId="78" priority="15" stopIfTrue="1" operator="greaterThan">
      <formula>$G$55*0.1+$G$72</formula>
    </cfRule>
  </conditionalFormatting>
  <conditionalFormatting sqref="G18">
    <cfRule type="cellIs" dxfId="77" priority="16" stopIfTrue="1" operator="greaterThan">
      <formula>$G$20*0.1+$G$37</formula>
    </cfRule>
  </conditionalFormatting>
  <conditionalFormatting sqref="C67:D67 C32:D32">
    <cfRule type="cellIs" dxfId="76" priority="17" stopIfTrue="1" operator="lessThan">
      <formula>0</formula>
    </cfRule>
  </conditionalFormatting>
  <conditionalFormatting sqref="C66:D66">
    <cfRule type="cellIs" dxfId="75" priority="18" stopIfTrue="1" operator="greaterThan">
      <formula>$B$68</formula>
    </cfRule>
  </conditionalFormatting>
  <conditionalFormatting sqref="E66:F66">
    <cfRule type="cellIs" dxfId="74" priority="19" stopIfTrue="1" operator="greaterThan">
      <formula>$C$68</formula>
    </cfRule>
  </conditionalFormatting>
  <conditionalFormatting sqref="C31:D31">
    <cfRule type="cellIs" dxfId="73" priority="20" stopIfTrue="1" operator="greaterThan">
      <formula>$B$33</formula>
    </cfRule>
  </conditionalFormatting>
  <conditionalFormatting sqref="E31:F31">
    <cfRule type="cellIs" dxfId="72" priority="21" stopIfTrue="1" operator="greaterThan">
      <formula>$C$33</formula>
    </cfRule>
  </conditionalFormatting>
  <conditionalFormatting sqref="E32:F32">
    <cfRule type="cellIs" dxfId="71" priority="2" stopIfTrue="1" operator="lessThan">
      <formula>0</formula>
    </cfRule>
  </conditionalFormatting>
  <conditionalFormatting sqref="E67:F67">
    <cfRule type="cellIs" dxfId="70" priority="1" stopIfTrue="1" operator="lessThan">
      <formula>0</formula>
    </cfRule>
  </conditionalFormatting>
  <pageMargins left="0.9" right="0.9" top="0.96" bottom="0.5" header="0.41" footer="0.3"/>
  <pageSetup scale="67" orientation="portrait" blackAndWhite="1" horizontalDpi="4294967292" verticalDpi="96" r:id="rId1"/>
  <headerFooter alignWithMargins="0">
    <oddHeader xml:space="preserve">&amp;RState of Kansas
Township
</oddHeader>
    <oddFooter>&amp;Lrevised 8/25/09</oddFooter>
  </headerFooter>
</worksheet>
</file>

<file path=xl/worksheets/sheet13.xml><?xml version="1.0" encoding="utf-8"?>
<worksheet xmlns="http://schemas.openxmlformats.org/spreadsheetml/2006/main" xmlns:r="http://schemas.openxmlformats.org/officeDocument/2006/relationships">
  <sheetPr>
    <pageSetUpPr fitToPage="1"/>
  </sheetPr>
  <dimension ref="A1:H74"/>
  <sheetViews>
    <sheetView workbookViewId="0">
      <selection activeCell="A69" sqref="A69:A70"/>
    </sheetView>
  </sheetViews>
  <sheetFormatPr defaultRowHeight="15.75"/>
  <cols>
    <col min="1" max="1" width="27.5" style="239" customWidth="1"/>
    <col min="2" max="2" width="9.5" style="239" customWidth="1"/>
    <col min="3" max="3" width="10.3984375" style="239" customWidth="1"/>
    <col min="4" max="4" width="5.69921875" style="239" customWidth="1"/>
    <col min="5" max="5" width="9.59765625" style="239" customWidth="1"/>
    <col min="6" max="6" width="6.59765625" style="239" customWidth="1"/>
    <col min="7" max="7" width="13.69921875" style="239" customWidth="1"/>
    <col min="8" max="16384" width="8.796875" style="239"/>
  </cols>
  <sheetData>
    <row r="1" spans="1:7">
      <c r="A1" s="193" t="str">
        <f ca="1">inputPrYr!D2</f>
        <v>Winterset Township</v>
      </c>
      <c r="B1" s="141" t="s">
        <v>372</v>
      </c>
      <c r="C1" s="133"/>
      <c r="D1" s="133"/>
      <c r="E1" s="133"/>
      <c r="F1" s="133"/>
      <c r="G1" s="208">
        <f ca="1">inputPrYr!D5</f>
        <v>2013</v>
      </c>
    </row>
    <row r="2" spans="1:7">
      <c r="A2" s="200" t="s">
        <v>413</v>
      </c>
      <c r="B2" s="133"/>
      <c r="C2" s="133"/>
      <c r="D2" s="133"/>
      <c r="E2" s="230"/>
      <c r="F2" s="230"/>
      <c r="G2" s="135"/>
    </row>
    <row r="3" spans="1:7">
      <c r="A3" s="133"/>
      <c r="B3" s="342"/>
      <c r="C3" s="139"/>
      <c r="D3" s="139"/>
      <c r="E3" s="139"/>
      <c r="F3" s="139"/>
      <c r="G3" s="139"/>
    </row>
    <row r="4" spans="1:7">
      <c r="A4" s="141" t="s">
        <v>345</v>
      </c>
      <c r="B4" s="140"/>
      <c r="C4" s="550" t="s">
        <v>346</v>
      </c>
      <c r="D4" s="551"/>
      <c r="E4" s="556" t="s">
        <v>347</v>
      </c>
      <c r="F4" s="557"/>
      <c r="G4" s="143" t="s">
        <v>348</v>
      </c>
    </row>
    <row r="5" spans="1:7">
      <c r="A5" s="232">
        <f ca="1">inputPrYr!B25</f>
        <v>0</v>
      </c>
      <c r="B5" s="309"/>
      <c r="C5" s="552" t="str">
        <f ca="1">gen!C5</f>
        <v>Actual 2011</v>
      </c>
      <c r="D5" s="553"/>
      <c r="E5" s="552" t="str">
        <f ca="1">gen!E5</f>
        <v>Estimate 2012</v>
      </c>
      <c r="F5" s="553"/>
      <c r="G5" s="148" t="str">
        <f ca="1">gen!G5</f>
        <v>Year 2013</v>
      </c>
    </row>
    <row r="6" spans="1:7">
      <c r="A6" s="149" t="s">
        <v>462</v>
      </c>
      <c r="B6" s="150"/>
      <c r="C6" s="530"/>
      <c r="D6" s="531"/>
      <c r="E6" s="554">
        <f>C32</f>
        <v>0</v>
      </c>
      <c r="F6" s="555"/>
      <c r="G6" s="284">
        <f>E32</f>
        <v>0</v>
      </c>
    </row>
    <row r="7" spans="1:7">
      <c r="A7" s="149" t="s">
        <v>464</v>
      </c>
      <c r="B7" s="150"/>
      <c r="C7" s="554"/>
      <c r="D7" s="555"/>
      <c r="E7" s="554"/>
      <c r="F7" s="555"/>
      <c r="G7" s="313"/>
    </row>
    <row r="8" spans="1:7">
      <c r="A8" s="149" t="s">
        <v>351</v>
      </c>
      <c r="B8" s="150"/>
      <c r="C8" s="530"/>
      <c r="D8" s="531"/>
      <c r="E8" s="554">
        <f ca="1">inputPrYr!E25</f>
        <v>0</v>
      </c>
      <c r="F8" s="555"/>
      <c r="G8" s="313" t="s">
        <v>658</v>
      </c>
    </row>
    <row r="9" spans="1:7">
      <c r="A9" s="149" t="s">
        <v>352</v>
      </c>
      <c r="B9" s="150"/>
      <c r="C9" s="530"/>
      <c r="D9" s="531"/>
      <c r="E9" s="530"/>
      <c r="F9" s="531"/>
      <c r="G9" s="279"/>
    </row>
    <row r="10" spans="1:7">
      <c r="A10" s="149" t="s">
        <v>353</v>
      </c>
      <c r="B10" s="150"/>
      <c r="C10" s="530"/>
      <c r="D10" s="531"/>
      <c r="E10" s="530"/>
      <c r="F10" s="531"/>
      <c r="G10" s="284">
        <f ca="1">mvalloc!G20</f>
        <v>0</v>
      </c>
    </row>
    <row r="11" spans="1:7">
      <c r="A11" s="149" t="s">
        <v>354</v>
      </c>
      <c r="B11" s="150"/>
      <c r="C11" s="530"/>
      <c r="D11" s="531"/>
      <c r="E11" s="530"/>
      <c r="F11" s="531"/>
      <c r="G11" s="284">
        <f ca="1">mvalloc!I20</f>
        <v>0</v>
      </c>
    </row>
    <row r="12" spans="1:7">
      <c r="A12" s="149" t="s">
        <v>443</v>
      </c>
      <c r="B12" s="150"/>
      <c r="C12" s="530"/>
      <c r="D12" s="531"/>
      <c r="E12" s="530"/>
      <c r="F12" s="531"/>
      <c r="G12" s="284">
        <f ca="1">mvalloc!J20</f>
        <v>0</v>
      </c>
    </row>
    <row r="13" spans="1:7">
      <c r="A13" s="149" t="s">
        <v>508</v>
      </c>
      <c r="B13" s="150"/>
      <c r="C13" s="530"/>
      <c r="D13" s="531"/>
      <c r="E13" s="530"/>
      <c r="F13" s="531"/>
      <c r="G13" s="284">
        <f ca="1">mvalloc!K20</f>
        <v>0</v>
      </c>
    </row>
    <row r="14" spans="1:7">
      <c r="A14" s="316"/>
      <c r="B14" s="317"/>
      <c r="C14" s="530"/>
      <c r="D14" s="531"/>
      <c r="E14" s="530"/>
      <c r="F14" s="531"/>
      <c r="G14" s="279"/>
    </row>
    <row r="15" spans="1:7">
      <c r="A15" s="316"/>
      <c r="B15" s="317"/>
      <c r="C15" s="530"/>
      <c r="D15" s="531"/>
      <c r="E15" s="530"/>
      <c r="F15" s="531"/>
      <c r="G15" s="279"/>
    </row>
    <row r="16" spans="1:7">
      <c r="A16" s="318"/>
      <c r="B16" s="317"/>
      <c r="C16" s="530"/>
      <c r="D16" s="531"/>
      <c r="E16" s="530"/>
      <c r="F16" s="531"/>
      <c r="G16" s="279"/>
    </row>
    <row r="17" spans="1:7">
      <c r="A17" s="318" t="s">
        <v>357</v>
      </c>
      <c r="B17" s="317"/>
      <c r="C17" s="530"/>
      <c r="D17" s="531"/>
      <c r="E17" s="530"/>
      <c r="F17" s="531"/>
      <c r="G17" s="279"/>
    </row>
    <row r="18" spans="1:7">
      <c r="A18" s="319" t="s">
        <v>574</v>
      </c>
      <c r="B18" s="320"/>
      <c r="C18" s="530"/>
      <c r="D18" s="531"/>
      <c r="E18" s="530"/>
      <c r="F18" s="531"/>
      <c r="G18" s="311"/>
    </row>
    <row r="19" spans="1:7">
      <c r="A19" s="319" t="s">
        <v>575</v>
      </c>
      <c r="B19" s="320"/>
      <c r="C19" s="536" t="str">
        <f>IF(C20*0.1&lt;C18,"Exceed 10% Rule","")</f>
        <v/>
      </c>
      <c r="D19" s="537"/>
      <c r="E19" s="536" t="str">
        <f>IF(E20*0.1&lt;E18,"Exceed 10% Rule","")</f>
        <v/>
      </c>
      <c r="F19" s="537"/>
      <c r="G19" s="321" t="str">
        <f>IF(G20*0.1+G37&lt;G18,"Exceed 10% Rule","")</f>
        <v/>
      </c>
    </row>
    <row r="20" spans="1:7">
      <c r="A20" s="322" t="s">
        <v>358</v>
      </c>
      <c r="B20" s="150"/>
      <c r="C20" s="561">
        <f>SUM(C8:C18)</f>
        <v>0</v>
      </c>
      <c r="D20" s="562"/>
      <c r="E20" s="561">
        <f>SUM(E8:E18)</f>
        <v>0</v>
      </c>
      <c r="F20" s="562"/>
      <c r="G20" s="324">
        <f>SUM(G8:G18)</f>
        <v>0</v>
      </c>
    </row>
    <row r="21" spans="1:7">
      <c r="A21" s="325" t="s">
        <v>359</v>
      </c>
      <c r="B21" s="150"/>
      <c r="C21" s="561">
        <f>C20+C6</f>
        <v>0</v>
      </c>
      <c r="D21" s="562"/>
      <c r="E21" s="561">
        <f>E20+E6</f>
        <v>0</v>
      </c>
      <c r="F21" s="562"/>
      <c r="G21" s="324">
        <f>G20+G6</f>
        <v>0</v>
      </c>
    </row>
    <row r="22" spans="1:7">
      <c r="A22" s="149" t="s">
        <v>360</v>
      </c>
      <c r="B22" s="150"/>
      <c r="C22" s="554"/>
      <c r="D22" s="555"/>
      <c r="E22" s="554"/>
      <c r="F22" s="555"/>
      <c r="G22" s="284"/>
    </row>
    <row r="23" spans="1:7">
      <c r="A23" s="318" t="s">
        <v>470</v>
      </c>
      <c r="B23" s="317"/>
      <c r="C23" s="530"/>
      <c r="D23" s="531"/>
      <c r="E23" s="530"/>
      <c r="F23" s="531"/>
      <c r="G23" s="279"/>
    </row>
    <row r="24" spans="1:7">
      <c r="A24" s="318" t="s">
        <v>446</v>
      </c>
      <c r="B24" s="317"/>
      <c r="C24" s="530"/>
      <c r="D24" s="531"/>
      <c r="E24" s="530"/>
      <c r="F24" s="531"/>
      <c r="G24" s="279"/>
    </row>
    <row r="25" spans="1:7">
      <c r="A25" s="310"/>
      <c r="B25" s="317"/>
      <c r="C25" s="530"/>
      <c r="D25" s="531"/>
      <c r="E25" s="530"/>
      <c r="F25" s="531"/>
      <c r="G25" s="279"/>
    </row>
    <row r="26" spans="1:7">
      <c r="A26" s="318"/>
      <c r="B26" s="317"/>
      <c r="C26" s="530"/>
      <c r="D26" s="531"/>
      <c r="E26" s="530"/>
      <c r="F26" s="531"/>
      <c r="G26" s="279"/>
    </row>
    <row r="27" spans="1:7">
      <c r="A27" s="318"/>
      <c r="B27" s="317"/>
      <c r="C27" s="530"/>
      <c r="D27" s="531"/>
      <c r="E27" s="530"/>
      <c r="F27" s="531"/>
      <c r="G27" s="279"/>
    </row>
    <row r="28" spans="1:7">
      <c r="A28" s="314" t="s">
        <v>577</v>
      </c>
      <c r="B28" s="320"/>
      <c r="C28" s="530"/>
      <c r="D28" s="531"/>
      <c r="E28" s="530"/>
      <c r="F28" s="531"/>
      <c r="G28" s="329" t="str">
        <f ca="1">nhood!E15</f>
        <v/>
      </c>
    </row>
    <row r="29" spans="1:7">
      <c r="A29" s="314" t="s">
        <v>574</v>
      </c>
      <c r="B29" s="320"/>
      <c r="C29" s="530"/>
      <c r="D29" s="531"/>
      <c r="E29" s="530"/>
      <c r="F29" s="531"/>
      <c r="G29" s="311"/>
    </row>
    <row r="30" spans="1:7">
      <c r="A30" s="314" t="s">
        <v>576</v>
      </c>
      <c r="B30" s="320"/>
      <c r="C30" s="536" t="str">
        <f>IF(C31*0.1&lt;C29,"Exceed 10% Rule","")</f>
        <v/>
      </c>
      <c r="D30" s="537"/>
      <c r="E30" s="536" t="str">
        <f>IF(E31*0.1&lt;E29,"Exceed 10% Rule","")</f>
        <v/>
      </c>
      <c r="F30" s="537"/>
      <c r="G30" s="321" t="str">
        <f>IF(G31*0.1&lt;G29,"Exceed 10% Rule","")</f>
        <v/>
      </c>
    </row>
    <row r="31" spans="1:7">
      <c r="A31" s="325" t="s">
        <v>361</v>
      </c>
      <c r="B31" s="150"/>
      <c r="C31" s="561">
        <f>SUM(C23:C29)</f>
        <v>0</v>
      </c>
      <c r="D31" s="562"/>
      <c r="E31" s="561">
        <f>SUM(E23:E29)</f>
        <v>0</v>
      </c>
      <c r="F31" s="562"/>
      <c r="G31" s="324">
        <f>SUM(G23:G29)</f>
        <v>0</v>
      </c>
    </row>
    <row r="32" spans="1:7">
      <c r="A32" s="149" t="s">
        <v>463</v>
      </c>
      <c r="B32" s="150"/>
      <c r="C32" s="545">
        <f>C21-C31</f>
        <v>0</v>
      </c>
      <c r="D32" s="546"/>
      <c r="E32" s="545">
        <f>E21-E31</f>
        <v>0</v>
      </c>
      <c r="F32" s="546"/>
      <c r="G32" s="313" t="s">
        <v>658</v>
      </c>
    </row>
    <row r="33" spans="1:8">
      <c r="A33" s="191" t="str">
        <f>CONCATENATE("",G1-2,"/",G1-1," Budget Authority Amount:")</f>
        <v>2011/2012 Budget Authority Amount:</v>
      </c>
      <c r="B33" s="332">
        <f ca="1">inputOth!B57</f>
        <v>0</v>
      </c>
      <c r="C33" s="136">
        <f ca="1">inputPrYr!D25</f>
        <v>0</v>
      </c>
      <c r="D33" s="538" t="s">
        <v>610</v>
      </c>
      <c r="E33" s="539"/>
      <c r="F33" s="540"/>
      <c r="G33" s="279"/>
      <c r="H33" s="333" t="str">
        <f>IF(G31/0.95-G31&lt;G33,"Exceeds 5%","")</f>
        <v/>
      </c>
    </row>
    <row r="34" spans="1:8">
      <c r="A34" s="191"/>
      <c r="B34" s="334" t="str">
        <f>IF(C31&gt;B33,"See Tab A","")</f>
        <v/>
      </c>
      <c r="C34" s="334" t="str">
        <f>IF(E31&gt;C33,"See Tab C","")</f>
        <v/>
      </c>
      <c r="D34" s="133"/>
      <c r="E34" s="541" t="s">
        <v>611</v>
      </c>
      <c r="F34" s="542"/>
      <c r="G34" s="284">
        <f>G31+G33</f>
        <v>0</v>
      </c>
    </row>
    <row r="35" spans="1:8">
      <c r="A35" s="191"/>
      <c r="B35" s="334" t="str">
        <f>IF(C32&lt;0,"See Tab B","")</f>
        <v/>
      </c>
      <c r="C35" s="442" t="str">
        <f>IF(E32&lt;0,"See Tab D","")</f>
        <v/>
      </c>
      <c r="D35" s="133"/>
      <c r="E35" s="541" t="s">
        <v>363</v>
      </c>
      <c r="F35" s="542"/>
      <c r="G35" s="329">
        <f>IF(G34-G21&gt;0,G34-G21,0)</f>
        <v>0</v>
      </c>
    </row>
    <row r="36" spans="1:8">
      <c r="A36" s="209"/>
      <c r="B36" s="133"/>
      <c r="C36" s="133"/>
      <c r="D36" s="534" t="s">
        <v>612</v>
      </c>
      <c r="E36" s="535"/>
      <c r="F36" s="335">
        <f ca="1">inputOth!$E$42</f>
        <v>0</v>
      </c>
      <c r="G36" s="284">
        <f>ROUND(IF(F36&gt;0,(G35*F36),0),0)</f>
        <v>0</v>
      </c>
    </row>
    <row r="37" spans="1:8">
      <c r="A37" s="133"/>
      <c r="B37" s="133"/>
      <c r="C37" s="558" t="str">
        <f>CONCATENATE("Amount of  ",$G$1-1," Ad Valorem Tax")</f>
        <v>Amount of  2012 Ad Valorem Tax</v>
      </c>
      <c r="D37" s="559"/>
      <c r="E37" s="559"/>
      <c r="F37" s="560"/>
      <c r="G37" s="329">
        <f>G35+G36</f>
        <v>0</v>
      </c>
    </row>
    <row r="38" spans="1:8">
      <c r="A38" s="141" t="s">
        <v>345</v>
      </c>
      <c r="B38" s="342"/>
      <c r="C38" s="139"/>
      <c r="D38" s="139"/>
      <c r="E38" s="139"/>
      <c r="F38" s="139"/>
      <c r="G38" s="139"/>
    </row>
    <row r="39" spans="1:8">
      <c r="A39" s="133"/>
      <c r="B39" s="140"/>
      <c r="C39" s="550" t="s">
        <v>346</v>
      </c>
      <c r="D39" s="551"/>
      <c r="E39" s="556" t="s">
        <v>347</v>
      </c>
      <c r="F39" s="557"/>
      <c r="G39" s="143" t="s">
        <v>348</v>
      </c>
    </row>
    <row r="40" spans="1:8">
      <c r="A40" s="231">
        <f ca="1">inputPrYr!B26</f>
        <v>0</v>
      </c>
      <c r="B40" s="309"/>
      <c r="C40" s="552" t="str">
        <f>C5</f>
        <v>Actual 2011</v>
      </c>
      <c r="D40" s="553"/>
      <c r="E40" s="552" t="str">
        <f>E5</f>
        <v>Estimate 2012</v>
      </c>
      <c r="F40" s="553"/>
      <c r="G40" s="148" t="str">
        <f>G5</f>
        <v>Year 2013</v>
      </c>
    </row>
    <row r="41" spans="1:8">
      <c r="A41" s="149" t="s">
        <v>462</v>
      </c>
      <c r="B41" s="150"/>
      <c r="C41" s="530"/>
      <c r="D41" s="531"/>
      <c r="E41" s="554">
        <f>C67</f>
        <v>0</v>
      </c>
      <c r="F41" s="555"/>
      <c r="G41" s="284">
        <f>E67</f>
        <v>0</v>
      </c>
    </row>
    <row r="42" spans="1:8">
      <c r="A42" s="149" t="s">
        <v>464</v>
      </c>
      <c r="B42" s="150"/>
      <c r="C42" s="554"/>
      <c r="D42" s="555"/>
      <c r="E42" s="554"/>
      <c r="F42" s="555"/>
      <c r="G42" s="313"/>
    </row>
    <row r="43" spans="1:8">
      <c r="A43" s="149" t="s">
        <v>351</v>
      </c>
      <c r="B43" s="150"/>
      <c r="C43" s="530"/>
      <c r="D43" s="531"/>
      <c r="E43" s="554">
        <f ca="1">inputPrYr!E26</f>
        <v>0</v>
      </c>
      <c r="F43" s="555"/>
      <c r="G43" s="313" t="s">
        <v>658</v>
      </c>
    </row>
    <row r="44" spans="1:8">
      <c r="A44" s="149" t="s">
        <v>352</v>
      </c>
      <c r="B44" s="150"/>
      <c r="C44" s="530"/>
      <c r="D44" s="531"/>
      <c r="E44" s="530"/>
      <c r="F44" s="531"/>
      <c r="G44" s="279"/>
    </row>
    <row r="45" spans="1:8">
      <c r="A45" s="149" t="s">
        <v>353</v>
      </c>
      <c r="B45" s="150"/>
      <c r="C45" s="530"/>
      <c r="D45" s="531"/>
      <c r="E45" s="530"/>
      <c r="F45" s="531"/>
      <c r="G45" s="284">
        <f ca="1">mvalloc!G21</f>
        <v>0</v>
      </c>
    </row>
    <row r="46" spans="1:8">
      <c r="A46" s="149" t="s">
        <v>354</v>
      </c>
      <c r="B46" s="150"/>
      <c r="C46" s="530"/>
      <c r="D46" s="531"/>
      <c r="E46" s="530"/>
      <c r="F46" s="531"/>
      <c r="G46" s="284">
        <f ca="1">mvalloc!I21</f>
        <v>0</v>
      </c>
    </row>
    <row r="47" spans="1:8">
      <c r="A47" s="149" t="s">
        <v>443</v>
      </c>
      <c r="B47" s="150"/>
      <c r="C47" s="530"/>
      <c r="D47" s="531"/>
      <c r="E47" s="530"/>
      <c r="F47" s="531"/>
      <c r="G47" s="284">
        <f ca="1">mvalloc!J21</f>
        <v>0</v>
      </c>
    </row>
    <row r="48" spans="1:8">
      <c r="A48" s="149" t="s">
        <v>508</v>
      </c>
      <c r="B48" s="150"/>
      <c r="C48" s="530"/>
      <c r="D48" s="531"/>
      <c r="E48" s="530"/>
      <c r="F48" s="531"/>
      <c r="G48" s="284">
        <f ca="1">mvalloc!K21</f>
        <v>0</v>
      </c>
    </row>
    <row r="49" spans="1:7">
      <c r="A49" s="316"/>
      <c r="B49" s="317"/>
      <c r="C49" s="530"/>
      <c r="D49" s="531"/>
      <c r="E49" s="530"/>
      <c r="F49" s="531"/>
      <c r="G49" s="279"/>
    </row>
    <row r="50" spans="1:7">
      <c r="A50" s="316"/>
      <c r="B50" s="317"/>
      <c r="C50" s="530"/>
      <c r="D50" s="531"/>
      <c r="E50" s="530"/>
      <c r="F50" s="531"/>
      <c r="G50" s="279"/>
    </row>
    <row r="51" spans="1:7">
      <c r="A51" s="318"/>
      <c r="B51" s="317"/>
      <c r="C51" s="530"/>
      <c r="D51" s="531"/>
      <c r="E51" s="530"/>
      <c r="F51" s="531"/>
      <c r="G51" s="279"/>
    </row>
    <row r="52" spans="1:7">
      <c r="A52" s="318" t="s">
        <v>357</v>
      </c>
      <c r="B52" s="317"/>
      <c r="C52" s="530"/>
      <c r="D52" s="531"/>
      <c r="E52" s="530"/>
      <c r="F52" s="531"/>
      <c r="G52" s="279"/>
    </row>
    <row r="53" spans="1:7">
      <c r="A53" s="319" t="s">
        <v>574</v>
      </c>
      <c r="B53" s="320"/>
      <c r="C53" s="530"/>
      <c r="D53" s="531"/>
      <c r="E53" s="530"/>
      <c r="F53" s="531"/>
      <c r="G53" s="311"/>
    </row>
    <row r="54" spans="1:7">
      <c r="A54" s="319" t="s">
        <v>575</v>
      </c>
      <c r="B54" s="320"/>
      <c r="C54" s="536" t="str">
        <f>IF(C55*0.1&lt;C53,"Exceed 10% Rule","")</f>
        <v/>
      </c>
      <c r="D54" s="537"/>
      <c r="E54" s="536" t="str">
        <f>IF(E55*0.1&lt;E53,"Exceed 10% Rule","")</f>
        <v/>
      </c>
      <c r="F54" s="537"/>
      <c r="G54" s="321" t="str">
        <f>IF(G55*0.1+G72&lt;G53,"Exceed 10% Rule","")</f>
        <v/>
      </c>
    </row>
    <row r="55" spans="1:7">
      <c r="A55" s="322" t="s">
        <v>358</v>
      </c>
      <c r="B55" s="150"/>
      <c r="C55" s="561">
        <f>SUM(C43:C53)</f>
        <v>0</v>
      </c>
      <c r="D55" s="562"/>
      <c r="E55" s="561">
        <f>SUM(E43:E53)</f>
        <v>0</v>
      </c>
      <c r="F55" s="562"/>
      <c r="G55" s="324">
        <f>SUM(G43:G53)</f>
        <v>0</v>
      </c>
    </row>
    <row r="56" spans="1:7">
      <c r="A56" s="325" t="s">
        <v>359</v>
      </c>
      <c r="B56" s="150"/>
      <c r="C56" s="561">
        <f>C55+C41</f>
        <v>0</v>
      </c>
      <c r="D56" s="562"/>
      <c r="E56" s="561">
        <f>E55+E41</f>
        <v>0</v>
      </c>
      <c r="F56" s="562"/>
      <c r="G56" s="324">
        <f>G55+G41</f>
        <v>0</v>
      </c>
    </row>
    <row r="57" spans="1:7">
      <c r="A57" s="149" t="s">
        <v>360</v>
      </c>
      <c r="B57" s="150"/>
      <c r="C57" s="554"/>
      <c r="D57" s="555"/>
      <c r="E57" s="554"/>
      <c r="F57" s="555"/>
      <c r="G57" s="284"/>
    </row>
    <row r="58" spans="1:7">
      <c r="A58" s="318" t="s">
        <v>470</v>
      </c>
      <c r="B58" s="317"/>
      <c r="C58" s="530"/>
      <c r="D58" s="531"/>
      <c r="E58" s="530"/>
      <c r="F58" s="531"/>
      <c r="G58" s="279"/>
    </row>
    <row r="59" spans="1:7">
      <c r="A59" s="318" t="s">
        <v>446</v>
      </c>
      <c r="B59" s="317"/>
      <c r="C59" s="530"/>
      <c r="D59" s="531"/>
      <c r="E59" s="530"/>
      <c r="F59" s="531"/>
      <c r="G59" s="279"/>
    </row>
    <row r="60" spans="1:7">
      <c r="A60" s="318"/>
      <c r="B60" s="317"/>
      <c r="C60" s="530"/>
      <c r="D60" s="531"/>
      <c r="E60" s="530"/>
      <c r="F60" s="531"/>
      <c r="G60" s="279"/>
    </row>
    <row r="61" spans="1:7">
      <c r="A61" s="318"/>
      <c r="B61" s="317"/>
      <c r="C61" s="530"/>
      <c r="D61" s="531"/>
      <c r="E61" s="530"/>
      <c r="F61" s="531"/>
      <c r="G61" s="279"/>
    </row>
    <row r="62" spans="1:7">
      <c r="A62" s="318"/>
      <c r="B62" s="317"/>
      <c r="C62" s="530"/>
      <c r="D62" s="531"/>
      <c r="E62" s="530"/>
      <c r="F62" s="531"/>
      <c r="G62" s="279"/>
    </row>
    <row r="63" spans="1:7">
      <c r="A63" s="314" t="s">
        <v>577</v>
      </c>
      <c r="B63" s="320"/>
      <c r="C63" s="530"/>
      <c r="D63" s="531"/>
      <c r="E63" s="530"/>
      <c r="F63" s="531"/>
      <c r="G63" s="329" t="str">
        <f ca="1">nhood!E16</f>
        <v/>
      </c>
    </row>
    <row r="64" spans="1:7">
      <c r="A64" s="314" t="s">
        <v>574</v>
      </c>
      <c r="B64" s="320"/>
      <c r="C64" s="530"/>
      <c r="D64" s="531"/>
      <c r="E64" s="530"/>
      <c r="F64" s="531"/>
      <c r="G64" s="311"/>
    </row>
    <row r="65" spans="1:8">
      <c r="A65" s="314" t="s">
        <v>576</v>
      </c>
      <c r="B65" s="320"/>
      <c r="C65" s="536" t="str">
        <f>IF(C66*0.1&lt;C64,"Exceed 10% Rule","")</f>
        <v/>
      </c>
      <c r="D65" s="537"/>
      <c r="E65" s="536" t="str">
        <f>IF(E66*0.1&lt;E64,"Exceed 10% Rule","")</f>
        <v/>
      </c>
      <c r="F65" s="537"/>
      <c r="G65" s="321" t="str">
        <f>IF(G66*0.1&lt;G64,"Exceed 10% Rule","")</f>
        <v/>
      </c>
    </row>
    <row r="66" spans="1:8">
      <c r="A66" s="325" t="s">
        <v>361</v>
      </c>
      <c r="B66" s="150"/>
      <c r="C66" s="561">
        <f>SUM(C58:C64)</f>
        <v>0</v>
      </c>
      <c r="D66" s="562"/>
      <c r="E66" s="561">
        <f>SUM(E58:E64)</f>
        <v>0</v>
      </c>
      <c r="F66" s="562"/>
      <c r="G66" s="324">
        <f>SUM(G58:G64)</f>
        <v>0</v>
      </c>
    </row>
    <row r="67" spans="1:8">
      <c r="A67" s="149" t="s">
        <v>463</v>
      </c>
      <c r="B67" s="150"/>
      <c r="C67" s="545">
        <f>C56-C66</f>
        <v>0</v>
      </c>
      <c r="D67" s="546"/>
      <c r="E67" s="545">
        <f>E56-E66</f>
        <v>0</v>
      </c>
      <c r="F67" s="546"/>
      <c r="G67" s="313" t="s">
        <v>658</v>
      </c>
    </row>
    <row r="68" spans="1:8">
      <c r="A68" s="191" t="str">
        <f>CONCATENATE("",G1-2,"/",G1-1," Budget Authority Amount:")</f>
        <v>2011/2012 Budget Authority Amount:</v>
      </c>
      <c r="B68" s="332">
        <f ca="1">inputOth!B58</f>
        <v>0</v>
      </c>
      <c r="C68" s="136">
        <f ca="1">inputPrYr!D26</f>
        <v>0</v>
      </c>
      <c r="D68" s="538" t="s">
        <v>610</v>
      </c>
      <c r="E68" s="539"/>
      <c r="F68" s="540"/>
      <c r="G68" s="279"/>
      <c r="H68" s="333" t="str">
        <f>IF(G66/0.95-G66&lt;G68,"Exceeds 5%","")</f>
        <v/>
      </c>
    </row>
    <row r="69" spans="1:8">
      <c r="A69" s="191"/>
      <c r="B69" s="334" t="str">
        <f>IF(C66&gt;B68,"See Tab A","")</f>
        <v/>
      </c>
      <c r="C69" s="334" t="str">
        <f>IF(E66&gt;C68,"See Tab C","")</f>
        <v/>
      </c>
      <c r="D69" s="133"/>
      <c r="E69" s="541" t="s">
        <v>611</v>
      </c>
      <c r="F69" s="542"/>
      <c r="G69" s="284">
        <f>G66+G68</f>
        <v>0</v>
      </c>
    </row>
    <row r="70" spans="1:8">
      <c r="A70" s="191"/>
      <c r="B70" s="334" t="str">
        <f>IF(C67&lt;0,"See Tab B","")</f>
        <v/>
      </c>
      <c r="C70" s="442" t="str">
        <f>IF(E67&lt;0,"See Tab D","")</f>
        <v/>
      </c>
      <c r="D70" s="133"/>
      <c r="E70" s="541" t="s">
        <v>363</v>
      </c>
      <c r="F70" s="542"/>
      <c r="G70" s="329">
        <f>IF(G69-G56&gt;0,G69-G56,0)</f>
        <v>0</v>
      </c>
    </row>
    <row r="71" spans="1:8">
      <c r="A71" s="209"/>
      <c r="B71" s="133"/>
      <c r="C71" s="133"/>
      <c r="D71" s="534" t="s">
        <v>612</v>
      </c>
      <c r="E71" s="535"/>
      <c r="F71" s="335">
        <f ca="1">inputOth!$E$42</f>
        <v>0</v>
      </c>
      <c r="G71" s="284">
        <f>ROUND(IF(F71&gt;0,(G70*F71),0),0)</f>
        <v>0</v>
      </c>
    </row>
    <row r="72" spans="1:8">
      <c r="A72" s="133"/>
      <c r="B72" s="133"/>
      <c r="C72" s="558" t="str">
        <f>CONCATENATE("Amount of  ",$G$1-1," Ad Valorem Tax")</f>
        <v>Amount of  2012 Ad Valorem Tax</v>
      </c>
      <c r="D72" s="559"/>
      <c r="E72" s="559"/>
      <c r="F72" s="560"/>
      <c r="G72" s="329">
        <f>G70+G71</f>
        <v>0</v>
      </c>
    </row>
    <row r="73" spans="1:8">
      <c r="A73" s="209" t="s">
        <v>344</v>
      </c>
      <c r="B73" s="367"/>
      <c r="C73" s="133"/>
      <c r="D73" s="133"/>
      <c r="E73" s="133"/>
      <c r="F73" s="133"/>
      <c r="G73" s="133"/>
    </row>
    <row r="74" spans="1:8">
      <c r="A74" s="187"/>
      <c r="B74" s="187"/>
    </row>
  </sheetData>
  <sheetProtection sheet="1" objects="1" scenarios="1"/>
  <mergeCells count="126">
    <mergeCell ref="E12:F12"/>
    <mergeCell ref="C22:D22"/>
    <mergeCell ref="C18:D18"/>
    <mergeCell ref="C9:D9"/>
    <mergeCell ref="C10:D10"/>
    <mergeCell ref="C11:D11"/>
    <mergeCell ref="E9:F9"/>
    <mergeCell ref="E11:F11"/>
    <mergeCell ref="E4:F4"/>
    <mergeCell ref="E5:F5"/>
    <mergeCell ref="E6:F6"/>
    <mergeCell ref="E10:F10"/>
    <mergeCell ref="C4:D4"/>
    <mergeCell ref="C5:D5"/>
    <mergeCell ref="C6:D6"/>
    <mergeCell ref="C7:D7"/>
    <mergeCell ref="E7:F7"/>
    <mergeCell ref="C8:D8"/>
    <mergeCell ref="C14:D14"/>
    <mergeCell ref="C15:D15"/>
    <mergeCell ref="C16:D16"/>
    <mergeCell ref="E16:F16"/>
    <mergeCell ref="C20:D20"/>
    <mergeCell ref="E27:F27"/>
    <mergeCell ref="C13:D13"/>
    <mergeCell ref="C17:D17"/>
    <mergeCell ref="E24:F24"/>
    <mergeCell ref="E25:F25"/>
    <mergeCell ref="C28:D28"/>
    <mergeCell ref="C25:D25"/>
    <mergeCell ref="E22:F22"/>
    <mergeCell ref="E18:F18"/>
    <mergeCell ref="E14:F14"/>
    <mergeCell ref="E15:F15"/>
    <mergeCell ref="E13:F13"/>
    <mergeCell ref="E8:F8"/>
    <mergeCell ref="E17:F17"/>
    <mergeCell ref="C32:D32"/>
    <mergeCell ref="E21:F21"/>
    <mergeCell ref="C26:D26"/>
    <mergeCell ref="C27:D27"/>
    <mergeCell ref="E23:F23"/>
    <mergeCell ref="E28:F28"/>
    <mergeCell ref="C12:D12"/>
    <mergeCell ref="C47:D47"/>
    <mergeCell ref="C48:D48"/>
    <mergeCell ref="E47:F47"/>
    <mergeCell ref="E48:F48"/>
    <mergeCell ref="C31:D31"/>
    <mergeCell ref="C39:D39"/>
    <mergeCell ref="C37:F37"/>
    <mergeCell ref="C41:D41"/>
    <mergeCell ref="C46:D46"/>
    <mergeCell ref="E45:F45"/>
    <mergeCell ref="E43:F43"/>
    <mergeCell ref="E39:F39"/>
    <mergeCell ref="E40:F40"/>
    <mergeCell ref="E46:F46"/>
    <mergeCell ref="C43:D43"/>
    <mergeCell ref="C45:D45"/>
    <mergeCell ref="C19:D19"/>
    <mergeCell ref="E30:F30"/>
    <mergeCell ref="C24:D24"/>
    <mergeCell ref="E19:F19"/>
    <mergeCell ref="E29:F29"/>
    <mergeCell ref="E20:F20"/>
    <mergeCell ref="C30:D30"/>
    <mergeCell ref="E26:F26"/>
    <mergeCell ref="C29:D29"/>
    <mergeCell ref="C23:D23"/>
    <mergeCell ref="E31:F31"/>
    <mergeCell ref="C51:D51"/>
    <mergeCell ref="E54:F54"/>
    <mergeCell ref="E52:F52"/>
    <mergeCell ref="C52:D52"/>
    <mergeCell ref="C40:D40"/>
    <mergeCell ref="C49:D49"/>
    <mergeCell ref="C50:D50"/>
    <mergeCell ref="C44:D44"/>
    <mergeCell ref="C42:D42"/>
    <mergeCell ref="E32:F32"/>
    <mergeCell ref="E42:F42"/>
    <mergeCell ref="E44:F44"/>
    <mergeCell ref="E49:F49"/>
    <mergeCell ref="C54:D54"/>
    <mergeCell ref="C21:D21"/>
    <mergeCell ref="D33:F33"/>
    <mergeCell ref="E34:F34"/>
    <mergeCell ref="E35:F35"/>
    <mergeCell ref="D36:E36"/>
    <mergeCell ref="E50:F50"/>
    <mergeCell ref="E41:F41"/>
    <mergeCell ref="E51:F51"/>
    <mergeCell ref="C63:D63"/>
    <mergeCell ref="C58:D58"/>
    <mergeCell ref="C60:D60"/>
    <mergeCell ref="E60:F60"/>
    <mergeCell ref="E61:F61"/>
    <mergeCell ref="C53:D53"/>
    <mergeCell ref="C59:D59"/>
    <mergeCell ref="E57:F57"/>
    <mergeCell ref="E53:F53"/>
    <mergeCell ref="E70:F70"/>
    <mergeCell ref="D71:E71"/>
    <mergeCell ref="E66:F66"/>
    <mergeCell ref="E63:F63"/>
    <mergeCell ref="C62:D62"/>
    <mergeCell ref="C55:D55"/>
    <mergeCell ref="C56:D56"/>
    <mergeCell ref="C57:D57"/>
    <mergeCell ref="C61:D61"/>
    <mergeCell ref="E55:F55"/>
    <mergeCell ref="E56:F56"/>
    <mergeCell ref="E59:F59"/>
    <mergeCell ref="E62:F62"/>
    <mergeCell ref="E58:F58"/>
    <mergeCell ref="C72:F72"/>
    <mergeCell ref="E67:F67"/>
    <mergeCell ref="C64:D64"/>
    <mergeCell ref="C65:D65"/>
    <mergeCell ref="E65:F65"/>
    <mergeCell ref="E64:F64"/>
    <mergeCell ref="C66:D66"/>
    <mergeCell ref="C67:D67"/>
    <mergeCell ref="D68:F68"/>
    <mergeCell ref="E69:F69"/>
  </mergeCells>
  <phoneticPr fontId="0" type="noConversion"/>
  <conditionalFormatting sqref="G68">
    <cfRule type="cellIs" dxfId="69" priority="3" stopIfTrue="1" operator="greaterThan">
      <formula>$G$66/0.95-$G$66</formula>
    </cfRule>
  </conditionalFormatting>
  <conditionalFormatting sqref="C64:D64">
    <cfRule type="cellIs" dxfId="68" priority="4" stopIfTrue="1" operator="greaterThan">
      <formula>$C$66*0.1</formula>
    </cfRule>
  </conditionalFormatting>
  <conditionalFormatting sqref="E64:F64">
    <cfRule type="cellIs" dxfId="67" priority="5" stopIfTrue="1" operator="greaterThan">
      <formula>$E$66*0.1</formula>
    </cfRule>
  </conditionalFormatting>
  <conditionalFormatting sqref="G64">
    <cfRule type="cellIs" dxfId="66" priority="6" stopIfTrue="1" operator="greaterThan">
      <formula>$G$66*0.1</formula>
    </cfRule>
  </conditionalFormatting>
  <conditionalFormatting sqref="C53:D53">
    <cfRule type="cellIs" dxfId="65" priority="7" stopIfTrue="1" operator="greaterThan">
      <formula>$C$55*0.1</formula>
    </cfRule>
  </conditionalFormatting>
  <conditionalFormatting sqref="E53:F53">
    <cfRule type="cellIs" dxfId="64" priority="8" stopIfTrue="1" operator="greaterThan">
      <formula>$E$55*0.1</formula>
    </cfRule>
  </conditionalFormatting>
  <conditionalFormatting sqref="G33">
    <cfRule type="cellIs" dxfId="63" priority="9" stopIfTrue="1" operator="greaterThan">
      <formula>$G$31/0.95-$G$31</formula>
    </cfRule>
  </conditionalFormatting>
  <conditionalFormatting sqref="C29:D29">
    <cfRule type="cellIs" dxfId="62" priority="10" stopIfTrue="1" operator="greaterThan">
      <formula>$C$31*0.1</formula>
    </cfRule>
  </conditionalFormatting>
  <conditionalFormatting sqref="E29:F29">
    <cfRule type="cellIs" dxfId="61" priority="11" stopIfTrue="1" operator="greaterThan">
      <formula>$E$31*0.1</formula>
    </cfRule>
  </conditionalFormatting>
  <conditionalFormatting sqref="G29">
    <cfRule type="cellIs" dxfId="60" priority="12" stopIfTrue="1" operator="greaterThan">
      <formula>$G$31*0.1</formula>
    </cfRule>
  </conditionalFormatting>
  <conditionalFormatting sqref="C18:D18">
    <cfRule type="cellIs" dxfId="59" priority="13" stopIfTrue="1" operator="greaterThan">
      <formula>$C$20*0.1</formula>
    </cfRule>
  </conditionalFormatting>
  <conditionalFormatting sqref="E18:F18">
    <cfRule type="cellIs" dxfId="58" priority="14" stopIfTrue="1" operator="greaterThan">
      <formula>$E$20*0.1</formula>
    </cfRule>
  </conditionalFormatting>
  <conditionalFormatting sqref="G53">
    <cfRule type="cellIs" dxfId="57" priority="15" stopIfTrue="1" operator="greaterThan">
      <formula>$G$55*0.1+$G$72</formula>
    </cfRule>
  </conditionalFormatting>
  <conditionalFormatting sqref="G18">
    <cfRule type="cellIs" dxfId="56" priority="16" stopIfTrue="1" operator="greaterThan">
      <formula>$G$20*0.1+$G$37</formula>
    </cfRule>
  </conditionalFormatting>
  <conditionalFormatting sqref="C67:D67 C32:D32">
    <cfRule type="cellIs" dxfId="55" priority="17" stopIfTrue="1" operator="lessThan">
      <formula>0</formula>
    </cfRule>
  </conditionalFormatting>
  <conditionalFormatting sqref="C66:D66">
    <cfRule type="cellIs" dxfId="54" priority="18" stopIfTrue="1" operator="greaterThan">
      <formula>$B$68</formula>
    </cfRule>
  </conditionalFormatting>
  <conditionalFormatting sqref="E66:F66">
    <cfRule type="cellIs" dxfId="53" priority="19" stopIfTrue="1" operator="greaterThan">
      <formula>$C$68</formula>
    </cfRule>
  </conditionalFormatting>
  <conditionalFormatting sqref="C31:D31">
    <cfRule type="cellIs" dxfId="52" priority="20" stopIfTrue="1" operator="greaterThan">
      <formula>$B$33</formula>
    </cfRule>
  </conditionalFormatting>
  <conditionalFormatting sqref="E31:F31">
    <cfRule type="cellIs" dxfId="51" priority="21" stopIfTrue="1" operator="greaterThan">
      <formula>$C$33</formula>
    </cfRule>
  </conditionalFormatting>
  <conditionalFormatting sqref="E32:F32">
    <cfRule type="cellIs" dxfId="50" priority="2" stopIfTrue="1" operator="lessThan">
      <formula>0</formula>
    </cfRule>
  </conditionalFormatting>
  <conditionalFormatting sqref="E67:F67">
    <cfRule type="cellIs" dxfId="49" priority="1" stopIfTrue="1" operator="lessThan">
      <formula>0</formula>
    </cfRule>
  </conditionalFormatting>
  <pageMargins left="0.9" right="0.9" top="0.96" bottom="0.5" header="0.41" footer="0.3"/>
  <pageSetup scale="67" orientation="portrait" blackAndWhite="1" horizontalDpi="4294967292" verticalDpi="96" r:id="rId1"/>
  <headerFooter alignWithMargins="0">
    <oddHeader xml:space="preserve">&amp;RState of Kansas
Township
</oddHeader>
    <oddFooter>&amp;Lrevised 8/25/09</oddFooter>
  </headerFooter>
</worksheet>
</file>

<file path=xl/worksheets/sheet14.xml><?xml version="1.0" encoding="utf-8"?>
<worksheet xmlns="http://schemas.openxmlformats.org/spreadsheetml/2006/main" xmlns:r="http://schemas.openxmlformats.org/officeDocument/2006/relationships">
  <sheetPr>
    <pageSetUpPr fitToPage="1"/>
  </sheetPr>
  <dimension ref="A1:E65"/>
  <sheetViews>
    <sheetView workbookViewId="0">
      <selection activeCell="C54" sqref="C54"/>
    </sheetView>
  </sheetViews>
  <sheetFormatPr defaultRowHeight="15.75"/>
  <cols>
    <col min="1" max="1" width="25.8984375" style="187" customWidth="1"/>
    <col min="2" max="2" width="9.5" style="187" customWidth="1"/>
    <col min="3" max="5" width="14.19921875" style="187" customWidth="1"/>
    <col min="6" max="16384" width="8.796875" style="187"/>
  </cols>
  <sheetData>
    <row r="1" spans="1:5">
      <c r="A1" s="193" t="str">
        <f ca="1">inputPrYr!D2</f>
        <v>Winterset Township</v>
      </c>
      <c r="B1" s="193"/>
      <c r="C1" s="133"/>
      <c r="D1" s="133"/>
      <c r="E1" s="208">
        <f ca="1">inputPrYr!D5</f>
        <v>2013</v>
      </c>
    </row>
    <row r="2" spans="1:5">
      <c r="A2" s="133"/>
      <c r="B2" s="133"/>
      <c r="C2" s="133"/>
      <c r="D2" s="133"/>
      <c r="E2" s="209"/>
    </row>
    <row r="3" spans="1:5">
      <c r="A3" s="200" t="s">
        <v>488</v>
      </c>
      <c r="B3" s="200"/>
      <c r="C3" s="139"/>
      <c r="D3" s="139"/>
      <c r="E3" s="139"/>
    </row>
    <row r="4" spans="1:5">
      <c r="A4" s="141" t="s">
        <v>345</v>
      </c>
      <c r="B4" s="141"/>
      <c r="C4" s="358" t="s">
        <v>346</v>
      </c>
      <c r="D4" s="143" t="s">
        <v>347</v>
      </c>
      <c r="E4" s="143" t="s">
        <v>348</v>
      </c>
    </row>
    <row r="5" spans="1:5">
      <c r="A5" s="232">
        <f ca="1">inputPrYr!B30</f>
        <v>0</v>
      </c>
      <c r="B5" s="232"/>
      <c r="C5" s="148" t="str">
        <f ca="1">gen!C5</f>
        <v>Actual 2011</v>
      </c>
      <c r="D5" s="148" t="str">
        <f ca="1">gen!E5</f>
        <v>Estimate 2012</v>
      </c>
      <c r="E5" s="148" t="str">
        <f ca="1">gen!G5</f>
        <v>Year 2013</v>
      </c>
    </row>
    <row r="6" spans="1:5">
      <c r="A6" s="368" t="s">
        <v>489</v>
      </c>
      <c r="B6" s="369"/>
      <c r="C6" s="311"/>
      <c r="D6" s="284">
        <f>C29</f>
        <v>0</v>
      </c>
      <c r="E6" s="284">
        <f>D29</f>
        <v>0</v>
      </c>
    </row>
    <row r="7" spans="1:5" s="239" customFormat="1">
      <c r="A7" s="370" t="s">
        <v>464</v>
      </c>
      <c r="B7" s="369"/>
      <c r="C7" s="371"/>
      <c r="D7" s="159"/>
      <c r="E7" s="159"/>
    </row>
    <row r="8" spans="1:5">
      <c r="A8" s="316"/>
      <c r="B8" s="372"/>
      <c r="C8" s="311"/>
      <c r="D8" s="279"/>
      <c r="E8" s="279"/>
    </row>
    <row r="9" spans="1:5">
      <c r="A9" s="316"/>
      <c r="B9" s="372"/>
      <c r="C9" s="311"/>
      <c r="D9" s="279"/>
      <c r="E9" s="279"/>
    </row>
    <row r="10" spans="1:5">
      <c r="A10" s="316"/>
      <c r="B10" s="372"/>
      <c r="C10" s="311"/>
      <c r="D10" s="279"/>
      <c r="E10" s="279"/>
    </row>
    <row r="11" spans="1:5">
      <c r="A11" s="316"/>
      <c r="B11" s="372"/>
      <c r="C11" s="311"/>
      <c r="D11" s="279"/>
      <c r="E11" s="279"/>
    </row>
    <row r="12" spans="1:5">
      <c r="A12" s="373" t="s">
        <v>357</v>
      </c>
      <c r="B12" s="372"/>
      <c r="C12" s="311"/>
      <c r="D12" s="279"/>
      <c r="E12" s="279"/>
    </row>
    <row r="13" spans="1:5">
      <c r="A13" s="319" t="s">
        <v>574</v>
      </c>
      <c r="B13" s="320"/>
      <c r="C13" s="311"/>
      <c r="D13" s="311"/>
      <c r="E13" s="311"/>
    </row>
    <row r="14" spans="1:5">
      <c r="A14" s="319" t="s">
        <v>575</v>
      </c>
      <c r="B14" s="320"/>
      <c r="C14" s="321" t="str">
        <f>IF(C15*0.1&lt;C13,"Exceed 10% Rule","")</f>
        <v/>
      </c>
      <c r="D14" s="321" t="str">
        <f>IF(D15*0.1&lt;D13,"Exceed 10% Rule","")</f>
        <v/>
      </c>
      <c r="E14" s="321" t="str">
        <f>IF(E15*0.1&lt;E13,"Exceed 10% Rule","")</f>
        <v/>
      </c>
    </row>
    <row r="15" spans="1:5">
      <c r="A15" s="325" t="s">
        <v>358</v>
      </c>
      <c r="B15" s="369"/>
      <c r="C15" s="323">
        <f>SUM(C8:C13)</f>
        <v>0</v>
      </c>
      <c r="D15" s="324">
        <f>SUM(D8:D13)</f>
        <v>0</v>
      </c>
      <c r="E15" s="324">
        <f>SUM(E8:E13)</f>
        <v>0</v>
      </c>
    </row>
    <row r="16" spans="1:5">
      <c r="A16" s="325" t="s">
        <v>359</v>
      </c>
      <c r="B16" s="369"/>
      <c r="C16" s="323">
        <f>C6+C15</f>
        <v>0</v>
      </c>
      <c r="D16" s="324">
        <f>D6+D15</f>
        <v>0</v>
      </c>
      <c r="E16" s="324">
        <f>E6+E15</f>
        <v>0</v>
      </c>
    </row>
    <row r="17" spans="1:5">
      <c r="A17" s="149" t="s">
        <v>360</v>
      </c>
      <c r="B17" s="369"/>
      <c r="C17" s="312"/>
      <c r="D17" s="284"/>
      <c r="E17" s="284"/>
    </row>
    <row r="18" spans="1:5">
      <c r="A18" s="316"/>
      <c r="B18" s="372"/>
      <c r="C18" s="311"/>
      <c r="D18" s="279"/>
      <c r="E18" s="279"/>
    </row>
    <row r="19" spans="1:5">
      <c r="A19" s="316"/>
      <c r="B19" s="372"/>
      <c r="C19" s="311"/>
      <c r="D19" s="279"/>
      <c r="E19" s="279"/>
    </row>
    <row r="20" spans="1:5">
      <c r="A20" s="316"/>
      <c r="B20" s="372"/>
      <c r="C20" s="311"/>
      <c r="D20" s="279"/>
      <c r="E20" s="279"/>
    </row>
    <row r="21" spans="1:5">
      <c r="A21" s="316"/>
      <c r="B21" s="372"/>
      <c r="C21" s="311"/>
      <c r="D21" s="279"/>
      <c r="E21" s="279"/>
    </row>
    <row r="22" spans="1:5">
      <c r="A22" s="316"/>
      <c r="B22" s="372"/>
      <c r="C22" s="311"/>
      <c r="D22" s="279"/>
      <c r="E22" s="279"/>
    </row>
    <row r="23" spans="1:5">
      <c r="A23" s="316"/>
      <c r="B23" s="372"/>
      <c r="C23" s="311"/>
      <c r="D23" s="279"/>
      <c r="E23" s="279"/>
    </row>
    <row r="24" spans="1:5">
      <c r="A24" s="316"/>
      <c r="B24" s="372"/>
      <c r="C24" s="311"/>
      <c r="D24" s="279"/>
      <c r="E24" s="279"/>
    </row>
    <row r="25" spans="1:5">
      <c r="A25" s="316"/>
      <c r="B25" s="372"/>
      <c r="C25" s="311"/>
      <c r="D25" s="279"/>
      <c r="E25" s="279"/>
    </row>
    <row r="26" spans="1:5">
      <c r="A26" s="314" t="s">
        <v>574</v>
      </c>
      <c r="B26" s="320"/>
      <c r="C26" s="311"/>
      <c r="D26" s="311"/>
      <c r="E26" s="311"/>
    </row>
    <row r="27" spans="1:5">
      <c r="A27" s="314" t="s">
        <v>576</v>
      </c>
      <c r="B27" s="320"/>
      <c r="C27" s="321" t="str">
        <f>IF(C28*0.1&lt;C26,"Exceed 10% Rule","")</f>
        <v/>
      </c>
      <c r="D27" s="321" t="str">
        <f>IF(D28*0.1&lt;D26,"Exceed 10% Rule","")</f>
        <v/>
      </c>
      <c r="E27" s="321" t="str">
        <f>IF(E28*0.1&lt;E26,"Exceed 10% Rule","")</f>
        <v/>
      </c>
    </row>
    <row r="28" spans="1:5">
      <c r="A28" s="325" t="s">
        <v>361</v>
      </c>
      <c r="B28" s="369"/>
      <c r="C28" s="323">
        <f>SUM(C18:C26)</f>
        <v>0</v>
      </c>
      <c r="D28" s="324">
        <f>SUM(D18:D26)</f>
        <v>0</v>
      </c>
      <c r="E28" s="324">
        <f>SUM(E18:E26)</f>
        <v>0</v>
      </c>
    </row>
    <row r="29" spans="1:5">
      <c r="A29" s="149" t="s">
        <v>463</v>
      </c>
      <c r="B29" s="369"/>
      <c r="C29" s="331">
        <f>C16-C28</f>
        <v>0</v>
      </c>
      <c r="D29" s="329">
        <f>D16-D28</f>
        <v>0</v>
      </c>
      <c r="E29" s="329">
        <f>E16-E28</f>
        <v>0</v>
      </c>
    </row>
    <row r="30" spans="1:5">
      <c r="A30" s="191" t="str">
        <f>CONCATENATE("",E1-2,"/",E1-1," Budget Authority Amount:")</f>
        <v>2011/2012 Budget Authority Amount:</v>
      </c>
      <c r="B30" s="332"/>
      <c r="C30" s="332">
        <f ca="1">inputOth!B59</f>
        <v>0</v>
      </c>
      <c r="D30" s="332">
        <f ca="1">inputPrYr!D30</f>
        <v>0</v>
      </c>
      <c r="E30" s="441" t="str">
        <f>IF(E29&lt;0,"See Tab E","")</f>
        <v/>
      </c>
    </row>
    <row r="31" spans="1:5">
      <c r="A31" s="191" t="str">
        <f>CONCATENATE("Violation of Budget Law for ",E1-2,"/",E1-1,":")</f>
        <v>Violation of Budget Law for 2011/2012:</v>
      </c>
      <c r="B31" s="334"/>
      <c r="C31" s="334" t="str">
        <f>IF(C28&gt;C30,"See Tab A","")</f>
        <v/>
      </c>
      <c r="D31" s="334" t="str">
        <f>IF(D28&gt;D30,"See Tab C","")</f>
        <v/>
      </c>
      <c r="E31" s="196"/>
    </row>
    <row r="32" spans="1:5">
      <c r="A32" s="191" t="str">
        <f>CONCATENATE("Possible Cash Violation for ",E1-2,":")</f>
        <v>Possible Cash Violation for 2011:</v>
      </c>
      <c r="B32" s="334"/>
      <c r="C32" s="334" t="str">
        <f>IF(C29&lt;0,"See Tab B","")</f>
        <v/>
      </c>
      <c r="D32" s="440" t="str">
        <f>IF(D29&lt;0,"See Tab D","")</f>
        <v/>
      </c>
      <c r="E32" s="196"/>
    </row>
    <row r="33" spans="1:5">
      <c r="A33" s="133"/>
      <c r="B33" s="133"/>
      <c r="C33" s="196"/>
      <c r="D33" s="196"/>
      <c r="E33" s="196"/>
    </row>
    <row r="34" spans="1:5">
      <c r="A34" s="141" t="s">
        <v>345</v>
      </c>
      <c r="B34" s="141"/>
      <c r="C34" s="139"/>
      <c r="D34" s="139"/>
      <c r="E34" s="139"/>
    </row>
    <row r="35" spans="1:5">
      <c r="A35" s="133"/>
      <c r="B35" s="133"/>
      <c r="C35" s="358" t="s">
        <v>346</v>
      </c>
      <c r="D35" s="143" t="s">
        <v>347</v>
      </c>
      <c r="E35" s="143" t="s">
        <v>348</v>
      </c>
    </row>
    <row r="36" spans="1:5">
      <c r="A36" s="231">
        <f ca="1">inputPrYr!B31</f>
        <v>0</v>
      </c>
      <c r="B36" s="232"/>
      <c r="C36" s="148" t="str">
        <f>C5</f>
        <v>Actual 2011</v>
      </c>
      <c r="D36" s="148" t="str">
        <f>D5</f>
        <v>Estimate 2012</v>
      </c>
      <c r="E36" s="148" t="str">
        <f>E5</f>
        <v>Year 2013</v>
      </c>
    </row>
    <row r="37" spans="1:5">
      <c r="A37" s="368" t="s">
        <v>489</v>
      </c>
      <c r="B37" s="369"/>
      <c r="C37" s="311"/>
      <c r="D37" s="284">
        <f>C60</f>
        <v>0</v>
      </c>
      <c r="E37" s="284">
        <f>D60</f>
        <v>0</v>
      </c>
    </row>
    <row r="38" spans="1:5" s="239" customFormat="1">
      <c r="A38" s="368" t="s">
        <v>464</v>
      </c>
      <c r="B38" s="369"/>
      <c r="C38" s="371"/>
      <c r="D38" s="159"/>
      <c r="E38" s="159"/>
    </row>
    <row r="39" spans="1:5">
      <c r="A39" s="316"/>
      <c r="B39" s="372"/>
      <c r="C39" s="311"/>
      <c r="D39" s="279"/>
      <c r="E39" s="279"/>
    </row>
    <row r="40" spans="1:5">
      <c r="A40" s="316"/>
      <c r="B40" s="372"/>
      <c r="C40" s="311"/>
      <c r="D40" s="279"/>
      <c r="E40" s="279"/>
    </row>
    <row r="41" spans="1:5">
      <c r="A41" s="316"/>
      <c r="B41" s="372"/>
      <c r="C41" s="311"/>
      <c r="D41" s="279"/>
      <c r="E41" s="279"/>
    </row>
    <row r="42" spans="1:5">
      <c r="A42" s="316"/>
      <c r="B42" s="372"/>
      <c r="C42" s="311"/>
      <c r="D42" s="279"/>
      <c r="E42" s="279"/>
    </row>
    <row r="43" spans="1:5">
      <c r="A43" s="373" t="s">
        <v>357</v>
      </c>
      <c r="B43" s="372"/>
      <c r="C43" s="311"/>
      <c r="D43" s="279"/>
      <c r="E43" s="279"/>
    </row>
    <row r="44" spans="1:5">
      <c r="A44" s="319" t="s">
        <v>574</v>
      </c>
      <c r="B44" s="320"/>
      <c r="C44" s="311"/>
      <c r="D44" s="311"/>
      <c r="E44" s="311"/>
    </row>
    <row r="45" spans="1:5">
      <c r="A45" s="319" t="s">
        <v>575</v>
      </c>
      <c r="B45" s="320"/>
      <c r="C45" s="321" t="str">
        <f>IF(C46*0.1&lt;C44,"Exceed 10% Rule","")</f>
        <v/>
      </c>
      <c r="D45" s="321" t="str">
        <f>IF(D46*0.1&lt;D44,"Exceed 10% Rule","")</f>
        <v/>
      </c>
      <c r="E45" s="321" t="str">
        <f>IF(E46*0.1&lt;E44,"Exceed 10% Rule","")</f>
        <v/>
      </c>
    </row>
    <row r="46" spans="1:5">
      <c r="A46" s="325" t="s">
        <v>358</v>
      </c>
      <c r="B46" s="369"/>
      <c r="C46" s="323">
        <f>SUM(C39:C44)</f>
        <v>0</v>
      </c>
      <c r="D46" s="324">
        <f>SUM(D39:D44)</f>
        <v>0</v>
      </c>
      <c r="E46" s="324">
        <f>SUM(E39:E44)</f>
        <v>0</v>
      </c>
    </row>
    <row r="47" spans="1:5">
      <c r="A47" s="325" t="s">
        <v>359</v>
      </c>
      <c r="B47" s="369"/>
      <c r="C47" s="323">
        <f>C37+C46</f>
        <v>0</v>
      </c>
      <c r="D47" s="324">
        <f>D37+D46</f>
        <v>0</v>
      </c>
      <c r="E47" s="324">
        <f>E37+E46</f>
        <v>0</v>
      </c>
    </row>
    <row r="48" spans="1:5">
      <c r="A48" s="149" t="s">
        <v>360</v>
      </c>
      <c r="B48" s="369"/>
      <c r="C48" s="312"/>
      <c r="D48" s="284"/>
      <c r="E48" s="284"/>
    </row>
    <row r="49" spans="1:5">
      <c r="A49" s="316"/>
      <c r="B49" s="372"/>
      <c r="C49" s="311"/>
      <c r="D49" s="279"/>
      <c r="E49" s="279"/>
    </row>
    <row r="50" spans="1:5">
      <c r="A50" s="316"/>
      <c r="B50" s="372"/>
      <c r="C50" s="311"/>
      <c r="D50" s="279"/>
      <c r="E50" s="279"/>
    </row>
    <row r="51" spans="1:5">
      <c r="A51" s="316"/>
      <c r="B51" s="372"/>
      <c r="C51" s="311"/>
      <c r="D51" s="279"/>
      <c r="E51" s="279"/>
    </row>
    <row r="52" spans="1:5">
      <c r="A52" s="316"/>
      <c r="B52" s="372"/>
      <c r="C52" s="311"/>
      <c r="D52" s="279"/>
      <c r="E52" s="279"/>
    </row>
    <row r="53" spans="1:5">
      <c r="A53" s="316"/>
      <c r="B53" s="372"/>
      <c r="C53" s="311"/>
      <c r="D53" s="279"/>
      <c r="E53" s="279"/>
    </row>
    <row r="54" spans="1:5">
      <c r="A54" s="316"/>
      <c r="B54" s="372"/>
      <c r="C54" s="311"/>
      <c r="D54" s="279"/>
      <c r="E54" s="279"/>
    </row>
    <row r="55" spans="1:5">
      <c r="A55" s="316"/>
      <c r="B55" s="372"/>
      <c r="C55" s="311"/>
      <c r="D55" s="279"/>
      <c r="E55" s="279"/>
    </row>
    <row r="56" spans="1:5">
      <c r="A56" s="316"/>
      <c r="B56" s="372"/>
      <c r="C56" s="311"/>
      <c r="D56" s="279"/>
      <c r="E56" s="279"/>
    </row>
    <row r="57" spans="1:5">
      <c r="A57" s="314" t="s">
        <v>574</v>
      </c>
      <c r="B57" s="320"/>
      <c r="C57" s="311"/>
      <c r="D57" s="311"/>
      <c r="E57" s="311"/>
    </row>
    <row r="58" spans="1:5">
      <c r="A58" s="314" t="s">
        <v>576</v>
      </c>
      <c r="B58" s="320"/>
      <c r="C58" s="321" t="str">
        <f>IF(C59*0.1&lt;C57,"Exceed 10% Rule","")</f>
        <v/>
      </c>
      <c r="D58" s="321" t="str">
        <f>IF(D59*0.1&lt;D57,"Exceed 10% Rule","")</f>
        <v/>
      </c>
      <c r="E58" s="321" t="str">
        <f>IF(E59*0.1&lt;E57,"Exceed 10% Rule","")</f>
        <v/>
      </c>
    </row>
    <row r="59" spans="1:5">
      <c r="A59" s="325" t="s">
        <v>361</v>
      </c>
      <c r="B59" s="369"/>
      <c r="C59" s="323">
        <f>SUM(C49:C57)</f>
        <v>0</v>
      </c>
      <c r="D59" s="324">
        <f>SUM(D49:D57)</f>
        <v>0</v>
      </c>
      <c r="E59" s="324">
        <f>SUM(E49:E57)</f>
        <v>0</v>
      </c>
    </row>
    <row r="60" spans="1:5">
      <c r="A60" s="149" t="s">
        <v>463</v>
      </c>
      <c r="B60" s="369"/>
      <c r="C60" s="331">
        <f>C47-C59</f>
        <v>0</v>
      </c>
      <c r="D60" s="329">
        <f>D47-D59</f>
        <v>0</v>
      </c>
      <c r="E60" s="329">
        <f>E47-E59</f>
        <v>0</v>
      </c>
    </row>
    <row r="61" spans="1:5">
      <c r="A61" s="191" t="str">
        <f>CONCATENATE("",E1-2,"/",E1-1," Budget Authority Amount:")</f>
        <v>2011/2012 Budget Authority Amount:</v>
      </c>
      <c r="B61" s="332"/>
      <c r="C61" s="332">
        <f ca="1">inputOth!B60</f>
        <v>0</v>
      </c>
      <c r="D61" s="332">
        <f ca="1">inputPrYr!D31</f>
        <v>0</v>
      </c>
      <c r="E61" s="334" t="str">
        <f>IF(E60&lt;0,"See Tab E","")</f>
        <v/>
      </c>
    </row>
    <row r="62" spans="1:5">
      <c r="A62" s="191"/>
      <c r="B62" s="334"/>
      <c r="C62" s="334" t="str">
        <f>IF(C59&gt;C61,"See Tab A","")</f>
        <v/>
      </c>
      <c r="D62" s="334" t="str">
        <f>IF(D59&gt;D61,"See Tab C","")</f>
        <v/>
      </c>
      <c r="E62" s="133"/>
    </row>
    <row r="63" spans="1:5">
      <c r="A63" s="191"/>
      <c r="B63" s="334"/>
      <c r="C63" s="334" t="str">
        <f>IF(C60&lt;0,"See Tab B","")</f>
        <v/>
      </c>
      <c r="D63" s="440" t="str">
        <f>IF(D60&lt;0,"See Tab D","")</f>
        <v/>
      </c>
      <c r="E63" s="133"/>
    </row>
    <row r="64" spans="1:5">
      <c r="A64" s="133"/>
      <c r="B64" s="133"/>
      <c r="C64" s="133"/>
      <c r="D64" s="133"/>
      <c r="E64" s="133"/>
    </row>
    <row r="65" spans="1:5">
      <c r="A65" s="209"/>
      <c r="B65" s="209" t="s">
        <v>344</v>
      </c>
      <c r="C65" s="355"/>
      <c r="D65" s="133"/>
      <c r="E65" s="133"/>
    </row>
  </sheetData>
  <sheetProtection sheet="1" objects="1" scenarios="1"/>
  <phoneticPr fontId="11" type="noConversion"/>
  <conditionalFormatting sqref="C57">
    <cfRule type="cellIs" dxfId="48" priority="3" stopIfTrue="1" operator="greaterThan">
      <formula>$C$59*0.1</formula>
    </cfRule>
  </conditionalFormatting>
  <conditionalFormatting sqref="D57">
    <cfRule type="cellIs" dxfId="47" priority="4" stopIfTrue="1" operator="greaterThan">
      <formula>$D$59*0.1</formula>
    </cfRule>
  </conditionalFormatting>
  <conditionalFormatting sqref="E57">
    <cfRule type="cellIs" dxfId="46" priority="5" stopIfTrue="1" operator="greaterThan">
      <formula>$E$59*0.1</formula>
    </cfRule>
  </conditionalFormatting>
  <conditionalFormatting sqref="C44">
    <cfRule type="cellIs" dxfId="45" priority="6" stopIfTrue="1" operator="greaterThan">
      <formula>$C$46*0.1</formula>
    </cfRule>
  </conditionalFormatting>
  <conditionalFormatting sqref="D44">
    <cfRule type="cellIs" dxfId="44" priority="7" stopIfTrue="1" operator="greaterThan">
      <formula>$D$46*0.1</formula>
    </cfRule>
  </conditionalFormatting>
  <conditionalFormatting sqref="E44">
    <cfRule type="cellIs" dxfId="43" priority="8" stopIfTrue="1" operator="greaterThan">
      <formula>$E$46*0.1</formula>
    </cfRule>
  </conditionalFormatting>
  <conditionalFormatting sqref="C26">
    <cfRule type="cellIs" dxfId="42" priority="9" stopIfTrue="1" operator="greaterThan">
      <formula>$C$28*0.1</formula>
    </cfRule>
  </conditionalFormatting>
  <conditionalFormatting sqref="D26">
    <cfRule type="cellIs" dxfId="41" priority="10" stopIfTrue="1" operator="greaterThan">
      <formula>$D$28*0.1</formula>
    </cfRule>
  </conditionalFormatting>
  <conditionalFormatting sqref="E26">
    <cfRule type="cellIs" dxfId="40" priority="11" stopIfTrue="1" operator="greaterThan">
      <formula>$E$28*0.1</formula>
    </cfRule>
  </conditionalFormatting>
  <conditionalFormatting sqref="C13">
    <cfRule type="cellIs" dxfId="39" priority="12" stopIfTrue="1" operator="greaterThan">
      <formula>$C$15*0.1</formula>
    </cfRule>
  </conditionalFormatting>
  <conditionalFormatting sqref="D13">
    <cfRule type="cellIs" dxfId="38" priority="13" stopIfTrue="1" operator="greaterThan">
      <formula>$D$15*0.1</formula>
    </cfRule>
  </conditionalFormatting>
  <conditionalFormatting sqref="E13">
    <cfRule type="cellIs" dxfId="37" priority="14" stopIfTrue="1" operator="greaterThan">
      <formula>$E$15*0.1</formula>
    </cfRule>
  </conditionalFormatting>
  <conditionalFormatting sqref="C59">
    <cfRule type="cellIs" dxfId="36" priority="15" stopIfTrue="1" operator="greaterThan">
      <formula>$C$61</formula>
    </cfRule>
  </conditionalFormatting>
  <conditionalFormatting sqref="C60 E60 E29 C29">
    <cfRule type="cellIs" dxfId="35" priority="16" stopIfTrue="1" operator="lessThan">
      <formula>0</formula>
    </cfRule>
  </conditionalFormatting>
  <conditionalFormatting sqref="C28">
    <cfRule type="cellIs" dxfId="34" priority="17" stopIfTrue="1" operator="greaterThan">
      <formula>$C$30</formula>
    </cfRule>
  </conditionalFormatting>
  <conditionalFormatting sqref="D28">
    <cfRule type="cellIs" dxfId="33" priority="18" stopIfTrue="1" operator="greaterThan">
      <formula>$D$30</formula>
    </cfRule>
  </conditionalFormatting>
  <conditionalFormatting sqref="D59">
    <cfRule type="cellIs" dxfId="32" priority="19" stopIfTrue="1" operator="greaterThan">
      <formula>$D$61</formula>
    </cfRule>
  </conditionalFormatting>
  <conditionalFormatting sqref="D29">
    <cfRule type="cellIs" dxfId="31" priority="2" stopIfTrue="1" operator="lessThan">
      <formula>0</formula>
    </cfRule>
  </conditionalFormatting>
  <conditionalFormatting sqref="D60">
    <cfRule type="cellIs" dxfId="30" priority="1" stopIfTrue="1" operator="lessThan">
      <formula>0</formula>
    </cfRule>
  </conditionalFormatting>
  <pageMargins left="0.75" right="0.75" top="1" bottom="1" header="0.5" footer="0.5"/>
  <pageSetup scale="71" orientation="portrait" blackAndWhite="1" r:id="rId1"/>
  <headerFooter alignWithMargins="0">
    <oddHeader>&amp;RState of Kansas
Township</oddHeader>
    <oddFooter>&amp;Lrevised 8/25/09</oddFooter>
  </headerFooter>
</worksheet>
</file>

<file path=xl/worksheets/sheet15.xml><?xml version="1.0" encoding="utf-8"?>
<worksheet xmlns="http://schemas.openxmlformats.org/spreadsheetml/2006/main" xmlns:r="http://schemas.openxmlformats.org/officeDocument/2006/relationships">
  <sheetPr>
    <pageSetUpPr fitToPage="1"/>
  </sheetPr>
  <dimension ref="A1:E65"/>
  <sheetViews>
    <sheetView workbookViewId="0">
      <selection activeCell="C62" sqref="C62:D63"/>
    </sheetView>
  </sheetViews>
  <sheetFormatPr defaultRowHeight="15.75"/>
  <cols>
    <col min="1" max="1" width="25.8984375" style="187" customWidth="1"/>
    <col min="2" max="2" width="9.5" style="187" customWidth="1"/>
    <col min="3" max="5" width="14.19921875" style="187" customWidth="1"/>
    <col min="6" max="16384" width="8.796875" style="187"/>
  </cols>
  <sheetData>
    <row r="1" spans="1:5">
      <c r="A1" s="193" t="str">
        <f ca="1">inputPrYr!D2</f>
        <v>Winterset Township</v>
      </c>
      <c r="B1" s="193"/>
      <c r="C1" s="133"/>
      <c r="D1" s="133"/>
      <c r="E1" s="208">
        <f ca="1">inputPrYr!D5</f>
        <v>2013</v>
      </c>
    </row>
    <row r="2" spans="1:5">
      <c r="A2" s="133"/>
      <c r="B2" s="133"/>
      <c r="C2" s="133"/>
      <c r="D2" s="133"/>
      <c r="E2" s="209"/>
    </row>
    <row r="3" spans="1:5">
      <c r="A3" s="200" t="s">
        <v>488</v>
      </c>
      <c r="B3" s="200"/>
      <c r="C3" s="139"/>
      <c r="D3" s="139"/>
      <c r="E3" s="139"/>
    </row>
    <row r="4" spans="1:5">
      <c r="A4" s="141" t="s">
        <v>345</v>
      </c>
      <c r="B4" s="141"/>
      <c r="C4" s="358" t="s">
        <v>346</v>
      </c>
      <c r="D4" s="143" t="s">
        <v>347</v>
      </c>
      <c r="E4" s="143" t="s">
        <v>348</v>
      </c>
    </row>
    <row r="5" spans="1:5">
      <c r="A5" s="232">
        <f ca="1">inputPrYr!B32</f>
        <v>0</v>
      </c>
      <c r="B5" s="232"/>
      <c r="C5" s="148" t="str">
        <f ca="1">gen!C5</f>
        <v>Actual 2011</v>
      </c>
      <c r="D5" s="148" t="str">
        <f ca="1">gen!E5</f>
        <v>Estimate 2012</v>
      </c>
      <c r="E5" s="148" t="str">
        <f ca="1">gen!G5</f>
        <v>Year 2013</v>
      </c>
    </row>
    <row r="6" spans="1:5">
      <c r="A6" s="368" t="s">
        <v>489</v>
      </c>
      <c r="B6" s="369"/>
      <c r="C6" s="311"/>
      <c r="D6" s="284">
        <f>C29</f>
        <v>0</v>
      </c>
      <c r="E6" s="284">
        <f>D29</f>
        <v>0</v>
      </c>
    </row>
    <row r="7" spans="1:5" s="239" customFormat="1">
      <c r="A7" s="370" t="s">
        <v>464</v>
      </c>
      <c r="B7" s="369"/>
      <c r="C7" s="371"/>
      <c r="D7" s="159"/>
      <c r="E7" s="159"/>
    </row>
    <row r="8" spans="1:5">
      <c r="A8" s="316"/>
      <c r="B8" s="372"/>
      <c r="C8" s="311"/>
      <c r="D8" s="279"/>
      <c r="E8" s="279"/>
    </row>
    <row r="9" spans="1:5">
      <c r="A9" s="316"/>
      <c r="B9" s="372"/>
      <c r="C9" s="311"/>
      <c r="D9" s="279"/>
      <c r="E9" s="279"/>
    </row>
    <row r="10" spans="1:5">
      <c r="A10" s="316"/>
      <c r="B10" s="372"/>
      <c r="C10" s="311"/>
      <c r="D10" s="279"/>
      <c r="E10" s="279"/>
    </row>
    <row r="11" spans="1:5">
      <c r="A11" s="316"/>
      <c r="B11" s="372"/>
      <c r="C11" s="311"/>
      <c r="D11" s="279"/>
      <c r="E11" s="279"/>
    </row>
    <row r="12" spans="1:5">
      <c r="A12" s="373" t="s">
        <v>357</v>
      </c>
      <c r="B12" s="372"/>
      <c r="C12" s="311"/>
      <c r="D12" s="279"/>
      <c r="E12" s="279"/>
    </row>
    <row r="13" spans="1:5">
      <c r="A13" s="319" t="s">
        <v>574</v>
      </c>
      <c r="B13" s="320"/>
      <c r="C13" s="311"/>
      <c r="D13" s="311"/>
      <c r="E13" s="311"/>
    </row>
    <row r="14" spans="1:5">
      <c r="A14" s="319" t="s">
        <v>575</v>
      </c>
      <c r="B14" s="320"/>
      <c r="C14" s="321" t="str">
        <f>IF(C15*0.1&lt;C13,"Exceed 10% Rule","")</f>
        <v/>
      </c>
      <c r="D14" s="321" t="str">
        <f>IF(D15*0.1&lt;D13,"Exceed 10% Rule","")</f>
        <v/>
      </c>
      <c r="E14" s="321" t="str">
        <f>IF(E15*0.1&lt;E13,"Exceed 10% Rule","")</f>
        <v/>
      </c>
    </row>
    <row r="15" spans="1:5">
      <c r="A15" s="325" t="s">
        <v>358</v>
      </c>
      <c r="B15" s="369"/>
      <c r="C15" s="323">
        <f>SUM(C8:C13)</f>
        <v>0</v>
      </c>
      <c r="D15" s="324">
        <f>SUM(D8:D13)</f>
        <v>0</v>
      </c>
      <c r="E15" s="324">
        <f>SUM(E8:E13)</f>
        <v>0</v>
      </c>
    </row>
    <row r="16" spans="1:5">
      <c r="A16" s="325" t="s">
        <v>359</v>
      </c>
      <c r="B16" s="369"/>
      <c r="C16" s="323">
        <f>C6+C15</f>
        <v>0</v>
      </c>
      <c r="D16" s="324">
        <f>D6+D15</f>
        <v>0</v>
      </c>
      <c r="E16" s="324">
        <f>E6+E15</f>
        <v>0</v>
      </c>
    </row>
    <row r="17" spans="1:5">
      <c r="A17" s="149" t="s">
        <v>360</v>
      </c>
      <c r="B17" s="369"/>
      <c r="C17" s="312"/>
      <c r="D17" s="284"/>
      <c r="E17" s="284"/>
    </row>
    <row r="18" spans="1:5">
      <c r="A18" s="316"/>
      <c r="B18" s="372"/>
      <c r="C18" s="311"/>
      <c r="D18" s="279"/>
      <c r="E18" s="279"/>
    </row>
    <row r="19" spans="1:5">
      <c r="A19" s="316"/>
      <c r="B19" s="372"/>
      <c r="C19" s="311"/>
      <c r="D19" s="279"/>
      <c r="E19" s="279"/>
    </row>
    <row r="20" spans="1:5">
      <c r="A20" s="316"/>
      <c r="B20" s="372"/>
      <c r="C20" s="311"/>
      <c r="D20" s="279"/>
      <c r="E20" s="279"/>
    </row>
    <row r="21" spans="1:5">
      <c r="A21" s="316"/>
      <c r="B21" s="372"/>
      <c r="C21" s="311"/>
      <c r="D21" s="279"/>
      <c r="E21" s="279"/>
    </row>
    <row r="22" spans="1:5">
      <c r="A22" s="316"/>
      <c r="B22" s="372"/>
      <c r="C22" s="311"/>
      <c r="D22" s="279"/>
      <c r="E22" s="279"/>
    </row>
    <row r="23" spans="1:5">
      <c r="A23" s="316"/>
      <c r="B23" s="372"/>
      <c r="C23" s="311"/>
      <c r="D23" s="279"/>
      <c r="E23" s="279"/>
    </row>
    <row r="24" spans="1:5">
      <c r="A24" s="316"/>
      <c r="B24" s="372"/>
      <c r="C24" s="311"/>
      <c r="D24" s="279"/>
      <c r="E24" s="279"/>
    </row>
    <row r="25" spans="1:5">
      <c r="A25" s="316"/>
      <c r="B25" s="372"/>
      <c r="C25" s="311"/>
      <c r="D25" s="279"/>
      <c r="E25" s="279"/>
    </row>
    <row r="26" spans="1:5">
      <c r="A26" s="314" t="s">
        <v>574</v>
      </c>
      <c r="B26" s="320"/>
      <c r="C26" s="311"/>
      <c r="D26" s="311"/>
      <c r="E26" s="311"/>
    </row>
    <row r="27" spans="1:5">
      <c r="A27" s="314" t="s">
        <v>576</v>
      </c>
      <c r="B27" s="320"/>
      <c r="C27" s="321" t="str">
        <f>IF(C28*0.1&lt;C26,"Exceed 10% Rule","")</f>
        <v/>
      </c>
      <c r="D27" s="321" t="str">
        <f>IF(D28*0.1&lt;D26,"Exceed 10% Rule","")</f>
        <v/>
      </c>
      <c r="E27" s="321" t="str">
        <f>IF(E28*0.1&lt;E26,"Exceed 10% Rule","")</f>
        <v/>
      </c>
    </row>
    <row r="28" spans="1:5">
      <c r="A28" s="325" t="s">
        <v>361</v>
      </c>
      <c r="B28" s="369"/>
      <c r="C28" s="323">
        <f>SUM(C18:C26)</f>
        <v>0</v>
      </c>
      <c r="D28" s="324">
        <f>SUM(D18:D26)</f>
        <v>0</v>
      </c>
      <c r="E28" s="324">
        <f>SUM(E18:E26)</f>
        <v>0</v>
      </c>
    </row>
    <row r="29" spans="1:5">
      <c r="A29" s="149" t="s">
        <v>463</v>
      </c>
      <c r="B29" s="369"/>
      <c r="C29" s="331">
        <f>C16-C28</f>
        <v>0</v>
      </c>
      <c r="D29" s="329">
        <f>D16-D28</f>
        <v>0</v>
      </c>
      <c r="E29" s="329">
        <f>E16-E28</f>
        <v>0</v>
      </c>
    </row>
    <row r="30" spans="1:5">
      <c r="A30" s="191" t="str">
        <f>CONCATENATE("",E1-2,"/",E1-1," Budget Authority Amount:")</f>
        <v>2011/2012 Budget Authority Amount:</v>
      </c>
      <c r="B30" s="332"/>
      <c r="C30" s="332">
        <f ca="1">inputOth!B61</f>
        <v>0</v>
      </c>
      <c r="D30" s="332">
        <f ca="1">inputPrYr!D32</f>
        <v>0</v>
      </c>
      <c r="E30" s="441" t="str">
        <f>IF(E29&lt;0,"See Tab E","")</f>
        <v/>
      </c>
    </row>
    <row r="31" spans="1:5">
      <c r="A31" s="191"/>
      <c r="B31" s="334"/>
      <c r="C31" s="334" t="str">
        <f>IF(C28&gt;C30,"See Tab A","")</f>
        <v/>
      </c>
      <c r="D31" s="334" t="str">
        <f>IF(D28&gt;D30,"See Tab C","")</f>
        <v/>
      </c>
      <c r="E31" s="196"/>
    </row>
    <row r="32" spans="1:5">
      <c r="A32" s="191"/>
      <c r="B32" s="334"/>
      <c r="C32" s="334" t="str">
        <f>IF(C29&lt;0,"See Tab B","")</f>
        <v/>
      </c>
      <c r="D32" s="440" t="str">
        <f>IF(D29&lt;0,"See Tab D","")</f>
        <v/>
      </c>
      <c r="E32" s="196"/>
    </row>
    <row r="33" spans="1:5">
      <c r="A33" s="133"/>
      <c r="B33" s="133"/>
      <c r="C33" s="196"/>
      <c r="D33" s="196"/>
      <c r="E33" s="196"/>
    </row>
    <row r="34" spans="1:5">
      <c r="A34" s="141" t="s">
        <v>345</v>
      </c>
      <c r="B34" s="141"/>
      <c r="C34" s="139"/>
      <c r="D34" s="139"/>
      <c r="E34" s="139"/>
    </row>
    <row r="35" spans="1:5">
      <c r="A35" s="133"/>
      <c r="B35" s="133"/>
      <c r="C35" s="358" t="s">
        <v>346</v>
      </c>
      <c r="D35" s="143" t="s">
        <v>347</v>
      </c>
      <c r="E35" s="143" t="s">
        <v>348</v>
      </c>
    </row>
    <row r="36" spans="1:5">
      <c r="A36" s="231">
        <f ca="1">inputPrYr!B33</f>
        <v>0</v>
      </c>
      <c r="B36" s="232"/>
      <c r="C36" s="148" t="str">
        <f>C5</f>
        <v>Actual 2011</v>
      </c>
      <c r="D36" s="148" t="str">
        <f>D5</f>
        <v>Estimate 2012</v>
      </c>
      <c r="E36" s="148" t="str">
        <f>E5</f>
        <v>Year 2013</v>
      </c>
    </row>
    <row r="37" spans="1:5">
      <c r="A37" s="368" t="s">
        <v>489</v>
      </c>
      <c r="B37" s="369"/>
      <c r="C37" s="311"/>
      <c r="D37" s="284">
        <f>C60</f>
        <v>0</v>
      </c>
      <c r="E37" s="284">
        <f>D60</f>
        <v>0</v>
      </c>
    </row>
    <row r="38" spans="1:5" s="239" customFormat="1">
      <c r="A38" s="368" t="s">
        <v>464</v>
      </c>
      <c r="B38" s="369"/>
      <c r="C38" s="371"/>
      <c r="D38" s="159"/>
      <c r="E38" s="159"/>
    </row>
    <row r="39" spans="1:5">
      <c r="A39" s="316"/>
      <c r="B39" s="372"/>
      <c r="C39" s="311"/>
      <c r="D39" s="279"/>
      <c r="E39" s="279"/>
    </row>
    <row r="40" spans="1:5">
      <c r="A40" s="316"/>
      <c r="B40" s="372"/>
      <c r="C40" s="311"/>
      <c r="D40" s="279"/>
      <c r="E40" s="279"/>
    </row>
    <row r="41" spans="1:5">
      <c r="A41" s="316"/>
      <c r="B41" s="372"/>
      <c r="C41" s="311"/>
      <c r="D41" s="279"/>
      <c r="E41" s="279"/>
    </row>
    <row r="42" spans="1:5">
      <c r="A42" s="316"/>
      <c r="B42" s="372"/>
      <c r="C42" s="311"/>
      <c r="D42" s="279"/>
      <c r="E42" s="279"/>
    </row>
    <row r="43" spans="1:5">
      <c r="A43" s="373" t="s">
        <v>357</v>
      </c>
      <c r="B43" s="372"/>
      <c r="C43" s="311"/>
      <c r="D43" s="279"/>
      <c r="E43" s="279"/>
    </row>
    <row r="44" spans="1:5">
      <c r="A44" s="319" t="s">
        <v>574</v>
      </c>
      <c r="B44" s="320"/>
      <c r="C44" s="311"/>
      <c r="D44" s="311"/>
      <c r="E44" s="311"/>
    </row>
    <row r="45" spans="1:5">
      <c r="A45" s="319" t="s">
        <v>575</v>
      </c>
      <c r="B45" s="320"/>
      <c r="C45" s="321" t="str">
        <f>IF(C46*0.1&lt;C44,"Exceed 10% Rule","")</f>
        <v/>
      </c>
      <c r="D45" s="321" t="str">
        <f>IF(D46*0.1&lt;D44,"Exceed 10% Rule","")</f>
        <v/>
      </c>
      <c r="E45" s="321" t="str">
        <f>IF(E46*0.1&lt;E44,"Exceed 10% Rule","")</f>
        <v/>
      </c>
    </row>
    <row r="46" spans="1:5">
      <c r="A46" s="325" t="s">
        <v>358</v>
      </c>
      <c r="B46" s="369"/>
      <c r="C46" s="323">
        <f>SUM(C39:C44)</f>
        <v>0</v>
      </c>
      <c r="D46" s="324">
        <f>SUM(D39:D44)</f>
        <v>0</v>
      </c>
      <c r="E46" s="324">
        <f>SUM(E39:E44)</f>
        <v>0</v>
      </c>
    </row>
    <row r="47" spans="1:5">
      <c r="A47" s="325" t="s">
        <v>359</v>
      </c>
      <c r="B47" s="369"/>
      <c r="C47" s="323">
        <f>C37+C46</f>
        <v>0</v>
      </c>
      <c r="D47" s="324">
        <f>D37+D46</f>
        <v>0</v>
      </c>
      <c r="E47" s="324">
        <f>E37+E46</f>
        <v>0</v>
      </c>
    </row>
    <row r="48" spans="1:5">
      <c r="A48" s="149" t="s">
        <v>360</v>
      </c>
      <c r="B48" s="369"/>
      <c r="C48" s="312"/>
      <c r="D48" s="284"/>
      <c r="E48" s="284"/>
    </row>
    <row r="49" spans="1:5">
      <c r="A49" s="316"/>
      <c r="B49" s="372"/>
      <c r="C49" s="311"/>
      <c r="D49" s="279"/>
      <c r="E49" s="279"/>
    </row>
    <row r="50" spans="1:5">
      <c r="A50" s="316"/>
      <c r="B50" s="372"/>
      <c r="C50" s="311"/>
      <c r="D50" s="279"/>
      <c r="E50" s="279"/>
    </row>
    <row r="51" spans="1:5">
      <c r="A51" s="316"/>
      <c r="B51" s="372"/>
      <c r="C51" s="311"/>
      <c r="D51" s="279"/>
      <c r="E51" s="279"/>
    </row>
    <row r="52" spans="1:5">
      <c r="A52" s="316"/>
      <c r="B52" s="372"/>
      <c r="C52" s="311"/>
      <c r="D52" s="279"/>
      <c r="E52" s="279"/>
    </row>
    <row r="53" spans="1:5">
      <c r="A53" s="316"/>
      <c r="B53" s="372"/>
      <c r="C53" s="311"/>
      <c r="D53" s="279"/>
      <c r="E53" s="279"/>
    </row>
    <row r="54" spans="1:5">
      <c r="A54" s="316"/>
      <c r="B54" s="372"/>
      <c r="C54" s="311"/>
      <c r="D54" s="279"/>
      <c r="E54" s="279"/>
    </row>
    <row r="55" spans="1:5">
      <c r="A55" s="316"/>
      <c r="B55" s="372"/>
      <c r="C55" s="311"/>
      <c r="D55" s="279"/>
      <c r="E55" s="279"/>
    </row>
    <row r="56" spans="1:5">
      <c r="A56" s="316"/>
      <c r="B56" s="372"/>
      <c r="C56" s="311"/>
      <c r="D56" s="279"/>
      <c r="E56" s="279"/>
    </row>
    <row r="57" spans="1:5">
      <c r="A57" s="314" t="s">
        <v>574</v>
      </c>
      <c r="B57" s="320"/>
      <c r="C57" s="311"/>
      <c r="D57" s="311"/>
      <c r="E57" s="311"/>
    </row>
    <row r="58" spans="1:5">
      <c r="A58" s="314" t="s">
        <v>576</v>
      </c>
      <c r="B58" s="320"/>
      <c r="C58" s="321" t="str">
        <f>IF(C59*0.1&lt;C57,"Exceed 10% Rule","")</f>
        <v/>
      </c>
      <c r="D58" s="321" t="str">
        <f>IF(D59*0.1&lt;D57,"Exceed 10% Rule","")</f>
        <v/>
      </c>
      <c r="E58" s="321" t="str">
        <f>IF(E59*0.1&lt;E57,"Exceed 10% Rule","")</f>
        <v/>
      </c>
    </row>
    <row r="59" spans="1:5">
      <c r="A59" s="325" t="s">
        <v>361</v>
      </c>
      <c r="B59" s="369"/>
      <c r="C59" s="323">
        <f>SUM(C49:C57)</f>
        <v>0</v>
      </c>
      <c r="D59" s="324">
        <f>SUM(D49:D57)</f>
        <v>0</v>
      </c>
      <c r="E59" s="324">
        <f>SUM(E49:E57)</f>
        <v>0</v>
      </c>
    </row>
    <row r="60" spans="1:5">
      <c r="A60" s="149" t="s">
        <v>463</v>
      </c>
      <c r="B60" s="369"/>
      <c r="C60" s="331">
        <f>C47-C59</f>
        <v>0</v>
      </c>
      <c r="D60" s="329">
        <f>D47-D59</f>
        <v>0</v>
      </c>
      <c r="E60" s="329">
        <f>E47-E59</f>
        <v>0</v>
      </c>
    </row>
    <row r="61" spans="1:5">
      <c r="A61" s="191" t="str">
        <f>CONCATENATE("",E1-2,"/",E1-1," Budget Authority Amount:")</f>
        <v>2011/2012 Budget Authority Amount:</v>
      </c>
      <c r="B61" s="332"/>
      <c r="C61" s="332">
        <f ca="1">inputOth!B62</f>
        <v>0</v>
      </c>
      <c r="D61" s="332">
        <f ca="1">inputPrYr!D33</f>
        <v>0</v>
      </c>
      <c r="E61" s="334" t="str">
        <f>IF(E60&lt;0,"See Tab E","")</f>
        <v/>
      </c>
    </row>
    <row r="62" spans="1:5">
      <c r="A62" s="191"/>
      <c r="B62" s="334"/>
      <c r="C62" s="334" t="str">
        <f>IF(C59&gt;C61,"See Tab A","")</f>
        <v/>
      </c>
      <c r="D62" s="334" t="str">
        <f>IF(D59&gt;D61,"See Tab C","")</f>
        <v/>
      </c>
      <c r="E62" s="133"/>
    </row>
    <row r="63" spans="1:5">
      <c r="A63" s="191"/>
      <c r="B63" s="334"/>
      <c r="C63" s="334" t="str">
        <f>IF(C60&lt;0,"See Tab B","")</f>
        <v/>
      </c>
      <c r="D63" s="440" t="str">
        <f>IF(D60&lt;0,"See Tab D","")</f>
        <v/>
      </c>
      <c r="E63" s="133"/>
    </row>
    <row r="64" spans="1:5">
      <c r="A64" s="133"/>
      <c r="B64" s="133"/>
      <c r="C64" s="133"/>
      <c r="D64" s="133"/>
      <c r="E64" s="133"/>
    </row>
    <row r="65" spans="1:5">
      <c r="A65" s="209"/>
      <c r="B65" s="209" t="s">
        <v>344</v>
      </c>
      <c r="C65" s="355"/>
      <c r="D65" s="133"/>
      <c r="E65" s="133"/>
    </row>
  </sheetData>
  <sheetProtection sheet="1" objects="1" scenarios="1"/>
  <phoneticPr fontId="11" type="noConversion"/>
  <conditionalFormatting sqref="C57">
    <cfRule type="cellIs" dxfId="29" priority="3" stopIfTrue="1" operator="greaterThan">
      <formula>$C$59*0.1</formula>
    </cfRule>
  </conditionalFormatting>
  <conditionalFormatting sqref="D57">
    <cfRule type="cellIs" dxfId="28" priority="4" stopIfTrue="1" operator="greaterThan">
      <formula>$D$59*0.1</formula>
    </cfRule>
  </conditionalFormatting>
  <conditionalFormatting sqref="E57">
    <cfRule type="cellIs" dxfId="27" priority="5" stopIfTrue="1" operator="greaterThan">
      <formula>$E$59*0.1</formula>
    </cfRule>
  </conditionalFormatting>
  <conditionalFormatting sqref="C44">
    <cfRule type="cellIs" dxfId="26" priority="6" stopIfTrue="1" operator="greaterThan">
      <formula>$C$46*0.1</formula>
    </cfRule>
  </conditionalFormatting>
  <conditionalFormatting sqref="D44">
    <cfRule type="cellIs" dxfId="25" priority="7" stopIfTrue="1" operator="greaterThan">
      <formula>$D$46*0.1</formula>
    </cfRule>
  </conditionalFormatting>
  <conditionalFormatting sqref="E44">
    <cfRule type="cellIs" dxfId="24" priority="8" stopIfTrue="1" operator="greaterThan">
      <formula>$E$46*0.1</formula>
    </cfRule>
  </conditionalFormatting>
  <conditionalFormatting sqref="C26">
    <cfRule type="cellIs" dxfId="23" priority="9" stopIfTrue="1" operator="greaterThan">
      <formula>$C$28*0.1</formula>
    </cfRule>
  </conditionalFormatting>
  <conditionalFormatting sqref="D26">
    <cfRule type="cellIs" dxfId="22" priority="10" stopIfTrue="1" operator="greaterThan">
      <formula>$D$28*0.1</formula>
    </cfRule>
  </conditionalFormatting>
  <conditionalFormatting sqref="E26">
    <cfRule type="cellIs" dxfId="21" priority="11" stopIfTrue="1" operator="greaterThan">
      <formula>$E$28*0.1</formula>
    </cfRule>
  </conditionalFormatting>
  <conditionalFormatting sqref="C13">
    <cfRule type="cellIs" dxfId="20" priority="12" stopIfTrue="1" operator="greaterThan">
      <formula>$C$15*0.1</formula>
    </cfRule>
  </conditionalFormatting>
  <conditionalFormatting sqref="D13">
    <cfRule type="cellIs" dxfId="19" priority="13" stopIfTrue="1" operator="greaterThan">
      <formula>$D$15*0.1</formula>
    </cfRule>
  </conditionalFormatting>
  <conditionalFormatting sqref="E13">
    <cfRule type="cellIs" dxfId="18" priority="14" stopIfTrue="1" operator="greaterThan">
      <formula>$E$15*0.1</formula>
    </cfRule>
  </conditionalFormatting>
  <conditionalFormatting sqref="C59">
    <cfRule type="cellIs" dxfId="17" priority="15" stopIfTrue="1" operator="greaterThan">
      <formula>$C$61</formula>
    </cfRule>
  </conditionalFormatting>
  <conditionalFormatting sqref="C60 E60 E29 C29">
    <cfRule type="cellIs" dxfId="16" priority="16" stopIfTrue="1" operator="lessThan">
      <formula>0</formula>
    </cfRule>
  </conditionalFormatting>
  <conditionalFormatting sqref="C28">
    <cfRule type="cellIs" dxfId="15" priority="17" stopIfTrue="1" operator="greaterThan">
      <formula>$C$30</formula>
    </cfRule>
  </conditionalFormatting>
  <conditionalFormatting sqref="D28">
    <cfRule type="cellIs" dxfId="14" priority="18" stopIfTrue="1" operator="greaterThan">
      <formula>$D$30</formula>
    </cfRule>
  </conditionalFormatting>
  <conditionalFormatting sqref="D59">
    <cfRule type="cellIs" dxfId="13" priority="19" stopIfTrue="1" operator="greaterThan">
      <formula>$D$61</formula>
    </cfRule>
  </conditionalFormatting>
  <conditionalFormatting sqref="D29">
    <cfRule type="cellIs" dxfId="12" priority="2" stopIfTrue="1" operator="lessThan">
      <formula>0</formula>
    </cfRule>
  </conditionalFormatting>
  <conditionalFormatting sqref="D60">
    <cfRule type="cellIs" dxfId="11" priority="1" stopIfTrue="1" operator="lessThan">
      <formula>0</formula>
    </cfRule>
  </conditionalFormatting>
  <pageMargins left="0.75" right="0.75" top="1" bottom="1" header="0.5" footer="0.5"/>
  <pageSetup scale="71" orientation="portrait" blackAndWhite="1" r:id="rId1"/>
  <headerFooter alignWithMargins="0">
    <oddHeader>&amp;RState of Kansas
Township</oddHeader>
    <oddFooter>&amp;Lrevised 8/25/09</oddFooter>
  </headerFooter>
</worksheet>
</file>

<file path=xl/worksheets/sheet16.xml><?xml version="1.0" encoding="utf-8"?>
<worksheet xmlns="http://schemas.openxmlformats.org/spreadsheetml/2006/main" xmlns:r="http://schemas.openxmlformats.org/officeDocument/2006/relationships">
  <sheetPr>
    <pageSetUpPr fitToPage="1"/>
  </sheetPr>
  <dimension ref="A1:L43"/>
  <sheetViews>
    <sheetView zoomScale="85" workbookViewId="0">
      <selection activeCell="D11" sqref="D11"/>
    </sheetView>
  </sheetViews>
  <sheetFormatPr defaultRowHeight="15.75"/>
  <cols>
    <col min="1" max="1" width="20.69921875" style="186" customWidth="1"/>
    <col min="2" max="2" width="17.796875" style="187" customWidth="1"/>
    <col min="3" max="3" width="8.69921875" style="187" hidden="1" customWidth="1"/>
    <col min="4" max="4" width="13.69921875" style="187" customWidth="1"/>
    <col min="5" max="5" width="0.19921875" style="187" customWidth="1"/>
    <col min="6" max="6" width="9.765625E-2" style="187" hidden="1" customWidth="1"/>
    <col min="7" max="7" width="13.69921875" style="187" customWidth="1"/>
    <col min="8" max="8" width="12.3984375" style="187" hidden="1" customWidth="1"/>
    <col min="9" max="11" width="13.69921875" style="187" customWidth="1"/>
    <col min="12" max="12" width="0.19921875" style="187" customWidth="1"/>
    <col min="13" max="16384" width="8.796875" style="187"/>
  </cols>
  <sheetData>
    <row r="1" spans="2:12">
      <c r="B1" s="193" t="str">
        <f ca="1">inputPrYr!D2</f>
        <v>Winterset Township</v>
      </c>
      <c r="C1" s="133"/>
      <c r="D1" s="133"/>
      <c r="E1" s="133"/>
      <c r="F1" s="133"/>
      <c r="G1" s="133"/>
      <c r="H1" s="133"/>
      <c r="I1" s="133"/>
      <c r="J1" s="208">
        <f ca="1">inputPrYr!D5</f>
        <v>2013</v>
      </c>
      <c r="K1" s="208"/>
      <c r="L1" s="186"/>
    </row>
    <row r="2" spans="2:12">
      <c r="B2" s="193"/>
      <c r="C2" s="133"/>
      <c r="D2" s="133"/>
      <c r="E2" s="133"/>
      <c r="F2" s="133"/>
      <c r="G2" s="133"/>
      <c r="H2" s="133"/>
      <c r="I2" s="133"/>
      <c r="J2" s="209"/>
      <c r="K2" s="209"/>
      <c r="L2" s="186"/>
    </row>
    <row r="3" spans="2:12">
      <c r="B3" s="193"/>
      <c r="C3" s="133"/>
      <c r="D3" s="133"/>
      <c r="E3" s="133"/>
      <c r="F3" s="133"/>
      <c r="G3" s="133"/>
      <c r="H3" s="133"/>
      <c r="I3" s="133"/>
      <c r="J3" s="209"/>
      <c r="K3" s="209"/>
      <c r="L3" s="186"/>
    </row>
    <row r="4" spans="2:12">
      <c r="B4" s="193"/>
      <c r="C4" s="133"/>
      <c r="D4" s="133"/>
      <c r="E4" s="133"/>
      <c r="F4" s="133"/>
      <c r="G4" s="133"/>
      <c r="H4" s="133"/>
      <c r="I4" s="133"/>
      <c r="J4" s="209"/>
      <c r="K4" s="209"/>
      <c r="L4" s="186"/>
    </row>
    <row r="5" spans="2:12">
      <c r="B5" s="133"/>
      <c r="C5" s="133"/>
      <c r="D5" s="133"/>
      <c r="E5" s="133"/>
      <c r="F5" s="133"/>
      <c r="G5" s="133"/>
      <c r="H5" s="133"/>
      <c r="I5" s="133"/>
      <c r="J5" s="133"/>
      <c r="K5" s="133"/>
      <c r="L5" s="186"/>
    </row>
    <row r="6" spans="2:12">
      <c r="B6" s="573" t="s">
        <v>590</v>
      </c>
      <c r="C6" s="527"/>
      <c r="D6" s="527"/>
      <c r="E6" s="527"/>
      <c r="F6" s="527"/>
      <c r="G6" s="527"/>
      <c r="H6" s="527"/>
      <c r="I6" s="527"/>
      <c r="J6" s="527"/>
      <c r="K6" s="527"/>
      <c r="L6" s="527"/>
    </row>
    <row r="7" spans="2:12">
      <c r="B7" s="210"/>
      <c r="C7" s="182"/>
      <c r="D7" s="211"/>
      <c r="E7" s="211"/>
      <c r="F7" s="211"/>
      <c r="G7" s="211"/>
      <c r="H7" s="211"/>
      <c r="I7" s="211"/>
      <c r="J7" s="211"/>
      <c r="K7" s="211"/>
      <c r="L7" s="211"/>
    </row>
    <row r="8" spans="2:12">
      <c r="B8" s="133"/>
      <c r="C8" s="212"/>
      <c r="D8" s="212"/>
      <c r="E8" s="212"/>
      <c r="F8" s="212"/>
      <c r="G8" s="213"/>
      <c r="H8" s="134"/>
      <c r="I8" s="134"/>
      <c r="J8" s="133"/>
      <c r="K8" s="133"/>
      <c r="L8" s="186"/>
    </row>
    <row r="9" spans="2:12" ht="21" customHeight="1">
      <c r="B9" s="214"/>
      <c r="C9" s="215"/>
      <c r="D9" s="569" t="str">
        <f>CONCATENATE("Budget Tax Levy Amount for ",J1-2,"")</f>
        <v>Budget Tax Levy Amount for 2011</v>
      </c>
      <c r="E9" s="569" t="str">
        <f>CONCATENATE("Budget Tax Levy Rate for ",J1-1,"")</f>
        <v>Budget Tax Levy Rate for 2012</v>
      </c>
      <c r="F9" s="216"/>
      <c r="G9" s="515" t="str">
        <f>CONCATENATE("Allocation for Year ",J1,"")</f>
        <v>Allocation for Year 2013</v>
      </c>
      <c r="H9" s="571"/>
      <c r="I9" s="571"/>
      <c r="J9" s="571"/>
      <c r="K9" s="571"/>
      <c r="L9" s="572"/>
    </row>
    <row r="10" spans="2:12">
      <c r="B10" s="217" t="str">
        <f>CONCATENATE("",J1-1," Budgeted Funds")</f>
        <v>2012 Budgeted Funds</v>
      </c>
      <c r="C10" s="218"/>
      <c r="D10" s="570"/>
      <c r="E10" s="570"/>
      <c r="F10" s="167"/>
      <c r="G10" s="148" t="s">
        <v>421</v>
      </c>
      <c r="H10" s="148"/>
      <c r="I10" s="148" t="s">
        <v>422</v>
      </c>
      <c r="J10" s="145" t="s">
        <v>465</v>
      </c>
      <c r="K10" s="145" t="s">
        <v>508</v>
      </c>
      <c r="L10" s="219"/>
    </row>
    <row r="11" spans="2:12">
      <c r="B11" s="159" t="str">
        <f ca="1">inputPrYr!B16</f>
        <v>General</v>
      </c>
      <c r="C11" s="220"/>
      <c r="D11" s="159">
        <f ca="1">IF(inputPrYr!E16&gt;0,inputPrYr!E16,"  ")</f>
        <v>43397</v>
      </c>
      <c r="E11" s="221">
        <f ca="1">IF(inputOth!D17&gt;0,inputOth!D17,"  ")</f>
        <v>24.988</v>
      </c>
      <c r="F11" s="222"/>
      <c r="G11" s="159">
        <f ca="1">IF(inputPrYr!E16=0,0,G24-SUM(G12:G21))</f>
        <v>2996</v>
      </c>
      <c r="H11" s="223"/>
      <c r="I11" s="159">
        <f ca="1">IF(inputPrYr!E16=0,0,I26-SUM(I12:I21))</f>
        <v>57</v>
      </c>
      <c r="J11" s="159">
        <f ca="1">IF(inputPrYr!E16=0,0,J28-SUM(J12:J21))</f>
        <v>679</v>
      </c>
      <c r="K11" s="159">
        <f ca="1">IF(inputPrYr!E16=0,0,K30-SUM(K12:K21))</f>
        <v>0</v>
      </c>
      <c r="L11" s="224" t="e">
        <f ca="1">IF(inputOth!D17&gt;0,ROUND(E11*#REF!*-1,0),"")</f>
        <v>#REF!</v>
      </c>
    </row>
    <row r="12" spans="2:12">
      <c r="B12" s="159" t="str">
        <f ca="1">inputPrYr!B17</f>
        <v>Debt Service</v>
      </c>
      <c r="C12" s="220"/>
      <c r="D12" s="159">
        <f ca="1">IF(inputPrYr!E17&gt;=0,inputPrYr!E17,"  ")</f>
        <v>0</v>
      </c>
      <c r="E12" s="221" t="str">
        <f ca="1">IF(inputOth!D18&gt;0,inputOth!D18,"  ")</f>
        <v xml:space="preserve">  </v>
      </c>
      <c r="F12" s="222"/>
      <c r="G12" s="159">
        <f ca="1">IF(inputPrYr!E17=0,0,ROUND(D12*$G$32,0))</f>
        <v>0</v>
      </c>
      <c r="H12" s="223"/>
      <c r="I12" s="159">
        <f ca="1">IF(inputPrYr!$E$17=0,0,ROUND($D$12*$I$34,0))</f>
        <v>0</v>
      </c>
      <c r="J12" s="159">
        <f ca="1">IF(inputPrYr!E17=0,0,ROUND($D12*$J$36,0))</f>
        <v>0</v>
      </c>
      <c r="K12" s="159">
        <f ca="1">IF(inputPrYr!E17=0,0,ROUND($D12*$K$38,0))</f>
        <v>0</v>
      </c>
      <c r="L12" s="224" t="str">
        <f ca="1">IF(inputOth!D18&gt;0,ROUND(E12*#REF!*-1,0),"")</f>
        <v/>
      </c>
    </row>
    <row r="13" spans="2:12">
      <c r="B13" s="159" t="str">
        <f ca="1">IF(inputPrYr!$B18&gt;"  ",inputPrYr!$B18,"  ")</f>
        <v>Road</v>
      </c>
      <c r="C13" s="220"/>
      <c r="D13" s="159">
        <f ca="1">IF(inputPrYr!E18&gt;=0,inputPrYr!E18,"  ")</f>
        <v>0</v>
      </c>
      <c r="E13" s="221" t="str">
        <f ca="1">IF(inputOth!D19&gt;0,inputOth!D19,"  ")</f>
        <v xml:space="preserve">  </v>
      </c>
      <c r="F13" s="222"/>
      <c r="G13" s="159">
        <f ca="1">IF(inputPrYr!E18=0,0,ROUND(D13*$G$32,0))</f>
        <v>0</v>
      </c>
      <c r="H13" s="223"/>
      <c r="I13" s="159">
        <f ca="1">IF(inputPrYr!$E$18=0,0,ROUND($D$13*$I$34,0))</f>
        <v>0</v>
      </c>
      <c r="J13" s="159">
        <f ca="1">IF(inputPrYr!E18=0,0,ROUND($D13*$J$36,0))</f>
        <v>0</v>
      </c>
      <c r="K13" s="159">
        <f ca="1">IF(inputPrYr!E18=0,0,ROUND($D13*$K$38,0))</f>
        <v>0</v>
      </c>
      <c r="L13" s="224" t="str">
        <f ca="1">IF(inputOth!D19&gt;0,ROUND(E13*#REF!*-1,0),"")</f>
        <v/>
      </c>
    </row>
    <row r="14" spans="2:12">
      <c r="B14" s="159" t="str">
        <f ca="1">IF(inputPrYr!$B19&gt;"  ",inputPrYr!$B19,"  ")</f>
        <v xml:space="preserve">  </v>
      </c>
      <c r="C14" s="220"/>
      <c r="D14" s="159">
        <f ca="1">IF(inputPrYr!E19&gt;=0,inputPrYr!E19,"  ")</f>
        <v>0</v>
      </c>
      <c r="E14" s="221" t="str">
        <f ca="1">IF(inputOth!D20&gt;0,inputOth!D20,"  ")</f>
        <v xml:space="preserve">  </v>
      </c>
      <c r="F14" s="222"/>
      <c r="G14" s="159">
        <f ca="1">IF(inputPrYr!E19=0,0,ROUND(D14*$G$32,0))</f>
        <v>0</v>
      </c>
      <c r="H14" s="223"/>
      <c r="I14" s="159">
        <f ca="1">IF(inputPrYr!$E$19=0,0,ROUND($D$14*$I$34,0))</f>
        <v>0</v>
      </c>
      <c r="J14" s="159">
        <f ca="1">IF(inputPrYr!E19=0,0,ROUND($D14*$J$36,0))</f>
        <v>0</v>
      </c>
      <c r="K14" s="159">
        <f ca="1">IF(inputPrYr!E19=0,0,ROUND($D14*$K$38,0))</f>
        <v>0</v>
      </c>
      <c r="L14" s="224" t="str">
        <f ca="1">IF(inputOth!D20&gt;0,ROUND(E14*#REF!*-1,0),"")</f>
        <v/>
      </c>
    </row>
    <row r="15" spans="2:12">
      <c r="B15" s="159" t="str">
        <f ca="1">IF(inputPrYr!$B20&gt;"  ",inputPrYr!$B20,"  ")</f>
        <v xml:space="preserve">  </v>
      </c>
      <c r="C15" s="220"/>
      <c r="D15" s="159">
        <f ca="1">IF(inputPrYr!E20&gt;=0,inputPrYr!E20,"  ")</f>
        <v>0</v>
      </c>
      <c r="E15" s="221" t="str">
        <f ca="1">IF(inputOth!D21&gt;0,inputOth!D21,"  ")</f>
        <v xml:space="preserve">  </v>
      </c>
      <c r="F15" s="222"/>
      <c r="G15" s="159">
        <f ca="1">IF(inputPrYr!E20=0,0,ROUND(D15*$G$32,0))</f>
        <v>0</v>
      </c>
      <c r="H15" s="223"/>
      <c r="I15" s="159">
        <f ca="1">IF(inputPrYr!$E$20=0,0,ROUND($D$15*$I$34,0))</f>
        <v>0</v>
      </c>
      <c r="J15" s="159">
        <f ca="1">IF(inputPrYr!E20=0,0,ROUND($D15*$J$36,0))</f>
        <v>0</v>
      </c>
      <c r="K15" s="159">
        <f ca="1">IF(inputPrYr!E20=0,0,ROUND($D15*$K$38,0))</f>
        <v>0</v>
      </c>
      <c r="L15" s="224" t="str">
        <f ca="1">IF(inputOth!D21&gt;0,ROUND(E15*#REF!*-1,0),"")</f>
        <v/>
      </c>
    </row>
    <row r="16" spans="2:12">
      <c r="B16" s="159" t="str">
        <f ca="1">IF(inputPrYr!$B21&gt;"  ",inputPrYr!$B21,"  ")</f>
        <v xml:space="preserve">  </v>
      </c>
      <c r="C16" s="220"/>
      <c r="D16" s="159">
        <f ca="1">IF(inputPrYr!E21&gt;=0,inputPrYr!E21,"  ")</f>
        <v>0</v>
      </c>
      <c r="E16" s="221" t="str">
        <f ca="1">IF(inputOth!D22&gt;0,inputOth!D22,"  ")</f>
        <v xml:space="preserve">  </v>
      </c>
      <c r="F16" s="222"/>
      <c r="G16" s="159">
        <f ca="1">IF(inputPrYr!E21=0,0,ROUND(D16*$G$32,0))</f>
        <v>0</v>
      </c>
      <c r="H16" s="223"/>
      <c r="I16" s="159">
        <f ca="1">IF(inputPrYr!$E$21=0,0,ROUND($D$16*$I$34,0))</f>
        <v>0</v>
      </c>
      <c r="J16" s="159">
        <f ca="1">IF(inputPrYr!E21=0,0,ROUND($D16*$J$36,0))</f>
        <v>0</v>
      </c>
      <c r="K16" s="159">
        <f ca="1">IF(inputPrYr!E21=0,0,ROUND($D16*$K$38,0))</f>
        <v>0</v>
      </c>
      <c r="L16" s="224" t="str">
        <f ca="1">IF(inputOth!D22&gt;0,ROUND(E16*#REF!*-1,0),"")</f>
        <v/>
      </c>
    </row>
    <row r="17" spans="2:12">
      <c r="B17" s="159" t="str">
        <f ca="1">IF(inputPrYr!$B22&gt;"  ",inputPrYr!$B22,"  ")</f>
        <v xml:space="preserve">  </v>
      </c>
      <c r="C17" s="220"/>
      <c r="D17" s="159">
        <f ca="1">IF(inputPrYr!E22&gt;=0,inputPrYr!E22,"  ")</f>
        <v>0</v>
      </c>
      <c r="E17" s="221" t="str">
        <f ca="1">IF(inputOth!D23&gt;0,inputOth!D23,"  ")</f>
        <v xml:space="preserve">  </v>
      </c>
      <c r="F17" s="222"/>
      <c r="G17" s="159">
        <f ca="1">IF(inputPrYr!E22=0,0,ROUND(D17*$G$32,0))</f>
        <v>0</v>
      </c>
      <c r="H17" s="223"/>
      <c r="I17" s="159">
        <f ca="1">IF(inputPrYr!$E$22=0,0,ROUND($D$17*$I$34,0))</f>
        <v>0</v>
      </c>
      <c r="J17" s="159">
        <f ca="1">IF(inputPrYr!E22=0,0,ROUND($D17*$J$36,0))</f>
        <v>0</v>
      </c>
      <c r="K17" s="159">
        <f ca="1">IF(inputPrYr!E22=0,0,ROUND($D17*$K$38,0))</f>
        <v>0</v>
      </c>
      <c r="L17" s="224" t="str">
        <f ca="1">IF(inputOth!D23&gt;0,ROUND(E17*#REF!*-1,0),"")</f>
        <v/>
      </c>
    </row>
    <row r="18" spans="2:12">
      <c r="B18" s="159" t="str">
        <f ca="1">IF(inputPrYr!$B23&gt;"  ",inputPrYr!$B23,"  ")</f>
        <v xml:space="preserve">  </v>
      </c>
      <c r="C18" s="220"/>
      <c r="D18" s="159">
        <f ca="1">IF(inputPrYr!E23&gt;=0,inputPrYr!E23,"  ")</f>
        <v>0</v>
      </c>
      <c r="E18" s="221" t="str">
        <f ca="1">IF(inputOth!D24&gt;0,inputOth!D24,"  ")</f>
        <v xml:space="preserve">  </v>
      </c>
      <c r="F18" s="222"/>
      <c r="G18" s="159">
        <f ca="1">IF(inputPrYr!E23=0,0,ROUND(D18*$G$32,0))</f>
        <v>0</v>
      </c>
      <c r="H18" s="223"/>
      <c r="I18" s="159">
        <f ca="1">IF(inputPrYr!$E$23=0,0,ROUND($D$18*$I$34,0))</f>
        <v>0</v>
      </c>
      <c r="J18" s="159">
        <f ca="1">IF(inputPrYr!E23=0,0,ROUND($D18*$J$36,0))</f>
        <v>0</v>
      </c>
      <c r="K18" s="159">
        <f ca="1">IF(inputPrYr!E23=0,0,ROUND($D18*$K$38,0))</f>
        <v>0</v>
      </c>
      <c r="L18" s="224" t="str">
        <f ca="1">IF(inputOth!D24&gt;0,ROUND(E18*#REF!*-1,0),"")</f>
        <v/>
      </c>
    </row>
    <row r="19" spans="2:12">
      <c r="B19" s="159" t="str">
        <f ca="1">IF(inputPrYr!$B24&gt;"  ",inputPrYr!$B24,"  ")</f>
        <v xml:space="preserve">  </v>
      </c>
      <c r="C19" s="220"/>
      <c r="D19" s="159">
        <f ca="1">IF(inputPrYr!E24&gt;=0,inputPrYr!E24,"  ")</f>
        <v>0</v>
      </c>
      <c r="E19" s="221" t="str">
        <f ca="1">IF(inputOth!D25&gt;0,inputOth!D25,"  ")</f>
        <v xml:space="preserve">  </v>
      </c>
      <c r="F19" s="222"/>
      <c r="G19" s="159">
        <f ca="1">IF(inputPrYr!E24=0,0,ROUND(D19*$G$32,0))</f>
        <v>0</v>
      </c>
      <c r="H19" s="223"/>
      <c r="I19" s="159">
        <f ca="1">IF(inputPrYr!$E$24=0,0,ROUND($D$19*$I$34,0))</f>
        <v>0</v>
      </c>
      <c r="J19" s="159">
        <f ca="1">IF(inputPrYr!E24=0,0,ROUND($D19*$J$36,0))</f>
        <v>0</v>
      </c>
      <c r="K19" s="159">
        <f ca="1">IF(inputPrYr!E24=0,0,ROUND($D19*$K$38,0))</f>
        <v>0</v>
      </c>
      <c r="L19" s="224" t="str">
        <f ca="1">IF(inputOth!D25&gt;0,ROUND(E19*#REF!*-1,0),"")</f>
        <v/>
      </c>
    </row>
    <row r="20" spans="2:12">
      <c r="B20" s="159" t="str">
        <f ca="1">IF(inputPrYr!$B25&gt;"  ",inputPrYr!$B25,"  ")</f>
        <v xml:space="preserve">  </v>
      </c>
      <c r="C20" s="220"/>
      <c r="D20" s="159">
        <f ca="1">IF(inputPrYr!E25&gt;=0,inputPrYr!E25,"  ")</f>
        <v>0</v>
      </c>
      <c r="E20" s="221" t="str">
        <f ca="1">IF(inputOth!D26&gt;0,inputOth!D26,"  ")</f>
        <v xml:space="preserve">  </v>
      </c>
      <c r="F20" s="222"/>
      <c r="G20" s="159">
        <f ca="1">IF(inputPrYr!E25=0,0,ROUND(D20*$G$32,0))</f>
        <v>0</v>
      </c>
      <c r="H20" s="223"/>
      <c r="I20" s="159">
        <f ca="1">IF(inputPrYr!$E$25=0,0,ROUND($D$20*$I$34,0))</f>
        <v>0</v>
      </c>
      <c r="J20" s="159">
        <f ca="1">IF(inputPrYr!E25=0,0,ROUND($D20*$J$36,0))</f>
        <v>0</v>
      </c>
      <c r="K20" s="159">
        <f ca="1">IF(inputPrYr!E25=0,0,ROUND($D20*$K$38,0))</f>
        <v>0</v>
      </c>
      <c r="L20" s="224" t="str">
        <f ca="1">IF(inputOth!D26&gt;0,ROUND(E20*#REF!*-1,0),"")</f>
        <v/>
      </c>
    </row>
    <row r="21" spans="2:12">
      <c r="B21" s="159" t="str">
        <f ca="1">IF(inputPrYr!$B26&gt;"  ",inputPrYr!$B26,"  ")</f>
        <v xml:space="preserve">  </v>
      </c>
      <c r="C21" s="220"/>
      <c r="D21" s="159">
        <f ca="1">IF(inputPrYr!E26&gt;=0,inputPrYr!E26,"  ")</f>
        <v>0</v>
      </c>
      <c r="E21" s="221" t="str">
        <f ca="1">IF(inputOth!D27&gt;0,inputOth!D27,"  ")</f>
        <v xml:space="preserve">  </v>
      </c>
      <c r="F21" s="222"/>
      <c r="G21" s="159">
        <f ca="1">IF(inputPrYr!E26=0,0,ROUND(D21*$G$32,0))</f>
        <v>0</v>
      </c>
      <c r="H21" s="223"/>
      <c r="I21" s="159">
        <f ca="1">IF(inputPrYr!$E$26=0,0,ROUND($D$21*$I$34,0))</f>
        <v>0</v>
      </c>
      <c r="J21" s="159">
        <f ca="1">IF(inputPrYr!E26=0,0,ROUND($D21*$J$36,0))</f>
        <v>0</v>
      </c>
      <c r="K21" s="159">
        <f ca="1">IF(inputPrYr!E26=0,0,ROUND($D21*$K$38,0))</f>
        <v>0</v>
      </c>
      <c r="L21" s="224" t="str">
        <f ca="1">IF(inputOth!D27&gt;0,ROUND(E21*#REF!*-1,0),"")</f>
        <v/>
      </c>
    </row>
    <row r="22" spans="2:12" ht="16.5" thickBot="1">
      <c r="B22" s="179" t="s">
        <v>644</v>
      </c>
      <c r="C22" s="225"/>
      <c r="D22" s="226">
        <f t="shared" ref="D22:J22" si="0">SUM(D11:D21)</f>
        <v>43397</v>
      </c>
      <c r="E22" s="227">
        <f>SUM(E11:E21)</f>
        <v>24.988</v>
      </c>
      <c r="F22" s="228"/>
      <c r="G22" s="226">
        <f t="shared" si="0"/>
        <v>2996</v>
      </c>
      <c r="H22" s="226"/>
      <c r="I22" s="226">
        <f t="shared" si="0"/>
        <v>57</v>
      </c>
      <c r="J22" s="226">
        <f t="shared" si="0"/>
        <v>679</v>
      </c>
      <c r="K22" s="226">
        <f>SUM(K11:K21)</f>
        <v>0</v>
      </c>
      <c r="L22" s="229" t="e">
        <f>SUM(L11:L21)</f>
        <v>#REF!</v>
      </c>
    </row>
    <row r="23" spans="2:12" ht="16.5" thickTop="1">
      <c r="B23" s="133"/>
      <c r="C23" s="133"/>
      <c r="D23" s="133"/>
      <c r="E23" s="133"/>
      <c r="F23" s="133"/>
      <c r="G23" s="133"/>
      <c r="H23" s="133"/>
      <c r="I23" s="133"/>
      <c r="J23" s="133"/>
      <c r="K23" s="133"/>
      <c r="L23" s="186"/>
    </row>
    <row r="24" spans="2:12">
      <c r="B24" s="141" t="s">
        <v>340</v>
      </c>
      <c r="C24" s="230"/>
      <c r="D24" s="133"/>
      <c r="E24" s="133"/>
      <c r="F24" s="133"/>
      <c r="G24" s="231">
        <f ca="1">inputOth!E33</f>
        <v>2996</v>
      </c>
      <c r="H24" s="133"/>
      <c r="I24" s="133"/>
      <c r="J24" s="133"/>
      <c r="K24" s="133"/>
      <c r="L24" s="186"/>
    </row>
    <row r="25" spans="2:12">
      <c r="B25" s="133"/>
      <c r="C25" s="133"/>
      <c r="D25" s="133"/>
      <c r="E25" s="133"/>
      <c r="F25" s="133"/>
      <c r="G25" s="133"/>
      <c r="H25" s="133"/>
      <c r="I25" s="133"/>
      <c r="J25" s="133"/>
      <c r="K25" s="133"/>
      <c r="L25" s="186"/>
    </row>
    <row r="26" spans="2:12">
      <c r="B26" s="141" t="s">
        <v>341</v>
      </c>
      <c r="C26" s="133"/>
      <c r="D26" s="133"/>
      <c r="E26" s="133"/>
      <c r="F26" s="133"/>
      <c r="G26" s="133"/>
      <c r="H26" s="231">
        <f ca="1">inputPrYr!E79</f>
        <v>0</v>
      </c>
      <c r="I26" s="231">
        <f ca="1">inputOth!E34</f>
        <v>57</v>
      </c>
      <c r="J26" s="133"/>
      <c r="K26" s="133"/>
      <c r="L26" s="186"/>
    </row>
    <row r="27" spans="2:12">
      <c r="B27" s="133"/>
      <c r="C27" s="133"/>
      <c r="D27" s="133"/>
      <c r="E27" s="133"/>
      <c r="F27" s="133"/>
      <c r="G27" s="133"/>
      <c r="H27" s="133"/>
      <c r="I27" s="133"/>
      <c r="J27" s="133"/>
      <c r="K27" s="133"/>
      <c r="L27" s="186"/>
    </row>
    <row r="28" spans="2:12">
      <c r="B28" s="141" t="s">
        <v>418</v>
      </c>
      <c r="C28" s="133"/>
      <c r="D28" s="133"/>
      <c r="E28" s="133"/>
      <c r="F28" s="133"/>
      <c r="G28" s="133"/>
      <c r="H28" s="133"/>
      <c r="I28" s="133"/>
      <c r="J28" s="231">
        <f ca="1">inputOth!E35</f>
        <v>679</v>
      </c>
      <c r="K28" s="232"/>
      <c r="L28" s="186"/>
    </row>
    <row r="29" spans="2:12">
      <c r="B29" s="133"/>
      <c r="C29" s="133"/>
      <c r="D29" s="133"/>
      <c r="E29" s="133"/>
      <c r="F29" s="133"/>
      <c r="G29" s="133"/>
      <c r="H29" s="133"/>
      <c r="I29" s="133"/>
      <c r="J29" s="133"/>
      <c r="K29" s="133"/>
      <c r="L29" s="186"/>
    </row>
    <row r="30" spans="2:12">
      <c r="B30" s="133" t="s">
        <v>561</v>
      </c>
      <c r="C30" s="133"/>
      <c r="D30" s="133"/>
      <c r="E30" s="133"/>
      <c r="F30" s="133"/>
      <c r="G30" s="133"/>
      <c r="H30" s="133"/>
      <c r="I30" s="133"/>
      <c r="J30" s="133"/>
      <c r="K30" s="231">
        <f ca="1">inputOth!E37</f>
        <v>0</v>
      </c>
      <c r="L30" s="186"/>
    </row>
    <row r="31" spans="2:12">
      <c r="B31" s="133"/>
      <c r="C31" s="133"/>
      <c r="D31" s="133"/>
      <c r="E31" s="133"/>
      <c r="F31" s="133"/>
      <c r="G31" s="133"/>
      <c r="H31" s="133"/>
      <c r="I31" s="133"/>
      <c r="J31" s="133"/>
      <c r="K31" s="232"/>
      <c r="L31" s="186"/>
    </row>
    <row r="32" spans="2:12">
      <c r="B32" s="141" t="s">
        <v>342</v>
      </c>
      <c r="C32" s="133"/>
      <c r="D32" s="133"/>
      <c r="E32" s="133"/>
      <c r="F32" s="133"/>
      <c r="G32" s="233">
        <f>IF(D22=0,0,G24/D22)</f>
        <v>6.9037030209461489E-2</v>
      </c>
      <c r="H32" s="133"/>
      <c r="I32" s="133"/>
      <c r="J32" s="133"/>
      <c r="K32" s="133"/>
      <c r="L32" s="186"/>
    </row>
    <row r="33" spans="2:12">
      <c r="B33" s="133"/>
      <c r="C33" s="234"/>
      <c r="D33" s="133"/>
      <c r="E33" s="133"/>
      <c r="F33" s="133"/>
      <c r="G33" s="133"/>
      <c r="H33" s="133"/>
      <c r="I33" s="133"/>
      <c r="J33" s="133"/>
      <c r="K33" s="133"/>
      <c r="L33" s="186"/>
    </row>
    <row r="34" spans="2:12">
      <c r="B34" s="141" t="s">
        <v>343</v>
      </c>
      <c r="C34" s="133"/>
      <c r="D34" s="133"/>
      <c r="E34" s="133"/>
      <c r="F34" s="133"/>
      <c r="G34" s="133"/>
      <c r="H34" s="235">
        <f>IF(D22=0,0,H26/D22)</f>
        <v>0</v>
      </c>
      <c r="I34" s="236">
        <f>IF(D22=0,0,I26/D22)</f>
        <v>1.3134548471092473E-3</v>
      </c>
      <c r="J34" s="133"/>
      <c r="K34" s="133"/>
      <c r="L34" s="186"/>
    </row>
    <row r="35" spans="2:12">
      <c r="B35" s="133"/>
      <c r="C35" s="133"/>
      <c r="D35" s="133"/>
      <c r="E35" s="133"/>
      <c r="F35" s="133"/>
      <c r="G35" s="133"/>
      <c r="H35" s="133"/>
      <c r="I35" s="133"/>
      <c r="J35" s="133"/>
      <c r="K35" s="133"/>
      <c r="L35" s="186"/>
    </row>
    <row r="36" spans="2:12">
      <c r="B36" s="141" t="s">
        <v>420</v>
      </c>
      <c r="C36" s="133"/>
      <c r="D36" s="133"/>
      <c r="E36" s="133"/>
      <c r="F36" s="133"/>
      <c r="G36" s="133"/>
      <c r="H36" s="133"/>
      <c r="I36" s="133"/>
      <c r="J36" s="233">
        <f>IF(D22=0,0,J28/D22)</f>
        <v>1.5646242827845241E-2</v>
      </c>
      <c r="K36" s="237"/>
      <c r="L36" s="186"/>
    </row>
    <row r="37" spans="2:12">
      <c r="B37" s="186"/>
      <c r="C37" s="186"/>
      <c r="D37" s="186"/>
      <c r="E37" s="186"/>
      <c r="F37" s="186"/>
      <c r="G37" s="186"/>
      <c r="H37" s="186"/>
      <c r="I37" s="186"/>
      <c r="J37" s="186"/>
      <c r="K37" s="186"/>
      <c r="L37" s="186"/>
    </row>
    <row r="38" spans="2:12">
      <c r="B38" s="186" t="s">
        <v>562</v>
      </c>
      <c r="C38" s="186"/>
      <c r="D38" s="186"/>
      <c r="E38" s="186"/>
      <c r="F38" s="186"/>
      <c r="G38" s="186"/>
      <c r="H38" s="186"/>
      <c r="I38" s="186"/>
      <c r="J38" s="186"/>
      <c r="K38" s="233">
        <f>IF(D22=0,0,K30/D22)</f>
        <v>0</v>
      </c>
      <c r="L38" s="186"/>
    </row>
    <row r="39" spans="2:12">
      <c r="B39" s="186"/>
      <c r="C39" s="186"/>
      <c r="D39" s="186"/>
      <c r="E39" s="186"/>
      <c r="F39" s="186"/>
      <c r="G39" s="186"/>
      <c r="H39" s="186"/>
      <c r="I39" s="186"/>
      <c r="J39" s="186"/>
      <c r="K39" s="186"/>
      <c r="L39" s="186"/>
    </row>
    <row r="43" spans="2:12">
      <c r="B43" s="238"/>
      <c r="C43" s="238"/>
      <c r="D43" s="238"/>
      <c r="E43" s="238"/>
      <c r="F43" s="238"/>
      <c r="G43" s="238"/>
      <c r="H43" s="238"/>
      <c r="I43" s="239"/>
    </row>
  </sheetData>
  <sheetProtection sheet="1" objects="1" scenarios="1"/>
  <mergeCells count="4">
    <mergeCell ref="D9:D10"/>
    <mergeCell ref="G9:L9"/>
    <mergeCell ref="E9:E10"/>
    <mergeCell ref="B6:L6"/>
  </mergeCells>
  <phoneticPr fontId="0" type="noConversion"/>
  <pageMargins left="0.4" right="0.4" top="0.83" bottom="0.85" header="0.3" footer="0.6"/>
  <pageSetup scale="81" orientation="landscape" blackAndWhite="1" horizontalDpi="4294967292" verticalDpi="300" r:id="rId1"/>
  <headerFooter alignWithMargins="0">
    <oddHeader xml:space="preserve">&amp;RState of Kansas
Township
</oddHeader>
    <oddFooter>&amp;Lrevised 5/14/09&amp;CPage No. 3</oddFooter>
  </headerFooter>
</worksheet>
</file>

<file path=xl/worksheets/sheet17.xml><?xml version="1.0" encoding="utf-8"?>
<worksheet xmlns="http://schemas.openxmlformats.org/spreadsheetml/2006/main" xmlns:r="http://schemas.openxmlformats.org/officeDocument/2006/relationships">
  <sheetPr>
    <pageSetUpPr fitToPage="1"/>
  </sheetPr>
  <dimension ref="A1:F32"/>
  <sheetViews>
    <sheetView workbookViewId="0">
      <selection activeCell="F13" sqref="F13"/>
    </sheetView>
  </sheetViews>
  <sheetFormatPr defaultRowHeight="15.75"/>
  <cols>
    <col min="1" max="2" width="16" style="239" customWidth="1"/>
    <col min="3" max="6" width="11.5" style="239" customWidth="1"/>
    <col min="7" max="16384" width="8.796875" style="239"/>
  </cols>
  <sheetData>
    <row r="1" spans="1:6">
      <c r="A1" s="193"/>
      <c r="B1" s="133"/>
      <c r="C1" s="133"/>
      <c r="D1" s="133"/>
      <c r="E1" s="209"/>
      <c r="F1" s="133">
        <f ca="1">inputPrYr!D5</f>
        <v>2013</v>
      </c>
    </row>
    <row r="2" spans="1:6">
      <c r="A2" s="240" t="str">
        <f ca="1">inputPrYr!D2</f>
        <v>Winterset Township</v>
      </c>
      <c r="B2" s="240"/>
      <c r="C2" s="133"/>
      <c r="D2" s="133"/>
      <c r="E2" s="209"/>
      <c r="F2" s="133"/>
    </row>
    <row r="3" spans="1:6">
      <c r="A3" s="193"/>
      <c r="B3" s="240"/>
      <c r="C3" s="133"/>
      <c r="D3" s="133"/>
      <c r="E3" s="209"/>
      <c r="F3" s="133"/>
    </row>
    <row r="4" spans="1:6">
      <c r="A4" s="193"/>
      <c r="B4" s="133"/>
      <c r="C4" s="133"/>
      <c r="D4" s="133"/>
      <c r="E4" s="209"/>
      <c r="F4" s="133"/>
    </row>
    <row r="5" spans="1:6" ht="15" customHeight="1">
      <c r="A5" s="509" t="s">
        <v>517</v>
      </c>
      <c r="B5" s="509"/>
      <c r="C5" s="509"/>
      <c r="D5" s="509"/>
      <c r="E5" s="509"/>
      <c r="F5" s="509"/>
    </row>
    <row r="6" spans="1:6" ht="14.25" customHeight="1">
      <c r="A6" s="132"/>
      <c r="B6" s="241"/>
      <c r="C6" s="241"/>
      <c r="D6" s="241"/>
      <c r="E6" s="241"/>
      <c r="F6" s="241"/>
    </row>
    <row r="7" spans="1:6" ht="15" customHeight="1">
      <c r="A7" s="242" t="s">
        <v>652</v>
      </c>
      <c r="B7" s="242" t="s">
        <v>318</v>
      </c>
      <c r="C7" s="243" t="s">
        <v>367</v>
      </c>
      <c r="D7" s="243" t="s">
        <v>518</v>
      </c>
      <c r="E7" s="242" t="s">
        <v>519</v>
      </c>
      <c r="F7" s="242" t="s">
        <v>520</v>
      </c>
    </row>
    <row r="8" spans="1:6" ht="15" customHeight="1">
      <c r="A8" s="244" t="s">
        <v>319</v>
      </c>
      <c r="B8" s="244" t="s">
        <v>320</v>
      </c>
      <c r="C8" s="245" t="s">
        <v>521</v>
      </c>
      <c r="D8" s="245" t="s">
        <v>521</v>
      </c>
      <c r="E8" s="245" t="s">
        <v>521</v>
      </c>
      <c r="F8" s="245" t="s">
        <v>522</v>
      </c>
    </row>
    <row r="9" spans="1:6" s="248" customFormat="1" ht="15" customHeight="1" thickBot="1">
      <c r="A9" s="246" t="s">
        <v>523</v>
      </c>
      <c r="B9" s="247" t="s">
        <v>524</v>
      </c>
      <c r="C9" s="247">
        <f>F1-2</f>
        <v>2011</v>
      </c>
      <c r="D9" s="247">
        <f>F1-1</f>
        <v>2012</v>
      </c>
      <c r="E9" s="247">
        <f>F1</f>
        <v>2013</v>
      </c>
      <c r="F9" s="247" t="s">
        <v>639</v>
      </c>
    </row>
    <row r="10" spans="1:6" ht="15" customHeight="1" thickTop="1">
      <c r="A10" s="249"/>
      <c r="B10" s="249"/>
      <c r="C10" s="250"/>
      <c r="D10" s="250"/>
      <c r="E10" s="250"/>
      <c r="F10" s="249"/>
    </row>
    <row r="11" spans="1:6" ht="15" customHeight="1">
      <c r="A11" s="251" t="s">
        <v>616</v>
      </c>
      <c r="B11" s="251" t="s">
        <v>656</v>
      </c>
      <c r="C11" s="252">
        <f ca="1">gen!$C$43</f>
        <v>0</v>
      </c>
      <c r="D11" s="252">
        <f ca="1">gen!$E$43</f>
        <v>0</v>
      </c>
      <c r="E11" s="252">
        <f ca="1">gen!$G$43</f>
        <v>0</v>
      </c>
      <c r="F11" s="251" t="str">
        <f>IF(C11+D11+E11&gt;0,"80-1406b","")</f>
        <v/>
      </c>
    </row>
    <row r="12" spans="1:6" ht="15" customHeight="1">
      <c r="A12" s="251" t="s">
        <v>616</v>
      </c>
      <c r="B12" s="251" t="s">
        <v>656</v>
      </c>
      <c r="C12" s="252">
        <f ca="1">gen!$C$45</f>
        <v>0</v>
      </c>
      <c r="D12" s="252">
        <f ca="1">gen!$E$45</f>
        <v>0</v>
      </c>
      <c r="E12" s="252">
        <f ca="1">gen!$G$45</f>
        <v>0</v>
      </c>
      <c r="F12" s="251" t="str">
        <f>IF(C12+D12+E12&gt;0,"80-122","")</f>
        <v/>
      </c>
    </row>
    <row r="13" spans="1:6" ht="15" customHeight="1">
      <c r="A13" s="251" t="s">
        <v>643</v>
      </c>
      <c r="B13" s="251" t="s">
        <v>656</v>
      </c>
      <c r="C13" s="252">
        <f ca="1">road!$C$38</f>
        <v>0</v>
      </c>
      <c r="D13" s="252">
        <f ca="1">road!$E$38</f>
        <v>0</v>
      </c>
      <c r="E13" s="252">
        <f ca="1">road!$G$38</f>
        <v>0</v>
      </c>
      <c r="F13" s="251" t="str">
        <f>IF(C13+D13+E13&gt;0,"68-141g","")</f>
        <v/>
      </c>
    </row>
    <row r="14" spans="1:6" ht="15" customHeight="1">
      <c r="A14" s="253"/>
      <c r="B14" s="253"/>
      <c r="C14" s="254"/>
      <c r="D14" s="254"/>
      <c r="E14" s="254"/>
      <c r="F14" s="253"/>
    </row>
    <row r="15" spans="1:6" ht="15" customHeight="1">
      <c r="A15" s="253"/>
      <c r="B15" s="253"/>
      <c r="C15" s="254"/>
      <c r="D15" s="254"/>
      <c r="E15" s="254"/>
      <c r="F15" s="253"/>
    </row>
    <row r="16" spans="1:6" ht="15" customHeight="1">
      <c r="A16" s="253"/>
      <c r="B16" s="253"/>
      <c r="C16" s="254"/>
      <c r="D16" s="254"/>
      <c r="E16" s="254"/>
      <c r="F16" s="253"/>
    </row>
    <row r="17" spans="1:6" ht="15" customHeight="1">
      <c r="A17" s="253"/>
      <c r="B17" s="253"/>
      <c r="C17" s="254"/>
      <c r="D17" s="254"/>
      <c r="E17" s="254"/>
      <c r="F17" s="253"/>
    </row>
    <row r="18" spans="1:6" ht="15" customHeight="1">
      <c r="A18" s="253"/>
      <c r="B18" s="253"/>
      <c r="C18" s="254"/>
      <c r="D18" s="254"/>
      <c r="E18" s="254"/>
      <c r="F18" s="253"/>
    </row>
    <row r="19" spans="1:6" ht="15" customHeight="1">
      <c r="A19" s="253"/>
      <c r="B19" s="255"/>
      <c r="C19" s="254"/>
      <c r="D19" s="254"/>
      <c r="E19" s="254"/>
      <c r="F19" s="253"/>
    </row>
    <row r="20" spans="1:6" ht="15" customHeight="1">
      <c r="A20" s="253"/>
      <c r="B20" s="253"/>
      <c r="C20" s="254"/>
      <c r="D20" s="254"/>
      <c r="E20" s="254"/>
      <c r="F20" s="253"/>
    </row>
    <row r="21" spans="1:6" ht="15" customHeight="1">
      <c r="A21" s="253"/>
      <c r="B21" s="253"/>
      <c r="C21" s="254"/>
      <c r="D21" s="254"/>
      <c r="E21" s="254"/>
      <c r="F21" s="253"/>
    </row>
    <row r="22" spans="1:6" ht="15" customHeight="1">
      <c r="A22" s="253"/>
      <c r="B22" s="253"/>
      <c r="C22" s="254"/>
      <c r="D22" s="254"/>
      <c r="E22" s="254"/>
      <c r="F22" s="253"/>
    </row>
    <row r="23" spans="1:6" ht="15" customHeight="1">
      <c r="A23" s="253"/>
      <c r="B23" s="253"/>
      <c r="C23" s="254"/>
      <c r="D23" s="254"/>
      <c r="E23" s="254"/>
      <c r="F23" s="253"/>
    </row>
    <row r="24" spans="1:6" ht="15" customHeight="1">
      <c r="A24" s="253"/>
      <c r="B24" s="253"/>
      <c r="C24" s="254"/>
      <c r="D24" s="254"/>
      <c r="E24" s="254"/>
      <c r="F24" s="253"/>
    </row>
    <row r="25" spans="1:6" ht="15" customHeight="1">
      <c r="A25" s="253"/>
      <c r="B25" s="253"/>
      <c r="C25" s="254"/>
      <c r="D25" s="254"/>
      <c r="E25" s="254"/>
      <c r="F25" s="253"/>
    </row>
    <row r="26" spans="1:6" ht="15" customHeight="1">
      <c r="A26" s="253"/>
      <c r="B26" s="253"/>
      <c r="C26" s="254"/>
      <c r="D26" s="254"/>
      <c r="E26" s="254"/>
      <c r="F26" s="253"/>
    </row>
    <row r="27" spans="1:6">
      <c r="A27" s="256"/>
      <c r="B27" s="257" t="s">
        <v>644</v>
      </c>
      <c r="C27" s="258">
        <f>SUM(C10:C26)</f>
        <v>0</v>
      </c>
      <c r="D27" s="258">
        <f>SUM(D10:D26)</f>
        <v>0</v>
      </c>
      <c r="E27" s="258">
        <f>SUM(E10:E26)</f>
        <v>0</v>
      </c>
      <c r="F27" s="256"/>
    </row>
    <row r="28" spans="1:6">
      <c r="A28" s="256"/>
      <c r="B28" s="257" t="s">
        <v>317</v>
      </c>
      <c r="C28" s="256"/>
      <c r="D28" s="253"/>
      <c r="E28" s="253"/>
      <c r="F28" s="256"/>
    </row>
    <row r="29" spans="1:6">
      <c r="A29" s="256"/>
      <c r="B29" s="157" t="s">
        <v>525</v>
      </c>
      <c r="C29" s="259">
        <f>C27</f>
        <v>0</v>
      </c>
      <c r="D29" s="259">
        <f>SUM(D27-D28)</f>
        <v>0</v>
      </c>
      <c r="E29" s="259">
        <f>SUM(E27-E28)</f>
        <v>0</v>
      </c>
      <c r="F29" s="256"/>
    </row>
    <row r="30" spans="1:6">
      <c r="A30" s="256"/>
      <c r="B30" s="133"/>
      <c r="C30" s="133"/>
      <c r="D30" s="133"/>
      <c r="E30" s="133"/>
      <c r="F30" s="256"/>
    </row>
    <row r="31" spans="1:6">
      <c r="A31" s="256"/>
      <c r="B31" s="133"/>
      <c r="C31" s="133"/>
      <c r="D31" s="133"/>
      <c r="E31" s="133"/>
      <c r="F31" s="256"/>
    </row>
    <row r="32" spans="1:6">
      <c r="A32" s="485" t="s">
        <v>321</v>
      </c>
      <c r="B32" s="486" t="str">
        <f>CONCATENATE("Adjustments are required only if the transfer is being made in ",D9," and/or ",E9," from a non-budgeted fund.")</f>
        <v>Adjustments are required only if the transfer is being made in 2012 and/or 2013 from a non-budgeted fund.</v>
      </c>
      <c r="C32" s="133"/>
      <c r="D32" s="133"/>
      <c r="E32" s="133"/>
      <c r="F32" s="256"/>
    </row>
  </sheetData>
  <sheetProtection sheet="1"/>
  <mergeCells count="1">
    <mergeCell ref="A5:F5"/>
  </mergeCells>
  <phoneticPr fontId="11" type="noConversion"/>
  <pageMargins left="0.75" right="0.75" top="1" bottom="1" header="0.5" footer="0.5"/>
  <pageSetup scale="89" orientation="portrait" blackAndWhite="1" r:id="rId1"/>
  <headerFooter alignWithMargins="0">
    <oddHeader>&amp;RState of Kansas
Township</oddHeader>
    <oddFooter>&amp;Lrevised 4/15/10&amp;CPage No. 4</oddFooter>
  </headerFooter>
</worksheet>
</file>

<file path=xl/worksheets/sheet18.xml><?xml version="1.0" encoding="utf-8"?>
<worksheet xmlns="http://schemas.openxmlformats.org/spreadsheetml/2006/main" xmlns:r="http://schemas.openxmlformats.org/officeDocument/2006/relationships">
  <dimension ref="A1:A20"/>
  <sheetViews>
    <sheetView zoomScaleNormal="100" workbookViewId="0">
      <selection activeCell="A17" sqref="A17"/>
    </sheetView>
  </sheetViews>
  <sheetFormatPr defaultRowHeight="15.75"/>
  <cols>
    <col min="1" max="1" width="70.3984375" style="182" customWidth="1"/>
    <col min="2" max="16384" width="8.796875" style="182"/>
  </cols>
  <sheetData>
    <row r="1" spans="1:1" ht="18.75">
      <c r="A1" s="451" t="s">
        <v>687</v>
      </c>
    </row>
    <row r="2" spans="1:1">
      <c r="A2" s="187"/>
    </row>
    <row r="3" spans="1:1">
      <c r="A3" s="187"/>
    </row>
    <row r="4" spans="1:1" ht="53.25" customHeight="1">
      <c r="A4" s="446" t="s">
        <v>39</v>
      </c>
    </row>
    <row r="5" spans="1:1">
      <c r="A5" s="187"/>
    </row>
    <row r="6" spans="1:1" ht="72.75" customHeight="1">
      <c r="A6" s="446" t="s">
        <v>40</v>
      </c>
    </row>
    <row r="7" spans="1:1">
      <c r="A7" s="187"/>
    </row>
    <row r="8" spans="1:1" ht="67.5" customHeight="1">
      <c r="A8" s="446" t="s">
        <v>41</v>
      </c>
    </row>
    <row r="9" spans="1:1">
      <c r="A9" s="447"/>
    </row>
    <row r="10" spans="1:1" ht="60.75" customHeight="1">
      <c r="A10" s="446" t="s">
        <v>42</v>
      </c>
    </row>
    <row r="11" spans="1:1">
      <c r="A11" s="447"/>
    </row>
    <row r="12" spans="1:1" ht="84.75" customHeight="1">
      <c r="A12" s="446" t="s">
        <v>43</v>
      </c>
    </row>
    <row r="13" spans="1:1">
      <c r="A13" s="187"/>
    </row>
    <row r="14" spans="1:1" ht="53.25" customHeight="1">
      <c r="A14" s="446" t="s">
        <v>44</v>
      </c>
    </row>
    <row r="15" spans="1:1">
      <c r="A15" s="187"/>
    </row>
    <row r="16" spans="1:1" ht="57.75" customHeight="1">
      <c r="A16" s="446" t="s">
        <v>45</v>
      </c>
    </row>
    <row r="17" spans="1:1">
      <c r="A17" s="448"/>
    </row>
    <row r="18" spans="1:1" ht="30">
      <c r="A18" s="449" t="s">
        <v>46</v>
      </c>
    </row>
    <row r="19" spans="1:1">
      <c r="A19" s="450"/>
    </row>
    <row r="20" spans="1:1">
      <c r="A20" s="448"/>
    </row>
  </sheetData>
  <sheetProtection sheet="1"/>
  <phoneticPr fontId="0" type="noConversion"/>
  <pageMargins left="0.7" right="0.7" top="0.75" bottom="0.75" header="0.3" footer="0.3"/>
  <pageSetup orientation="portrait" r:id="rId1"/>
  <headerFooter>
    <oddFooter>&amp;Lrevised 8/25/09</oddFooter>
  </headerFooter>
</worksheet>
</file>

<file path=xl/worksheets/sheet19.xml><?xml version="1.0" encoding="utf-8"?>
<worksheet xmlns="http://schemas.openxmlformats.org/spreadsheetml/2006/main" xmlns:r="http://schemas.openxmlformats.org/officeDocument/2006/relationships">
  <sheetPr>
    <pageSetUpPr fitToPage="1"/>
  </sheetPr>
  <dimension ref="A1:X39"/>
  <sheetViews>
    <sheetView zoomScale="75" workbookViewId="0">
      <selection activeCell="B13" sqref="B13:B14"/>
    </sheetView>
  </sheetViews>
  <sheetFormatPr defaultRowHeight="15.75"/>
  <cols>
    <col min="1" max="1" width="18.69921875" style="262" customWidth="1"/>
    <col min="2" max="2" width="8.796875" style="262"/>
    <col min="3" max="3" width="7.8984375" style="262" customWidth="1"/>
    <col min="4" max="4" width="8.796875" style="262"/>
    <col min="5" max="5" width="16.19921875" style="262" customWidth="1"/>
    <col min="6" max="16384" width="8.796875" style="262"/>
  </cols>
  <sheetData>
    <row r="1" spans="1:11">
      <c r="A1" s="260" t="str">
        <f ca="1">inputPrYr!$D$2</f>
        <v>Winterset Township</v>
      </c>
      <c r="B1" s="261"/>
      <c r="C1" s="261"/>
      <c r="D1" s="261"/>
      <c r="E1" s="261"/>
      <c r="F1" s="261"/>
      <c r="G1" s="261"/>
      <c r="H1" s="261"/>
      <c r="I1" s="133"/>
      <c r="J1" s="133"/>
      <c r="K1" s="208">
        <f ca="1">inputPrYr!D5</f>
        <v>2013</v>
      </c>
    </row>
    <row r="2" spans="1:11">
      <c r="A2" s="260" t="str">
        <f ca="1">inputPrYr!$D$3</f>
        <v>Russell County</v>
      </c>
      <c r="B2" s="261"/>
      <c r="C2" s="261"/>
      <c r="D2" s="261"/>
      <c r="E2" s="261"/>
      <c r="F2" s="261"/>
      <c r="G2" s="261"/>
      <c r="H2" s="261"/>
      <c r="I2" s="133"/>
      <c r="J2" s="133"/>
      <c r="K2" s="209"/>
    </row>
    <row r="3" spans="1:11">
      <c r="A3" s="263" t="s">
        <v>417</v>
      </c>
      <c r="B3" s="264"/>
      <c r="C3" s="264"/>
      <c r="D3" s="134"/>
      <c r="E3" s="264"/>
      <c r="F3" s="264"/>
      <c r="G3" s="264"/>
      <c r="H3" s="264"/>
      <c r="I3" s="264"/>
      <c r="J3" s="264"/>
      <c r="K3" s="264"/>
    </row>
    <row r="4" spans="1:11">
      <c r="A4" s="261"/>
      <c r="B4" s="261"/>
      <c r="C4" s="261"/>
      <c r="D4" s="261"/>
      <c r="E4" s="261"/>
      <c r="F4" s="261"/>
      <c r="G4" s="261"/>
      <c r="H4" s="261"/>
      <c r="I4" s="261"/>
      <c r="J4" s="261"/>
      <c r="K4" s="261"/>
    </row>
    <row r="5" spans="1:11">
      <c r="A5" s="133"/>
      <c r="B5" s="215" t="s">
        <v>392</v>
      </c>
      <c r="C5" s="215" t="s">
        <v>400</v>
      </c>
      <c r="D5" s="215"/>
      <c r="E5" s="215" t="s">
        <v>339</v>
      </c>
      <c r="F5" s="265"/>
      <c r="G5" s="266"/>
      <c r="H5" s="265" t="s">
        <v>393</v>
      </c>
      <c r="I5" s="266"/>
      <c r="J5" s="265" t="s">
        <v>393</v>
      </c>
      <c r="K5" s="266"/>
    </row>
    <row r="6" spans="1:11">
      <c r="A6" s="133"/>
      <c r="B6" s="267" t="s">
        <v>394</v>
      </c>
      <c r="C6" s="267" t="s">
        <v>338</v>
      </c>
      <c r="D6" s="267" t="s">
        <v>339</v>
      </c>
      <c r="E6" s="267" t="s">
        <v>466</v>
      </c>
      <c r="F6" s="268" t="s">
        <v>395</v>
      </c>
      <c r="G6" s="269"/>
      <c r="H6" s="268">
        <f>K1-1</f>
        <v>2012</v>
      </c>
      <c r="I6" s="269"/>
      <c r="J6" s="268">
        <f>K1</f>
        <v>2013</v>
      </c>
      <c r="K6" s="269"/>
    </row>
    <row r="7" spans="1:11">
      <c r="A7" s="270" t="s">
        <v>396</v>
      </c>
      <c r="B7" s="218" t="s">
        <v>397</v>
      </c>
      <c r="C7" s="218" t="s">
        <v>364</v>
      </c>
      <c r="D7" s="218" t="s">
        <v>398</v>
      </c>
      <c r="E7" s="271" t="str">
        <f>CONCATENATE("Jan 1,",K1-1,"")</f>
        <v>Jan 1,2012</v>
      </c>
      <c r="F7" s="157" t="s">
        <v>400</v>
      </c>
      <c r="G7" s="157" t="s">
        <v>401</v>
      </c>
      <c r="H7" s="157" t="s">
        <v>400</v>
      </c>
      <c r="I7" s="157" t="s">
        <v>401</v>
      </c>
      <c r="J7" s="157" t="s">
        <v>400</v>
      </c>
      <c r="K7" s="157" t="s">
        <v>401</v>
      </c>
    </row>
    <row r="8" spans="1:11">
      <c r="A8" s="272" t="s">
        <v>387</v>
      </c>
      <c r="B8" s="273"/>
      <c r="C8" s="272"/>
      <c r="D8" s="272"/>
      <c r="E8" s="272"/>
      <c r="F8" s="274"/>
      <c r="G8" s="274"/>
      <c r="H8" s="272"/>
      <c r="I8" s="272"/>
      <c r="J8" s="272"/>
      <c r="K8" s="275"/>
    </row>
    <row r="9" spans="1:11">
      <c r="A9" s="276"/>
      <c r="B9" s="487"/>
      <c r="C9" s="278"/>
      <c r="D9" s="279"/>
      <c r="E9" s="280"/>
      <c r="F9" s="281"/>
      <c r="G9" s="281"/>
      <c r="H9" s="280"/>
      <c r="I9" s="280"/>
      <c r="J9" s="280"/>
      <c r="K9" s="280"/>
    </row>
    <row r="10" spans="1:11">
      <c r="A10" s="276"/>
      <c r="B10" s="487"/>
      <c r="C10" s="278"/>
      <c r="D10" s="279"/>
      <c r="E10" s="280"/>
      <c r="F10" s="281"/>
      <c r="G10" s="281"/>
      <c r="H10" s="280"/>
      <c r="I10" s="280"/>
      <c r="J10" s="280"/>
      <c r="K10" s="280"/>
    </row>
    <row r="11" spans="1:11">
      <c r="A11" s="251" t="s">
        <v>500</v>
      </c>
      <c r="B11" s="282"/>
      <c r="C11" s="283"/>
      <c r="D11" s="284"/>
      <c r="E11" s="285">
        <f>SUM(E9:E10)</f>
        <v>0</v>
      </c>
      <c r="F11" s="286"/>
      <c r="G11" s="286"/>
      <c r="H11" s="285">
        <f>SUM(H9:H10)</f>
        <v>0</v>
      </c>
      <c r="I11" s="285">
        <f>SUM(I9:I10)</f>
        <v>0</v>
      </c>
      <c r="J11" s="285">
        <f>SUM(J9:J10)</f>
        <v>0</v>
      </c>
      <c r="K11" s="285">
        <f>SUM(K9:K10)</f>
        <v>0</v>
      </c>
    </row>
    <row r="12" spans="1:11">
      <c r="A12" s="251" t="s">
        <v>356</v>
      </c>
      <c r="B12" s="282"/>
      <c r="C12" s="283"/>
      <c r="D12" s="284"/>
      <c r="E12" s="159"/>
      <c r="F12" s="286"/>
      <c r="G12" s="286"/>
      <c r="H12" s="159"/>
      <c r="I12" s="159"/>
      <c r="J12" s="159"/>
      <c r="K12" s="159"/>
    </row>
    <row r="13" spans="1:11">
      <c r="A13" s="276"/>
      <c r="B13" s="487"/>
      <c r="C13" s="278"/>
      <c r="D13" s="279"/>
      <c r="E13" s="280"/>
      <c r="F13" s="281"/>
      <c r="G13" s="281"/>
      <c r="H13" s="280"/>
      <c r="I13" s="280"/>
      <c r="J13" s="280"/>
      <c r="K13" s="280"/>
    </row>
    <row r="14" spans="1:11">
      <c r="A14" s="276"/>
      <c r="B14" s="487"/>
      <c r="C14" s="278"/>
      <c r="D14" s="279"/>
      <c r="E14" s="280"/>
      <c r="F14" s="281"/>
      <c r="G14" s="281"/>
      <c r="H14" s="280"/>
      <c r="I14" s="280"/>
      <c r="J14" s="280"/>
      <c r="K14" s="280"/>
    </row>
    <row r="15" spans="1:11">
      <c r="A15" s="251" t="s">
        <v>501</v>
      </c>
      <c r="B15" s="282"/>
      <c r="C15" s="283"/>
      <c r="D15" s="284"/>
      <c r="E15" s="285">
        <f>SUM(E13:E14)</f>
        <v>0</v>
      </c>
      <c r="F15" s="286"/>
      <c r="G15" s="286"/>
      <c r="H15" s="285">
        <f>SUM(H13:H14)</f>
        <v>0</v>
      </c>
      <c r="I15" s="285">
        <f>SUM(I13:I14)</f>
        <v>0</v>
      </c>
      <c r="J15" s="285">
        <f>SUM(J13:J14)</f>
        <v>0</v>
      </c>
      <c r="K15" s="285">
        <f>SUM(K13:K14)</f>
        <v>0</v>
      </c>
    </row>
    <row r="16" spans="1:11">
      <c r="A16" s="287" t="s">
        <v>419</v>
      </c>
      <c r="B16" s="288"/>
      <c r="C16" s="289"/>
      <c r="D16" s="290"/>
      <c r="E16" s="291">
        <f>SUM(E11+E15)</f>
        <v>0</v>
      </c>
      <c r="F16" s="288"/>
      <c r="G16" s="292"/>
      <c r="H16" s="291">
        <f>SUM(H11+H15)</f>
        <v>0</v>
      </c>
      <c r="I16" s="291">
        <f>SUM(I11+I15)</f>
        <v>0</v>
      </c>
      <c r="J16" s="291">
        <f>SUM(J11+J15)</f>
        <v>0</v>
      </c>
      <c r="K16" s="291">
        <f>SUM(K11+K15)</f>
        <v>0</v>
      </c>
    </row>
    <row r="17" spans="1:24">
      <c r="A17" s="133"/>
      <c r="B17" s="133"/>
      <c r="C17" s="140"/>
      <c r="D17" s="140"/>
      <c r="E17" s="140"/>
      <c r="F17" s="140"/>
      <c r="G17" s="140"/>
      <c r="H17" s="140"/>
      <c r="I17" s="140"/>
      <c r="J17" s="140"/>
      <c r="K17" s="140"/>
      <c r="L17" s="187"/>
      <c r="M17" s="187"/>
      <c r="N17" s="187"/>
      <c r="O17" s="187"/>
      <c r="P17" s="187"/>
      <c r="Q17" s="187"/>
      <c r="R17" s="187"/>
      <c r="S17" s="187"/>
      <c r="T17" s="187"/>
      <c r="U17" s="187"/>
      <c r="V17" s="187"/>
      <c r="W17" s="187"/>
      <c r="X17" s="187"/>
    </row>
    <row r="18" spans="1:24" s="295" customFormat="1">
      <c r="A18" s="263" t="s">
        <v>416</v>
      </c>
      <c r="B18" s="293"/>
      <c r="C18" s="293"/>
      <c r="D18" s="293"/>
      <c r="E18" s="134"/>
      <c r="F18" s="293"/>
      <c r="G18" s="293"/>
      <c r="H18" s="293"/>
      <c r="I18" s="293"/>
      <c r="J18" s="293"/>
      <c r="K18" s="294"/>
    </row>
    <row r="19" spans="1:24" s="295" customFormat="1">
      <c r="A19" s="140"/>
      <c r="B19" s="296"/>
      <c r="C19" s="296"/>
      <c r="D19" s="296"/>
      <c r="E19" s="296"/>
      <c r="F19" s="296"/>
      <c r="G19" s="296"/>
      <c r="H19" s="296"/>
      <c r="I19" s="297"/>
      <c r="J19" s="297"/>
      <c r="K19" s="294"/>
    </row>
    <row r="20" spans="1:24" s="295" customFormat="1">
      <c r="A20" s="214"/>
      <c r="B20" s="214"/>
      <c r="C20" s="215" t="s">
        <v>399</v>
      </c>
      <c r="D20" s="214"/>
      <c r="E20" s="215" t="s">
        <v>644</v>
      </c>
      <c r="F20" s="214"/>
      <c r="G20" s="214"/>
      <c r="H20" s="214"/>
      <c r="I20" s="298"/>
      <c r="J20" s="299"/>
      <c r="K20" s="294"/>
    </row>
    <row r="21" spans="1:24" s="295" customFormat="1">
      <c r="A21" s="144"/>
      <c r="B21" s="267"/>
      <c r="C21" s="267" t="s">
        <v>394</v>
      </c>
      <c r="D21" s="267" t="s">
        <v>400</v>
      </c>
      <c r="E21" s="267" t="s">
        <v>339</v>
      </c>
      <c r="F21" s="267" t="s">
        <v>401</v>
      </c>
      <c r="G21" s="267" t="s">
        <v>402</v>
      </c>
      <c r="H21" s="267" t="s">
        <v>402</v>
      </c>
      <c r="I21" s="294"/>
      <c r="J21" s="294"/>
      <c r="K21" s="294"/>
    </row>
    <row r="22" spans="1:24" s="295" customFormat="1">
      <c r="A22" s="144"/>
      <c r="B22" s="267" t="s">
        <v>403</v>
      </c>
      <c r="C22" s="267" t="s">
        <v>404</v>
      </c>
      <c r="D22" s="267" t="s">
        <v>338</v>
      </c>
      <c r="E22" s="267" t="s">
        <v>405</v>
      </c>
      <c r="F22" s="267" t="s">
        <v>450</v>
      </c>
      <c r="G22" s="267" t="s">
        <v>406</v>
      </c>
      <c r="H22" s="267" t="s">
        <v>406</v>
      </c>
      <c r="I22" s="294"/>
      <c r="J22" s="294"/>
      <c r="K22" s="294"/>
    </row>
    <row r="23" spans="1:24" s="295" customFormat="1">
      <c r="A23" s="300" t="s">
        <v>407</v>
      </c>
      <c r="B23" s="218" t="s">
        <v>392</v>
      </c>
      <c r="C23" s="301" t="s">
        <v>408</v>
      </c>
      <c r="D23" s="218" t="s">
        <v>364</v>
      </c>
      <c r="E23" s="301" t="s">
        <v>467</v>
      </c>
      <c r="F23" s="271" t="str">
        <f>CONCATENATE("Jan 1,",K1-1,"")</f>
        <v>Jan 1,2012</v>
      </c>
      <c r="G23" s="218">
        <f>K1-1</f>
        <v>2012</v>
      </c>
      <c r="H23" s="218">
        <f>K1</f>
        <v>2013</v>
      </c>
      <c r="I23" s="294"/>
      <c r="J23" s="294"/>
      <c r="K23" s="294"/>
    </row>
    <row r="24" spans="1:24" s="295" customFormat="1">
      <c r="A24" s="276"/>
      <c r="B24" s="277"/>
      <c r="C24" s="302"/>
      <c r="D24" s="278"/>
      <c r="E24" s="279"/>
      <c r="F24" s="279"/>
      <c r="G24" s="279"/>
      <c r="H24" s="279"/>
      <c r="I24" s="294"/>
      <c r="J24" s="294"/>
      <c r="K24" s="294"/>
    </row>
    <row r="25" spans="1:24" s="295" customFormat="1">
      <c r="A25" s="276"/>
      <c r="B25" s="277"/>
      <c r="C25" s="302"/>
      <c r="D25" s="278"/>
      <c r="E25" s="279"/>
      <c r="F25" s="279"/>
      <c r="G25" s="279"/>
      <c r="H25" s="279"/>
      <c r="I25" s="294"/>
      <c r="J25" s="294"/>
      <c r="K25" s="294"/>
    </row>
    <row r="26" spans="1:24" s="295" customFormat="1">
      <c r="A26" s="276"/>
      <c r="B26" s="277"/>
      <c r="C26" s="302"/>
      <c r="D26" s="278"/>
      <c r="E26" s="279"/>
      <c r="F26" s="279"/>
      <c r="G26" s="279"/>
      <c r="H26" s="279"/>
      <c r="I26" s="294"/>
      <c r="J26" s="294"/>
      <c r="K26" s="294"/>
    </row>
    <row r="27" spans="1:24" s="295" customFormat="1">
      <c r="A27" s="276"/>
      <c r="B27" s="277"/>
      <c r="C27" s="302"/>
      <c r="D27" s="278"/>
      <c r="E27" s="279"/>
      <c r="F27" s="279"/>
      <c r="G27" s="279"/>
      <c r="H27" s="279"/>
      <c r="I27" s="294"/>
      <c r="J27" s="294"/>
      <c r="K27" s="294"/>
    </row>
    <row r="28" spans="1:24" s="295" customFormat="1">
      <c r="A28" s="276"/>
      <c r="B28" s="277"/>
      <c r="C28" s="302"/>
      <c r="D28" s="278"/>
      <c r="E28" s="279"/>
      <c r="F28" s="279"/>
      <c r="G28" s="279"/>
      <c r="H28" s="279"/>
      <c r="I28" s="294"/>
      <c r="J28" s="294"/>
      <c r="K28" s="294"/>
    </row>
    <row r="29" spans="1:24" s="295" customFormat="1">
      <c r="A29" s="276"/>
      <c r="B29" s="277"/>
      <c r="C29" s="302"/>
      <c r="D29" s="278"/>
      <c r="E29" s="279"/>
      <c r="F29" s="279"/>
      <c r="G29" s="279"/>
      <c r="H29" s="279"/>
      <c r="I29" s="294"/>
      <c r="J29" s="294"/>
      <c r="K29" s="294"/>
    </row>
    <row r="30" spans="1:24" s="295" customFormat="1">
      <c r="A30" s="276"/>
      <c r="B30" s="277"/>
      <c r="C30" s="302"/>
      <c r="D30" s="278"/>
      <c r="E30" s="279"/>
      <c r="F30" s="279"/>
      <c r="G30" s="279"/>
      <c r="H30" s="279"/>
      <c r="I30" s="294"/>
      <c r="J30" s="294"/>
      <c r="K30" s="294"/>
    </row>
    <row r="31" spans="1:24" s="295" customFormat="1">
      <c r="A31" s="276"/>
      <c r="B31" s="277"/>
      <c r="C31" s="302"/>
      <c r="D31" s="278"/>
      <c r="E31" s="279"/>
      <c r="F31" s="279"/>
      <c r="G31" s="279"/>
      <c r="H31" s="279"/>
      <c r="I31" s="294"/>
      <c r="J31" s="294"/>
      <c r="K31" s="294"/>
    </row>
    <row r="32" spans="1:24" s="295" customFormat="1">
      <c r="A32" s="276"/>
      <c r="B32" s="277"/>
      <c r="C32" s="302"/>
      <c r="D32" s="278"/>
      <c r="E32" s="279"/>
      <c r="F32" s="279"/>
      <c r="G32" s="279"/>
      <c r="H32" s="279"/>
      <c r="I32" s="294"/>
      <c r="J32" s="294"/>
      <c r="K32" s="294"/>
    </row>
    <row r="33" spans="1:11" s="295" customFormat="1">
      <c r="A33" s="276"/>
      <c r="B33" s="277"/>
      <c r="C33" s="302"/>
      <c r="D33" s="278"/>
      <c r="E33" s="279"/>
      <c r="F33" s="279"/>
      <c r="G33" s="279"/>
      <c r="H33" s="279"/>
      <c r="I33" s="294"/>
      <c r="J33" s="294"/>
      <c r="K33" s="294"/>
    </row>
    <row r="34" spans="1:11" s="295" customFormat="1">
      <c r="A34" s="276"/>
      <c r="B34" s="277"/>
      <c r="C34" s="302"/>
      <c r="D34" s="278"/>
      <c r="E34" s="279"/>
      <c r="F34" s="279"/>
      <c r="G34" s="279"/>
      <c r="H34" s="279"/>
      <c r="I34" s="294"/>
      <c r="J34" s="294"/>
      <c r="K34" s="294"/>
    </row>
    <row r="35" spans="1:11" s="295" customFormat="1">
      <c r="A35" s="276"/>
      <c r="B35" s="277"/>
      <c r="C35" s="302"/>
      <c r="D35" s="278"/>
      <c r="E35" s="279"/>
      <c r="F35" s="279"/>
      <c r="G35" s="279"/>
      <c r="H35" s="279"/>
      <c r="I35" s="294"/>
      <c r="J35" s="294"/>
      <c r="K35" s="294"/>
    </row>
    <row r="36" spans="1:11">
      <c r="A36" s="287" t="s">
        <v>419</v>
      </c>
      <c r="B36" s="288"/>
      <c r="C36" s="289"/>
      <c r="D36" s="303"/>
      <c r="E36" s="292"/>
      <c r="F36" s="291">
        <f>SUM(F24:F35)</f>
        <v>0</v>
      </c>
      <c r="G36" s="291">
        <f>SUM(G24:G35)</f>
        <v>0</v>
      </c>
      <c r="H36" s="291">
        <f>SUM(H24:H35)</f>
        <v>0</v>
      </c>
      <c r="I36" s="261"/>
      <c r="J36" s="261"/>
      <c r="K36" s="304"/>
    </row>
    <row r="37" spans="1:11">
      <c r="A37" s="261"/>
      <c r="B37" s="261"/>
      <c r="C37" s="261"/>
      <c r="D37" s="261"/>
      <c r="E37" s="261"/>
      <c r="F37" s="261"/>
      <c r="G37" s="261"/>
      <c r="H37" s="261"/>
      <c r="I37" s="261"/>
      <c r="J37" s="261"/>
      <c r="K37" s="261"/>
    </row>
    <row r="38" spans="1:11">
      <c r="A38" s="305" t="s">
        <v>609</v>
      </c>
      <c r="B38" s="305"/>
      <c r="C38" s="305"/>
      <c r="D38" s="305"/>
      <c r="E38" s="305"/>
      <c r="F38" s="305"/>
      <c r="G38" s="305"/>
      <c r="H38" s="261"/>
      <c r="I38" s="261"/>
      <c r="J38" s="261"/>
      <c r="K38" s="261"/>
    </row>
    <row r="39" spans="1:11">
      <c r="A39" s="306"/>
    </row>
  </sheetData>
  <sheetProtection sheet="1"/>
  <phoneticPr fontId="0" type="noConversion"/>
  <pageMargins left="0.5" right="0.5" top="1" bottom="0.5" header="0.5" footer="0.5"/>
  <pageSetup scale="88" orientation="landscape" blackAndWhite="1" horizontalDpi="120" verticalDpi="144" r:id="rId1"/>
  <headerFooter alignWithMargins="0">
    <oddHeader xml:space="preserve">&amp;RState of Kansas
Township
</oddHeader>
    <oddFooter>&amp;Lrevised 8/06/07&amp;CPage No. 5</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G89"/>
  <sheetViews>
    <sheetView topLeftCell="A10" workbookViewId="0">
      <selection activeCell="E60" sqref="E60"/>
    </sheetView>
  </sheetViews>
  <sheetFormatPr defaultRowHeight="15.75"/>
  <cols>
    <col min="1" max="1" width="10.69921875" style="5" customWidth="1"/>
    <col min="2" max="2" width="20.69921875" style="5" customWidth="1"/>
    <col min="3" max="3" width="11.69921875" style="5" customWidth="1"/>
    <col min="4" max="4" width="15" style="5" customWidth="1"/>
    <col min="5" max="5" width="14.09765625" style="5" customWidth="1"/>
    <col min="6" max="6" width="2.69921875" style="5" customWidth="1"/>
    <col min="7" max="16384" width="8.796875" style="5"/>
  </cols>
  <sheetData>
    <row r="1" spans="1:5">
      <c r="A1" s="101" t="s">
        <v>638</v>
      </c>
      <c r="B1" s="16"/>
      <c r="C1" s="16"/>
      <c r="D1" s="16"/>
      <c r="E1" s="16"/>
    </row>
    <row r="2" spans="1:5">
      <c r="A2" s="34" t="s">
        <v>589</v>
      </c>
      <c r="B2" s="16"/>
      <c r="C2" s="16"/>
      <c r="D2" s="12" t="s">
        <v>329</v>
      </c>
      <c r="E2" s="23"/>
    </row>
    <row r="3" spans="1:5">
      <c r="A3" s="34" t="s">
        <v>588</v>
      </c>
      <c r="B3" s="16"/>
      <c r="C3" s="16"/>
      <c r="D3" s="54" t="s">
        <v>330</v>
      </c>
      <c r="E3" s="23"/>
    </row>
    <row r="4" spans="1:5">
      <c r="A4" s="16"/>
      <c r="B4" s="16"/>
      <c r="C4" s="16"/>
      <c r="D4" s="16"/>
      <c r="E4" s="16"/>
    </row>
    <row r="5" spans="1:5">
      <c r="A5" s="22" t="s">
        <v>491</v>
      </c>
      <c r="B5" s="16"/>
      <c r="C5" s="16"/>
      <c r="D5" s="100">
        <v>2013</v>
      </c>
      <c r="E5" s="16"/>
    </row>
    <row r="6" spans="1:5">
      <c r="A6" s="16"/>
      <c r="B6" s="16"/>
      <c r="C6" s="16"/>
      <c r="D6" s="16"/>
      <c r="E6" s="16"/>
    </row>
    <row r="7" spans="1:5">
      <c r="A7" s="71" t="s">
        <v>493</v>
      </c>
      <c r="B7" s="72"/>
      <c r="C7" s="72"/>
      <c r="D7" s="72"/>
      <c r="E7" s="72"/>
    </row>
    <row r="8" spans="1:5">
      <c r="A8" s="71" t="s">
        <v>550</v>
      </c>
      <c r="B8" s="72"/>
      <c r="C8" s="72"/>
      <c r="D8" s="72"/>
      <c r="E8" s="72"/>
    </row>
    <row r="9" spans="1:5">
      <c r="A9" s="16"/>
      <c r="B9" s="16"/>
      <c r="C9" s="16"/>
      <c r="D9" s="16"/>
      <c r="E9" s="16"/>
    </row>
    <row r="10" spans="1:5">
      <c r="A10" s="491" t="s">
        <v>504</v>
      </c>
      <c r="B10" s="492"/>
      <c r="C10" s="492"/>
      <c r="D10" s="492"/>
      <c r="E10" s="492"/>
    </row>
    <row r="11" spans="1:5">
      <c r="A11" s="34"/>
      <c r="B11" s="16"/>
      <c r="C11" s="16"/>
      <c r="D11" s="16"/>
      <c r="E11" s="16"/>
    </row>
    <row r="12" spans="1:5">
      <c r="A12" s="57" t="s">
        <v>492</v>
      </c>
      <c r="B12" s="55"/>
      <c r="C12" s="16"/>
      <c r="D12" s="19"/>
      <c r="E12" s="78"/>
    </row>
    <row r="13" spans="1:5">
      <c r="A13" s="69" t="str">
        <f>CONCATENATE("the ",D5-1," Budget, Certificate Page:")</f>
        <v>the 2012 Budget, Certificate Page:</v>
      </c>
      <c r="B13" s="70"/>
      <c r="C13" s="19"/>
      <c r="D13" s="16"/>
      <c r="E13" s="16"/>
    </row>
    <row r="14" spans="1:5">
      <c r="A14" s="69" t="s">
        <v>685</v>
      </c>
      <c r="B14" s="70"/>
      <c r="C14" s="19"/>
      <c r="D14" s="122">
        <f>$D$5-1</f>
        <v>2012</v>
      </c>
      <c r="E14" s="121">
        <f>$D$5-2</f>
        <v>2011</v>
      </c>
    </row>
    <row r="15" spans="1:5">
      <c r="A15" s="18" t="s">
        <v>640</v>
      </c>
      <c r="B15" s="16"/>
      <c r="C15" s="77" t="s">
        <v>639</v>
      </c>
      <c r="D15" s="123" t="s">
        <v>24</v>
      </c>
      <c r="E15" s="120" t="s">
        <v>351</v>
      </c>
    </row>
    <row r="16" spans="1:5">
      <c r="A16" s="16"/>
      <c r="B16" s="31" t="s">
        <v>641</v>
      </c>
      <c r="C16" s="68" t="s">
        <v>642</v>
      </c>
      <c r="D16" s="8">
        <v>57090</v>
      </c>
      <c r="E16" s="8">
        <v>43397</v>
      </c>
    </row>
    <row r="17" spans="1:5">
      <c r="A17" s="16"/>
      <c r="B17" s="31" t="s">
        <v>669</v>
      </c>
      <c r="C17" s="68" t="s">
        <v>498</v>
      </c>
      <c r="D17" s="8"/>
      <c r="E17" s="8"/>
    </row>
    <row r="18" spans="1:5">
      <c r="A18" s="16"/>
      <c r="B18" s="31" t="s">
        <v>643</v>
      </c>
      <c r="C18" s="29" t="s">
        <v>684</v>
      </c>
      <c r="D18" s="8"/>
      <c r="E18" s="8"/>
    </row>
    <row r="19" spans="1:5">
      <c r="A19" s="16"/>
      <c r="B19" s="8"/>
      <c r="C19" s="488"/>
      <c r="D19" s="8"/>
      <c r="E19" s="8"/>
    </row>
    <row r="20" spans="1:5">
      <c r="A20" s="16"/>
      <c r="B20" s="8"/>
      <c r="C20" s="488"/>
      <c r="D20" s="8"/>
      <c r="E20" s="8"/>
    </row>
    <row r="21" spans="1:5">
      <c r="A21" s="16"/>
      <c r="B21" s="10"/>
      <c r="C21" s="488"/>
      <c r="D21" s="8"/>
      <c r="E21" s="8"/>
    </row>
    <row r="22" spans="1:5">
      <c r="A22" s="16"/>
      <c r="B22" s="10"/>
      <c r="C22" s="488"/>
      <c r="D22" s="8"/>
      <c r="E22" s="8"/>
    </row>
    <row r="23" spans="1:5">
      <c r="A23" s="16"/>
      <c r="B23" s="10"/>
      <c r="C23" s="488"/>
      <c r="D23" s="8"/>
      <c r="E23" s="8"/>
    </row>
    <row r="24" spans="1:5">
      <c r="A24" s="16"/>
      <c r="B24" s="10"/>
      <c r="C24" s="488"/>
      <c r="D24" s="8"/>
      <c r="E24" s="8"/>
    </row>
    <row r="25" spans="1:5">
      <c r="A25" s="16"/>
      <c r="B25" s="10"/>
      <c r="C25" s="488"/>
      <c r="D25" s="8"/>
      <c r="E25" s="8"/>
    </row>
    <row r="26" spans="1:5">
      <c r="A26" s="16"/>
      <c r="B26" s="10"/>
      <c r="C26" s="488"/>
      <c r="D26" s="8"/>
      <c r="E26" s="8"/>
    </row>
    <row r="27" spans="1:5">
      <c r="A27" s="81" t="str">
        <f>CONCATENATE("Total Ad Valorem Tax for ",D5-1," Budgeted Year")</f>
        <v>Total Ad Valorem Tax for 2012 Budgeted Year</v>
      </c>
      <c r="B27" s="48"/>
      <c r="C27" s="51"/>
      <c r="D27" s="127"/>
      <c r="E27" s="124">
        <f>SUM(E16:E26)</f>
        <v>43397</v>
      </c>
    </row>
    <row r="28" spans="1:5">
      <c r="A28" s="23"/>
      <c r="B28" s="23"/>
      <c r="C28" s="23"/>
      <c r="D28" s="53"/>
      <c r="E28" s="79"/>
    </row>
    <row r="29" spans="1:5">
      <c r="A29" s="16" t="s">
        <v>487</v>
      </c>
      <c r="B29" s="16"/>
      <c r="C29" s="16"/>
      <c r="D29" s="16"/>
      <c r="E29" s="16"/>
    </row>
    <row r="30" spans="1:5">
      <c r="A30" s="16"/>
      <c r="B30" s="91"/>
      <c r="C30" s="16"/>
      <c r="D30" s="14"/>
      <c r="E30" s="23"/>
    </row>
    <row r="31" spans="1:5">
      <c r="A31" s="16"/>
      <c r="B31" s="91"/>
      <c r="C31" s="16"/>
      <c r="D31" s="14"/>
      <c r="E31" s="23"/>
    </row>
    <row r="32" spans="1:5">
      <c r="A32" s="16"/>
      <c r="B32" s="91"/>
      <c r="C32" s="16"/>
      <c r="D32" s="14"/>
      <c r="E32" s="16"/>
    </row>
    <row r="33" spans="1:5">
      <c r="A33" s="16"/>
      <c r="B33" s="91"/>
      <c r="C33" s="16"/>
      <c r="D33" s="14"/>
      <c r="E33" s="16"/>
    </row>
    <row r="34" spans="1:5">
      <c r="A34" s="81" t="str">
        <f>CONCATENATE("Total Expenditures for ",D5-1,"")</f>
        <v>Total Expenditures for 2012</v>
      </c>
      <c r="B34" s="128"/>
      <c r="C34" s="49"/>
      <c r="D34" s="98">
        <f>SUM(D16:D26,D30:D33)</f>
        <v>57090</v>
      </c>
      <c r="E34" s="16"/>
    </row>
    <row r="35" spans="1:5">
      <c r="A35" s="16"/>
      <c r="B35" s="16"/>
      <c r="C35" s="16"/>
      <c r="D35" s="16"/>
      <c r="E35" s="16"/>
    </row>
    <row r="36" spans="1:5">
      <c r="A36" s="52" t="s">
        <v>19</v>
      </c>
      <c r="B36" s="23"/>
      <c r="C36" s="16"/>
      <c r="D36" s="16"/>
      <c r="E36" s="16"/>
    </row>
    <row r="37" spans="1:5">
      <c r="A37" s="131">
        <v>1</v>
      </c>
      <c r="B37" s="91"/>
      <c r="C37" s="16"/>
      <c r="D37" s="16"/>
      <c r="E37" s="16"/>
    </row>
    <row r="38" spans="1:5">
      <c r="A38" s="131">
        <v>2</v>
      </c>
      <c r="B38" s="91"/>
      <c r="C38" s="16"/>
      <c r="D38" s="16"/>
      <c r="E38" s="16"/>
    </row>
    <row r="39" spans="1:5">
      <c r="A39" s="131">
        <v>3</v>
      </c>
      <c r="B39" s="91"/>
      <c r="C39" s="16"/>
      <c r="D39" s="16"/>
      <c r="E39" s="16"/>
    </row>
    <row r="40" spans="1:5">
      <c r="A40" s="131">
        <v>4</v>
      </c>
      <c r="B40" s="91"/>
      <c r="C40" s="16"/>
      <c r="D40" s="16"/>
      <c r="E40" s="16"/>
    </row>
    <row r="41" spans="1:5">
      <c r="A41" s="131">
        <v>5</v>
      </c>
      <c r="B41" s="91"/>
      <c r="C41" s="16"/>
      <c r="D41" s="16"/>
      <c r="E41" s="16"/>
    </row>
    <row r="42" spans="1:5">
      <c r="A42" s="16"/>
      <c r="B42" s="16"/>
      <c r="C42" s="16"/>
      <c r="D42" s="16"/>
      <c r="E42" s="16"/>
    </row>
    <row r="43" spans="1:5" ht="15.75" customHeight="1">
      <c r="A43" s="57" t="s">
        <v>492</v>
      </c>
      <c r="B43" s="55"/>
      <c r="C43" s="16"/>
      <c r="D43" s="489" t="str">
        <f>CONCATENATE("",D5-3," Tax Rate                    (",D5-2," Column)")</f>
        <v>2010 Tax Rate                    (2011 Column)</v>
      </c>
      <c r="E43" s="16"/>
    </row>
    <row r="44" spans="1:5">
      <c r="A44" s="69" t="str">
        <f>CONCATENATE("the ",D5-1," Budget, Budget Summary Page:")</f>
        <v>the 2012 Budget, Budget Summary Page:</v>
      </c>
      <c r="B44" s="83"/>
      <c r="C44" s="16"/>
      <c r="D44" s="490"/>
      <c r="E44" s="16"/>
    </row>
    <row r="45" spans="1:5">
      <c r="A45" s="16"/>
      <c r="B45" s="15" t="str">
        <f>B16</f>
        <v>General</v>
      </c>
      <c r="C45" s="16"/>
      <c r="D45" s="80">
        <v>30.733000000000001</v>
      </c>
      <c r="E45" s="16"/>
    </row>
    <row r="46" spans="1:5">
      <c r="A46" s="16"/>
      <c r="B46" s="15" t="str">
        <f>B17</f>
        <v>Debt Service</v>
      </c>
      <c r="C46" s="16"/>
      <c r="D46" s="9"/>
      <c r="E46" s="16"/>
    </row>
    <row r="47" spans="1:5">
      <c r="A47" s="16"/>
      <c r="B47" s="15" t="str">
        <f t="shared" ref="B47:B55" si="0">B18</f>
        <v>Road</v>
      </c>
      <c r="C47" s="16"/>
      <c r="D47" s="9"/>
      <c r="E47" s="16"/>
    </row>
    <row r="48" spans="1:5">
      <c r="A48" s="16"/>
      <c r="B48" s="31">
        <f t="shared" si="0"/>
        <v>0</v>
      </c>
      <c r="C48" s="16"/>
      <c r="D48" s="9"/>
      <c r="E48" s="16"/>
    </row>
    <row r="49" spans="1:5">
      <c r="A49" s="16"/>
      <c r="B49" s="31">
        <f t="shared" si="0"/>
        <v>0</v>
      </c>
      <c r="C49" s="16"/>
      <c r="D49" s="9"/>
      <c r="E49" s="16"/>
    </row>
    <row r="50" spans="1:5">
      <c r="A50" s="16"/>
      <c r="B50" s="31">
        <f t="shared" si="0"/>
        <v>0</v>
      </c>
      <c r="C50" s="16"/>
      <c r="D50" s="9"/>
      <c r="E50" s="16"/>
    </row>
    <row r="51" spans="1:5">
      <c r="A51" s="16"/>
      <c r="B51" s="31">
        <f t="shared" si="0"/>
        <v>0</v>
      </c>
      <c r="C51" s="16"/>
      <c r="D51" s="9"/>
      <c r="E51" s="16"/>
    </row>
    <row r="52" spans="1:5">
      <c r="A52" s="16"/>
      <c r="B52" s="31">
        <f t="shared" si="0"/>
        <v>0</v>
      </c>
      <c r="C52" s="16"/>
      <c r="D52" s="9"/>
      <c r="E52" s="16"/>
    </row>
    <row r="53" spans="1:5">
      <c r="A53" s="16"/>
      <c r="B53" s="31">
        <f t="shared" si="0"/>
        <v>0</v>
      </c>
      <c r="C53" s="16"/>
      <c r="D53" s="9"/>
      <c r="E53" s="16"/>
    </row>
    <row r="54" spans="1:5">
      <c r="A54" s="16"/>
      <c r="B54" s="31">
        <f t="shared" si="0"/>
        <v>0</v>
      </c>
      <c r="C54" s="16"/>
      <c r="D54" s="9"/>
      <c r="E54" s="16"/>
    </row>
    <row r="55" spans="1:5">
      <c r="A55" s="16"/>
      <c r="B55" s="31">
        <f t="shared" si="0"/>
        <v>0</v>
      </c>
      <c r="C55" s="16"/>
      <c r="D55" s="9"/>
      <c r="E55" s="16"/>
    </row>
    <row r="56" spans="1:5" ht="16.5" thickBot="1">
      <c r="A56" s="35" t="str">
        <f>CONCATENATE("Total ",D5-3," Tax Levy Rate")</f>
        <v>Total 2010 Tax Levy Rate</v>
      </c>
      <c r="B56" s="90"/>
      <c r="C56" s="49"/>
      <c r="D56" s="99">
        <f>SUM(D45:D55)</f>
        <v>30.733000000000001</v>
      </c>
      <c r="E56" s="16"/>
    </row>
    <row r="57" spans="1:5" ht="16.5" thickTop="1">
      <c r="A57" s="16"/>
      <c r="B57" s="16"/>
      <c r="C57" s="16"/>
      <c r="D57" s="16"/>
      <c r="E57" s="16"/>
    </row>
    <row r="58" spans="1:5">
      <c r="A58" s="125" t="str">
        <f>CONCATENATE("Total Tax Levied (",D5-2," budget column)")</f>
        <v>Total Tax Levied (2011 budget column)</v>
      </c>
      <c r="B58" s="85"/>
      <c r="C58" s="48"/>
      <c r="D58" s="49"/>
      <c r="E58" s="8">
        <v>37879</v>
      </c>
    </row>
    <row r="59" spans="1:5">
      <c r="A59" s="126" t="str">
        <f>CONCATENATE("Assessed Valuation (",D5-2," budget column)")</f>
        <v>Assessed Valuation (2011 budget column)</v>
      </c>
      <c r="B59" s="87"/>
      <c r="C59" s="51"/>
      <c r="D59" s="58"/>
      <c r="E59" s="8">
        <v>1232505</v>
      </c>
    </row>
    <row r="60" spans="1:5">
      <c r="A60" s="52"/>
      <c r="B60" s="23"/>
      <c r="C60" s="23"/>
      <c r="D60" s="23"/>
      <c r="E60" s="82"/>
    </row>
    <row r="61" spans="1:5">
      <c r="A61" s="16"/>
      <c r="B61" s="16"/>
      <c r="C61" s="16"/>
      <c r="D61" s="16"/>
      <c r="E61" s="21"/>
    </row>
    <row r="62" spans="1:5">
      <c r="A62" s="55" t="s">
        <v>551</v>
      </c>
      <c r="B62" s="55"/>
      <c r="C62" s="56"/>
      <c r="D62" s="84">
        <f>D5-3</f>
        <v>2010</v>
      </c>
      <c r="E62" s="84">
        <f>D5-2</f>
        <v>2011</v>
      </c>
    </row>
    <row r="63" spans="1:5">
      <c r="A63" s="85" t="s">
        <v>513</v>
      </c>
      <c r="B63" s="85"/>
      <c r="C63" s="86"/>
      <c r="D63" s="14"/>
      <c r="E63" s="14"/>
    </row>
    <row r="64" spans="1:5">
      <c r="A64" s="87" t="s">
        <v>514</v>
      </c>
      <c r="B64" s="87"/>
      <c r="C64" s="88"/>
      <c r="D64" s="14"/>
      <c r="E64" s="14"/>
    </row>
    <row r="65" spans="1:5">
      <c r="A65" s="87" t="s">
        <v>515</v>
      </c>
      <c r="B65" s="87"/>
      <c r="C65" s="88"/>
      <c r="D65" s="14"/>
      <c r="E65" s="14"/>
    </row>
    <row r="66" spans="1:5">
      <c r="A66" s="87"/>
      <c r="B66" s="87"/>
      <c r="C66" s="89"/>
      <c r="D66" s="14"/>
      <c r="E66" s="14"/>
    </row>
    <row r="67" spans="1:5">
      <c r="A67"/>
      <c r="B67"/>
      <c r="C67"/>
      <c r="D67"/>
      <c r="E67"/>
    </row>
    <row r="68" spans="1:5">
      <c r="A68"/>
      <c r="B68"/>
      <c r="C68"/>
      <c r="D68"/>
      <c r="E68"/>
    </row>
    <row r="69" spans="1:5">
      <c r="A69"/>
      <c r="B69"/>
      <c r="C69"/>
      <c r="D69"/>
      <c r="E69"/>
    </row>
    <row r="70" spans="1:5">
      <c r="A70"/>
      <c r="B70"/>
      <c r="C70"/>
      <c r="D70"/>
      <c r="E70"/>
    </row>
    <row r="71" spans="1:5">
      <c r="A71"/>
      <c r="B71"/>
      <c r="C71"/>
      <c r="D71"/>
      <c r="E71"/>
    </row>
    <row r="72" spans="1:5">
      <c r="A72"/>
      <c r="B72"/>
      <c r="C72"/>
      <c r="D72"/>
      <c r="E72"/>
    </row>
    <row r="73" spans="1:5">
      <c r="A73"/>
      <c r="B73"/>
      <c r="C73"/>
      <c r="D73"/>
      <c r="E73"/>
    </row>
    <row r="74" spans="1:5">
      <c r="A74"/>
      <c r="B74"/>
      <c r="C74"/>
      <c r="D74"/>
      <c r="E74"/>
    </row>
    <row r="75" spans="1:5">
      <c r="A75"/>
      <c r="B75"/>
      <c r="C75"/>
      <c r="D75"/>
      <c r="E75"/>
    </row>
    <row r="76" spans="1:5">
      <c r="A76"/>
      <c r="B76"/>
      <c r="C76"/>
      <c r="D76"/>
      <c r="E76"/>
    </row>
    <row r="77" spans="1:5" s="13" customFormat="1">
      <c r="A77"/>
      <c r="B77"/>
      <c r="C77"/>
      <c r="D77"/>
      <c r="E77"/>
    </row>
    <row r="78" spans="1:5">
      <c r="A78"/>
      <c r="B78"/>
      <c r="C78"/>
      <c r="D78"/>
      <c r="E78"/>
    </row>
    <row r="79" spans="1:5">
      <c r="A79"/>
      <c r="B79"/>
      <c r="C79"/>
      <c r="D79"/>
      <c r="E79"/>
    </row>
    <row r="80" spans="1:5">
      <c r="A80"/>
      <c r="B80"/>
      <c r="C80"/>
      <c r="D80"/>
      <c r="E80"/>
    </row>
    <row r="81" spans="1:7">
      <c r="A81"/>
      <c r="B81"/>
      <c r="C81"/>
      <c r="D81"/>
      <c r="E81"/>
    </row>
    <row r="82" spans="1:7">
      <c r="A82"/>
      <c r="B82"/>
      <c r="C82"/>
      <c r="D82"/>
      <c r="E82"/>
    </row>
    <row r="83" spans="1:7">
      <c r="A83"/>
      <c r="B83"/>
      <c r="C83"/>
      <c r="D83"/>
      <c r="E83"/>
    </row>
    <row r="84" spans="1:7">
      <c r="A84"/>
      <c r="B84"/>
      <c r="C84"/>
      <c r="D84"/>
      <c r="E84"/>
    </row>
    <row r="85" spans="1:7">
      <c r="A85"/>
      <c r="B85"/>
      <c r="C85"/>
      <c r="D85"/>
      <c r="E85"/>
    </row>
    <row r="86" spans="1:7">
      <c r="A86"/>
      <c r="B86"/>
      <c r="C86"/>
      <c r="D86"/>
      <c r="E86"/>
    </row>
    <row r="87" spans="1:7" s="1" customFormat="1">
      <c r="A87"/>
      <c r="B87"/>
      <c r="C87"/>
      <c r="D87"/>
      <c r="E87"/>
      <c r="G87" s="5"/>
    </row>
    <row r="88" spans="1:7" s="1" customFormat="1">
      <c r="A88"/>
      <c r="B88"/>
      <c r="C88"/>
      <c r="D88"/>
      <c r="E88"/>
      <c r="G88" s="5"/>
    </row>
    <row r="89" spans="1:7">
      <c r="A89"/>
      <c r="B89"/>
      <c r="C89"/>
      <c r="D89"/>
      <c r="E89"/>
    </row>
  </sheetData>
  <sheetProtection sheet="1"/>
  <mergeCells count="2">
    <mergeCell ref="D43:D44"/>
    <mergeCell ref="A10:E10"/>
  </mergeCells>
  <phoneticPr fontId="0" type="noConversion"/>
  <pageMargins left="0.3" right="0.3" top="0.5" bottom="0.5" header="0.3" footer="0.3"/>
  <pageSetup fitToHeight="2" orientation="portrait" blackAndWhite="1" horizontalDpi="4294967292" verticalDpi="96" r:id="rId1"/>
  <headerFooter alignWithMargins="0">
    <oddFooter>&amp;Lrevised 8/25/09</oddFooter>
  </headerFooter>
</worksheet>
</file>

<file path=xl/worksheets/sheet20.xml><?xml version="1.0" encoding="utf-8"?>
<worksheet xmlns="http://schemas.openxmlformats.org/spreadsheetml/2006/main" xmlns:r="http://schemas.openxmlformats.org/officeDocument/2006/relationships">
  <sheetPr>
    <pageSetUpPr fitToPage="1"/>
  </sheetPr>
  <dimension ref="A1:H61"/>
  <sheetViews>
    <sheetView workbookViewId="0">
      <selection activeCell="A56" sqref="A56:A57"/>
    </sheetView>
  </sheetViews>
  <sheetFormatPr defaultRowHeight="15.75"/>
  <cols>
    <col min="1" max="1" width="25.8984375" style="239" customWidth="1"/>
    <col min="2" max="2" width="9.5" style="239" customWidth="1"/>
    <col min="3" max="3" width="10.3984375" style="239" customWidth="1"/>
    <col min="4" max="4" width="5.69921875" style="239" customWidth="1"/>
    <col min="5" max="5" width="9.59765625" style="239" customWidth="1"/>
    <col min="6" max="6" width="6.59765625" style="239" customWidth="1"/>
    <col min="7" max="7" width="14.19921875" style="239" customWidth="1"/>
    <col min="8" max="16384" width="8.796875" style="239"/>
  </cols>
  <sheetData>
    <row r="1" spans="1:7">
      <c r="A1" s="193" t="str">
        <f ca="1">inputPrYr!D2</f>
        <v>Winterset Township</v>
      </c>
      <c r="B1" s="193"/>
      <c r="C1" s="133"/>
      <c r="D1" s="133"/>
      <c r="E1" s="133"/>
      <c r="F1" s="133"/>
      <c r="G1" s="341">
        <f ca="1">inputPrYr!$D$5</f>
        <v>2013</v>
      </c>
    </row>
    <row r="2" spans="1:7">
      <c r="A2" s="133"/>
      <c r="B2" s="133"/>
      <c r="C2" s="133"/>
      <c r="D2" s="133"/>
      <c r="E2" s="133"/>
      <c r="F2" s="133"/>
      <c r="G2" s="209"/>
    </row>
    <row r="3" spans="1:7">
      <c r="A3" s="200" t="s">
        <v>572</v>
      </c>
      <c r="B3" s="200"/>
      <c r="C3" s="230"/>
      <c r="D3" s="230"/>
      <c r="E3" s="230"/>
      <c r="F3" s="230"/>
      <c r="G3" s="135"/>
    </row>
    <row r="4" spans="1:7">
      <c r="A4" s="133"/>
      <c r="B4" s="133"/>
      <c r="C4" s="342"/>
      <c r="D4" s="342"/>
      <c r="E4" s="342"/>
      <c r="F4" s="342"/>
      <c r="G4" s="342"/>
    </row>
    <row r="5" spans="1:7">
      <c r="A5" s="141" t="s">
        <v>345</v>
      </c>
      <c r="B5" s="141"/>
      <c r="C5" s="550" t="s">
        <v>346</v>
      </c>
      <c r="D5" s="551"/>
      <c r="E5" s="556" t="s">
        <v>347</v>
      </c>
      <c r="F5" s="557"/>
      <c r="G5" s="143" t="s">
        <v>348</v>
      </c>
    </row>
    <row r="6" spans="1:7">
      <c r="A6" s="232" t="s">
        <v>669</v>
      </c>
      <c r="B6" s="232"/>
      <c r="C6" s="552" t="str">
        <f>CONCATENATE("Actual ",$G$1-2,"")</f>
        <v>Actual 2011</v>
      </c>
      <c r="D6" s="553"/>
      <c r="E6" s="552" t="str">
        <f>CONCATENATE("Estimate ",$G$1-1,"")</f>
        <v>Estimate 2012</v>
      </c>
      <c r="F6" s="553"/>
      <c r="G6" s="148" t="str">
        <f>CONCATENATE("Year ",$G$1,"")</f>
        <v>Year 2013</v>
      </c>
    </row>
    <row r="7" spans="1:7">
      <c r="A7" s="149" t="s">
        <v>489</v>
      </c>
      <c r="B7" s="320"/>
      <c r="C7" s="576"/>
      <c r="D7" s="577"/>
      <c r="E7" s="583">
        <f>C54</f>
        <v>0</v>
      </c>
      <c r="F7" s="584"/>
      <c r="G7" s="344">
        <f>E54</f>
        <v>0</v>
      </c>
    </row>
    <row r="8" spans="1:7">
      <c r="A8" s="149" t="s">
        <v>464</v>
      </c>
      <c r="B8" s="320"/>
      <c r="C8" s="581"/>
      <c r="D8" s="582"/>
      <c r="E8" s="583"/>
      <c r="F8" s="584"/>
      <c r="G8" s="344"/>
    </row>
    <row r="9" spans="1:7">
      <c r="A9" s="149" t="s">
        <v>351</v>
      </c>
      <c r="B9" s="320"/>
      <c r="C9" s="530"/>
      <c r="D9" s="531"/>
      <c r="E9" s="581">
        <f ca="1">inputPrYr!E17</f>
        <v>0</v>
      </c>
      <c r="F9" s="582"/>
      <c r="G9" s="313" t="s">
        <v>658</v>
      </c>
    </row>
    <row r="10" spans="1:7">
      <c r="A10" s="149" t="s">
        <v>352</v>
      </c>
      <c r="B10" s="320"/>
      <c r="C10" s="530"/>
      <c r="D10" s="531"/>
      <c r="E10" s="530"/>
      <c r="F10" s="531"/>
      <c r="G10" s="345"/>
    </row>
    <row r="11" spans="1:7">
      <c r="A11" s="149" t="s">
        <v>353</v>
      </c>
      <c r="B11" s="320"/>
      <c r="C11" s="530"/>
      <c r="D11" s="531"/>
      <c r="E11" s="530"/>
      <c r="F11" s="531"/>
      <c r="G11" s="346">
        <f ca="1">mvalloc!G12</f>
        <v>0</v>
      </c>
    </row>
    <row r="12" spans="1:7">
      <c r="A12" s="149" t="s">
        <v>354</v>
      </c>
      <c r="B12" s="320"/>
      <c r="C12" s="530"/>
      <c r="D12" s="531"/>
      <c r="E12" s="530"/>
      <c r="F12" s="531"/>
      <c r="G12" s="346">
        <f ca="1">mvalloc!I12</f>
        <v>0</v>
      </c>
    </row>
    <row r="13" spans="1:7">
      <c r="A13" s="347" t="s">
        <v>443</v>
      </c>
      <c r="B13" s="320"/>
      <c r="C13" s="530"/>
      <c r="D13" s="531"/>
      <c r="E13" s="530"/>
      <c r="F13" s="531"/>
      <c r="G13" s="346">
        <f ca="1">mvalloc!J12</f>
        <v>0</v>
      </c>
    </row>
    <row r="14" spans="1:7">
      <c r="A14" s="347" t="s">
        <v>508</v>
      </c>
      <c r="B14" s="320"/>
      <c r="C14" s="530"/>
      <c r="D14" s="531"/>
      <c r="E14" s="530"/>
      <c r="F14" s="531"/>
      <c r="G14" s="346">
        <f ca="1">mvalloc!K12</f>
        <v>0</v>
      </c>
    </row>
    <row r="15" spans="1:7">
      <c r="A15" s="347"/>
      <c r="B15" s="320"/>
      <c r="C15" s="530"/>
      <c r="D15" s="531"/>
      <c r="E15" s="530"/>
      <c r="F15" s="531"/>
      <c r="G15" s="346"/>
    </row>
    <row r="16" spans="1:7">
      <c r="A16" s="348"/>
      <c r="B16" s="349"/>
      <c r="C16" s="530"/>
      <c r="D16" s="531"/>
      <c r="E16" s="530"/>
      <c r="F16" s="531"/>
      <c r="G16" s="345"/>
    </row>
    <row r="17" spans="1:7">
      <c r="A17" s="348"/>
      <c r="B17" s="349"/>
      <c r="C17" s="530"/>
      <c r="D17" s="531"/>
      <c r="E17" s="530"/>
      <c r="F17" s="531"/>
      <c r="G17" s="350"/>
    </row>
    <row r="18" spans="1:7">
      <c r="A18" s="348"/>
      <c r="B18" s="349"/>
      <c r="C18" s="530"/>
      <c r="D18" s="531"/>
      <c r="E18" s="530"/>
      <c r="F18" s="531"/>
      <c r="G18" s="345"/>
    </row>
    <row r="19" spans="1:7">
      <c r="A19" s="348"/>
      <c r="B19" s="349"/>
      <c r="C19" s="530"/>
      <c r="D19" s="531"/>
      <c r="E19" s="530"/>
      <c r="F19" s="531"/>
      <c r="G19" s="345"/>
    </row>
    <row r="20" spans="1:7">
      <c r="A20" s="348"/>
      <c r="B20" s="349"/>
      <c r="C20" s="530"/>
      <c r="D20" s="531"/>
      <c r="E20" s="530"/>
      <c r="F20" s="531"/>
      <c r="G20" s="345"/>
    </row>
    <row r="21" spans="1:7">
      <c r="A21" s="348"/>
      <c r="B21" s="349"/>
      <c r="C21" s="530"/>
      <c r="D21" s="531"/>
      <c r="E21" s="530"/>
      <c r="F21" s="531"/>
      <c r="G21" s="345"/>
    </row>
    <row r="22" spans="1:7">
      <c r="A22" s="348"/>
      <c r="B22" s="349"/>
      <c r="C22" s="530"/>
      <c r="D22" s="531"/>
      <c r="E22" s="530"/>
      <c r="F22" s="531"/>
      <c r="G22" s="345"/>
    </row>
    <row r="23" spans="1:7">
      <c r="A23" s="348"/>
      <c r="B23" s="349"/>
      <c r="C23" s="530"/>
      <c r="D23" s="531"/>
      <c r="E23" s="530"/>
      <c r="F23" s="531"/>
      <c r="G23" s="345"/>
    </row>
    <row r="24" spans="1:7">
      <c r="A24" s="348"/>
      <c r="B24" s="349"/>
      <c r="C24" s="530"/>
      <c r="D24" s="531"/>
      <c r="E24" s="530"/>
      <c r="F24" s="531"/>
      <c r="G24" s="345"/>
    </row>
    <row r="25" spans="1:7">
      <c r="A25" s="348" t="s">
        <v>499</v>
      </c>
      <c r="B25" s="349"/>
      <c r="C25" s="530"/>
      <c r="D25" s="531"/>
      <c r="E25" s="530"/>
      <c r="F25" s="531"/>
      <c r="G25" s="345"/>
    </row>
    <row r="26" spans="1:7">
      <c r="A26" s="351" t="s">
        <v>357</v>
      </c>
      <c r="B26" s="349"/>
      <c r="C26" s="530"/>
      <c r="D26" s="531"/>
      <c r="E26" s="530"/>
      <c r="F26" s="531"/>
      <c r="G26" s="345"/>
    </row>
    <row r="27" spans="1:7">
      <c r="A27" s="319" t="s">
        <v>574</v>
      </c>
      <c r="B27" s="320"/>
      <c r="C27" s="576"/>
      <c r="D27" s="577"/>
      <c r="E27" s="576"/>
      <c r="F27" s="577"/>
      <c r="G27" s="343"/>
    </row>
    <row r="28" spans="1:7">
      <c r="A28" s="319" t="s">
        <v>575</v>
      </c>
      <c r="B28" s="320"/>
      <c r="C28" s="536" t="str">
        <f>IF(C29*0.1&lt;C27,"Exceed 10% Rule","")</f>
        <v/>
      </c>
      <c r="D28" s="537"/>
      <c r="E28" s="536" t="str">
        <f>IF(E29*0.1&lt;E27,"Exceed 10% Rule","")</f>
        <v/>
      </c>
      <c r="F28" s="537"/>
      <c r="G28" s="321" t="str">
        <f>IF(G29*0.1+G59&lt;G27,"Exceed 10% Rule","")</f>
        <v/>
      </c>
    </row>
    <row r="29" spans="1:7">
      <c r="A29" s="325" t="s">
        <v>358</v>
      </c>
      <c r="B29" s="320"/>
      <c r="C29" s="578">
        <f>SUM(C9:C27)</f>
        <v>0</v>
      </c>
      <c r="D29" s="580"/>
      <c r="E29" s="578">
        <f>SUM(E9:E27)</f>
        <v>0</v>
      </c>
      <c r="F29" s="579"/>
      <c r="G29" s="352">
        <f>SUM(G9:G27)</f>
        <v>0</v>
      </c>
    </row>
    <row r="30" spans="1:7">
      <c r="A30" s="325" t="s">
        <v>359</v>
      </c>
      <c r="B30" s="320"/>
      <c r="C30" s="578">
        <f>C7+C29</f>
        <v>0</v>
      </c>
      <c r="D30" s="579"/>
      <c r="E30" s="578">
        <f>E7+E29</f>
        <v>0</v>
      </c>
      <c r="F30" s="579"/>
      <c r="G30" s="353">
        <f>G7+G29</f>
        <v>0</v>
      </c>
    </row>
    <row r="31" spans="1:7">
      <c r="A31" s="154" t="s">
        <v>360</v>
      </c>
      <c r="B31" s="320"/>
      <c r="C31" s="581"/>
      <c r="D31" s="582"/>
      <c r="E31" s="581"/>
      <c r="F31" s="582"/>
      <c r="G31" s="346"/>
    </row>
    <row r="32" spans="1:7">
      <c r="A32" s="316"/>
      <c r="B32" s="349"/>
      <c r="C32" s="530"/>
      <c r="D32" s="531"/>
      <c r="E32" s="530"/>
      <c r="F32" s="531"/>
      <c r="G32" s="345"/>
    </row>
    <row r="33" spans="1:7">
      <c r="A33" s="316"/>
      <c r="B33" s="349"/>
      <c r="C33" s="530"/>
      <c r="D33" s="531"/>
      <c r="E33" s="530"/>
      <c r="F33" s="531"/>
      <c r="G33" s="345"/>
    </row>
    <row r="34" spans="1:7">
      <c r="A34" s="316"/>
      <c r="B34" s="349"/>
      <c r="C34" s="530"/>
      <c r="D34" s="531"/>
      <c r="E34" s="530"/>
      <c r="F34" s="531"/>
      <c r="G34" s="345"/>
    </row>
    <row r="35" spans="1:7">
      <c r="A35" s="316"/>
      <c r="B35" s="349"/>
      <c r="C35" s="530"/>
      <c r="D35" s="531"/>
      <c r="E35" s="530"/>
      <c r="F35" s="531"/>
      <c r="G35" s="345"/>
    </row>
    <row r="36" spans="1:7">
      <c r="A36" s="316"/>
      <c r="B36" s="349"/>
      <c r="C36" s="530"/>
      <c r="D36" s="531"/>
      <c r="E36" s="530"/>
      <c r="F36" s="531"/>
      <c r="G36" s="345"/>
    </row>
    <row r="37" spans="1:7">
      <c r="A37" s="316"/>
      <c r="B37" s="349"/>
      <c r="C37" s="530"/>
      <c r="D37" s="531"/>
      <c r="E37" s="530"/>
      <c r="F37" s="531"/>
      <c r="G37" s="345"/>
    </row>
    <row r="38" spans="1:7">
      <c r="A38" s="316"/>
      <c r="B38" s="349"/>
      <c r="C38" s="530"/>
      <c r="D38" s="531"/>
      <c r="E38" s="530"/>
      <c r="F38" s="531"/>
      <c r="G38" s="345"/>
    </row>
    <row r="39" spans="1:7">
      <c r="A39" s="316"/>
      <c r="B39" s="349"/>
      <c r="C39" s="530"/>
      <c r="D39" s="531"/>
      <c r="E39" s="530"/>
      <c r="F39" s="531"/>
      <c r="G39" s="345"/>
    </row>
    <row r="40" spans="1:7">
      <c r="A40" s="316"/>
      <c r="B40" s="349"/>
      <c r="C40" s="530"/>
      <c r="D40" s="531"/>
      <c r="E40" s="530"/>
      <c r="F40" s="531"/>
      <c r="G40" s="345"/>
    </row>
    <row r="41" spans="1:7">
      <c r="A41" s="316"/>
      <c r="B41" s="349"/>
      <c r="C41" s="530"/>
      <c r="D41" s="531"/>
      <c r="E41" s="530"/>
      <c r="F41" s="531"/>
      <c r="G41" s="345"/>
    </row>
    <row r="42" spans="1:7">
      <c r="A42" s="316"/>
      <c r="B42" s="349"/>
      <c r="C42" s="530"/>
      <c r="D42" s="531"/>
      <c r="E42" s="530"/>
      <c r="F42" s="531"/>
      <c r="G42" s="345"/>
    </row>
    <row r="43" spans="1:7">
      <c r="A43" s="316"/>
      <c r="B43" s="349"/>
      <c r="C43" s="530"/>
      <c r="D43" s="531"/>
      <c r="E43" s="530"/>
      <c r="F43" s="531"/>
      <c r="G43" s="345"/>
    </row>
    <row r="44" spans="1:7">
      <c r="A44" s="316"/>
      <c r="B44" s="349"/>
      <c r="C44" s="530"/>
      <c r="D44" s="531"/>
      <c r="E44" s="530"/>
      <c r="F44" s="531"/>
      <c r="G44" s="345"/>
    </row>
    <row r="45" spans="1:7">
      <c r="A45" s="316"/>
      <c r="B45" s="349"/>
      <c r="C45" s="530"/>
      <c r="D45" s="531"/>
      <c r="E45" s="530"/>
      <c r="F45" s="531"/>
      <c r="G45" s="345"/>
    </row>
    <row r="46" spans="1:7">
      <c r="A46" s="316"/>
      <c r="B46" s="349"/>
      <c r="C46" s="530"/>
      <c r="D46" s="531"/>
      <c r="E46" s="530"/>
      <c r="F46" s="531"/>
      <c r="G46" s="345"/>
    </row>
    <row r="47" spans="1:7">
      <c r="A47" s="316"/>
      <c r="B47" s="349"/>
      <c r="C47" s="530"/>
      <c r="D47" s="531"/>
      <c r="E47" s="530"/>
      <c r="F47" s="531"/>
      <c r="G47" s="345"/>
    </row>
    <row r="48" spans="1:7">
      <c r="A48" s="316"/>
      <c r="B48" s="349"/>
      <c r="C48" s="530"/>
      <c r="D48" s="531"/>
      <c r="E48" s="530"/>
      <c r="F48" s="531"/>
      <c r="G48" s="345"/>
    </row>
    <row r="49" spans="1:8">
      <c r="A49" s="316"/>
      <c r="B49" s="349"/>
      <c r="C49" s="530"/>
      <c r="D49" s="531"/>
      <c r="E49" s="530"/>
      <c r="F49" s="531"/>
      <c r="G49" s="345"/>
    </row>
    <row r="50" spans="1:8">
      <c r="A50" s="314" t="s">
        <v>577</v>
      </c>
      <c r="B50" s="320"/>
      <c r="C50" s="530"/>
      <c r="D50" s="531"/>
      <c r="E50" s="530"/>
      <c r="F50" s="531"/>
      <c r="G50" s="354" t="str">
        <f ca="1">nhood!E7</f>
        <v/>
      </c>
    </row>
    <row r="51" spans="1:8">
      <c r="A51" s="314" t="s">
        <v>574</v>
      </c>
      <c r="B51" s="320"/>
      <c r="C51" s="576"/>
      <c r="D51" s="577"/>
      <c r="E51" s="576"/>
      <c r="F51" s="577"/>
      <c r="G51" s="343"/>
    </row>
    <row r="52" spans="1:8">
      <c r="A52" s="314" t="s">
        <v>576</v>
      </c>
      <c r="B52" s="320"/>
      <c r="C52" s="536" t="str">
        <f>IF(C53*0.1&lt;C51,"Exceed 10% Rule","")</f>
        <v/>
      </c>
      <c r="D52" s="537"/>
      <c r="E52" s="536" t="str">
        <f>IF(E53*0.1&lt;E51,"Exceed 10% Rule","")</f>
        <v/>
      </c>
      <c r="F52" s="537"/>
      <c r="G52" s="321" t="str">
        <f>IF(G53*0.1&lt;G51,"Exceed 10% Rule","")</f>
        <v/>
      </c>
    </row>
    <row r="53" spans="1:8">
      <c r="A53" s="325" t="s">
        <v>361</v>
      </c>
      <c r="B53" s="320"/>
      <c r="C53" s="578">
        <f>SUM(C32:C51)</f>
        <v>0</v>
      </c>
      <c r="D53" s="580"/>
      <c r="E53" s="578">
        <f>SUM(E32:E51)</f>
        <v>0</v>
      </c>
      <c r="F53" s="579"/>
      <c r="G53" s="352">
        <f>SUM(G32:G51)</f>
        <v>0</v>
      </c>
    </row>
    <row r="54" spans="1:8">
      <c r="A54" s="149" t="s">
        <v>463</v>
      </c>
      <c r="B54" s="320"/>
      <c r="C54" s="574">
        <f>C30-C53</f>
        <v>0</v>
      </c>
      <c r="D54" s="575"/>
      <c r="E54" s="574">
        <f>E30-E53</f>
        <v>0</v>
      </c>
      <c r="F54" s="575"/>
      <c r="G54" s="313" t="s">
        <v>658</v>
      </c>
    </row>
    <row r="55" spans="1:8">
      <c r="A55" s="191" t="str">
        <f>CONCATENATE("",G1-2,"/",G1-1," Budget Authority Amount:")</f>
        <v>2011/2012 Budget Authority Amount:</v>
      </c>
      <c r="B55" s="332">
        <f ca="1">inputOth!B49</f>
        <v>0</v>
      </c>
      <c r="C55" s="136">
        <f ca="1">inputPrYr!D17</f>
        <v>0</v>
      </c>
      <c r="D55" s="538" t="s">
        <v>610</v>
      </c>
      <c r="E55" s="539"/>
      <c r="F55" s="540"/>
      <c r="G55" s="279"/>
      <c r="H55" s="333" t="str">
        <f>IF(G53/0.95-G53&lt;G55,"Exceeds 5%","")</f>
        <v/>
      </c>
    </row>
    <row r="56" spans="1:8">
      <c r="A56" s="191"/>
      <c r="B56" s="334" t="str">
        <f>IF(C53&gt;B55,"See Tab A","")</f>
        <v/>
      </c>
      <c r="C56" s="334" t="str">
        <f>IF(E53&gt;C55,"See Tab C","")</f>
        <v/>
      </c>
      <c r="D56" s="133"/>
      <c r="E56" s="541" t="s">
        <v>611</v>
      </c>
      <c r="F56" s="542"/>
      <c r="G56" s="284">
        <f>G53+G55</f>
        <v>0</v>
      </c>
    </row>
    <row r="57" spans="1:8">
      <c r="A57" s="191"/>
      <c r="B57" s="334" t="str">
        <f>IF(C54&lt;0,"See Tab B","")</f>
        <v/>
      </c>
      <c r="C57" s="442" t="str">
        <f>IF(E54&lt;0,"See Tab D","")</f>
        <v/>
      </c>
      <c r="D57" s="133"/>
      <c r="E57" s="541" t="s">
        <v>363</v>
      </c>
      <c r="F57" s="542"/>
      <c r="G57" s="329">
        <f>IF(G56-G30&gt;0,G56-G30,0)</f>
        <v>0</v>
      </c>
    </row>
    <row r="58" spans="1:8">
      <c r="A58" s="209"/>
      <c r="B58" s="209"/>
      <c r="C58" s="133"/>
      <c r="D58" s="534" t="s">
        <v>612</v>
      </c>
      <c r="E58" s="535"/>
      <c r="F58" s="335">
        <f ca="1">inputOth!$E$42</f>
        <v>0</v>
      </c>
      <c r="G58" s="284">
        <f>ROUND(IF(F58&gt;0,(G57*F58),0),0)</f>
        <v>0</v>
      </c>
    </row>
    <row r="59" spans="1:8">
      <c r="A59" s="133"/>
      <c r="B59" s="133"/>
      <c r="C59" s="558" t="str">
        <f>CONCATENATE("Amount of  ",$G$1-1," Ad Valorem Tax")</f>
        <v>Amount of  2012 Ad Valorem Tax</v>
      </c>
      <c r="D59" s="559"/>
      <c r="E59" s="559"/>
      <c r="F59" s="560"/>
      <c r="G59" s="329">
        <f>G57+G58</f>
        <v>0</v>
      </c>
    </row>
    <row r="60" spans="1:8">
      <c r="A60" s="209"/>
      <c r="B60" s="209"/>
      <c r="C60" s="133"/>
      <c r="D60" s="133"/>
      <c r="E60" s="133"/>
      <c r="F60" s="133"/>
      <c r="G60" s="133"/>
    </row>
    <row r="61" spans="1:8">
      <c r="A61" s="191"/>
      <c r="B61" s="191" t="s">
        <v>344</v>
      </c>
      <c r="C61" s="355"/>
      <c r="D61" s="133"/>
      <c r="E61" s="133"/>
      <c r="F61" s="133"/>
      <c r="G61" s="133"/>
    </row>
  </sheetData>
  <sheetProtection sheet="1" objects="1" scenarios="1"/>
  <mergeCells count="105">
    <mergeCell ref="C19:D19"/>
    <mergeCell ref="E18:F18"/>
    <mergeCell ref="E14:F14"/>
    <mergeCell ref="E15:F15"/>
    <mergeCell ref="E16:F16"/>
    <mergeCell ref="C14:D14"/>
    <mergeCell ref="E19:F19"/>
    <mergeCell ref="E17:F17"/>
    <mergeCell ref="C18:D18"/>
    <mergeCell ref="C15:D15"/>
    <mergeCell ref="C17:D17"/>
    <mergeCell ref="C5:D5"/>
    <mergeCell ref="C6:D6"/>
    <mergeCell ref="E5:F5"/>
    <mergeCell ref="E6:F6"/>
    <mergeCell ref="C7:D7"/>
    <mergeCell ref="C8:D8"/>
    <mergeCell ref="C9:D9"/>
    <mergeCell ref="E42:F42"/>
    <mergeCell ref="C39:D39"/>
    <mergeCell ref="E7:F7"/>
    <mergeCell ref="E8:F8"/>
    <mergeCell ref="E9:F9"/>
    <mergeCell ref="E44:F44"/>
    <mergeCell ref="E26:F26"/>
    <mergeCell ref="E41:F41"/>
    <mergeCell ref="E10:F10"/>
    <mergeCell ref="E11:F11"/>
    <mergeCell ref="E39:F39"/>
    <mergeCell ref="C29:D29"/>
    <mergeCell ref="C30:D30"/>
    <mergeCell ref="E29:F29"/>
    <mergeCell ref="E36:F36"/>
    <mergeCell ref="E37:F37"/>
    <mergeCell ref="E35:F35"/>
    <mergeCell ref="C10:D10"/>
    <mergeCell ref="C11:D11"/>
    <mergeCell ref="C12:D12"/>
    <mergeCell ref="C13:D13"/>
    <mergeCell ref="C32:D32"/>
    <mergeCell ref="C33:D33"/>
    <mergeCell ref="C24:D24"/>
    <mergeCell ref="C31:D31"/>
    <mergeCell ref="C25:D25"/>
    <mergeCell ref="C27:D27"/>
    <mergeCell ref="E23:F23"/>
    <mergeCell ref="E24:F24"/>
    <mergeCell ref="E25:F25"/>
    <mergeCell ref="C36:D36"/>
    <mergeCell ref="C37:D37"/>
    <mergeCell ref="C26:D26"/>
    <mergeCell ref="C34:D34"/>
    <mergeCell ref="E27:F27"/>
    <mergeCell ref="E28:F28"/>
    <mergeCell ref="C28:D28"/>
    <mergeCell ref="C23:D23"/>
    <mergeCell ref="C20:D20"/>
    <mergeCell ref="C21:D21"/>
    <mergeCell ref="C35:D35"/>
    <mergeCell ref="E40:F40"/>
    <mergeCell ref="E20:F20"/>
    <mergeCell ref="E21:F21"/>
    <mergeCell ref="E22:F22"/>
    <mergeCell ref="C22:D22"/>
    <mergeCell ref="C40:D40"/>
    <mergeCell ref="C16:D16"/>
    <mergeCell ref="E12:F12"/>
    <mergeCell ref="E13:F13"/>
    <mergeCell ref="E38:F38"/>
    <mergeCell ref="E30:F30"/>
    <mergeCell ref="E31:F31"/>
    <mergeCell ref="E32:F32"/>
    <mergeCell ref="E33:F33"/>
    <mergeCell ref="E34:F34"/>
    <mergeCell ref="C38:D38"/>
    <mergeCell ref="E57:F57"/>
    <mergeCell ref="D58:E58"/>
    <mergeCell ref="C54:D54"/>
    <mergeCell ref="E51:F51"/>
    <mergeCell ref="E52:F52"/>
    <mergeCell ref="E53:F53"/>
    <mergeCell ref="E54:F54"/>
    <mergeCell ref="C51:D51"/>
    <mergeCell ref="C53:D53"/>
    <mergeCell ref="C52:D52"/>
    <mergeCell ref="E47:F47"/>
    <mergeCell ref="E48:F48"/>
    <mergeCell ref="C42:D42"/>
    <mergeCell ref="C43:D43"/>
    <mergeCell ref="C44:D44"/>
    <mergeCell ref="C45:D45"/>
    <mergeCell ref="E45:F45"/>
    <mergeCell ref="C46:D46"/>
    <mergeCell ref="E46:F46"/>
    <mergeCell ref="E43:F43"/>
    <mergeCell ref="C48:D48"/>
    <mergeCell ref="C47:D47"/>
    <mergeCell ref="C41:D41"/>
    <mergeCell ref="C59:F59"/>
    <mergeCell ref="E49:F49"/>
    <mergeCell ref="E50:F50"/>
    <mergeCell ref="D55:F55"/>
    <mergeCell ref="E56:F56"/>
    <mergeCell ref="C50:D50"/>
    <mergeCell ref="C49:D49"/>
  </mergeCells>
  <phoneticPr fontId="11" type="noConversion"/>
  <conditionalFormatting sqref="G55">
    <cfRule type="cellIs" dxfId="10" priority="2" stopIfTrue="1" operator="greaterThan">
      <formula>$G$53/0.95-$G$53</formula>
    </cfRule>
  </conditionalFormatting>
  <conditionalFormatting sqref="C51:D51">
    <cfRule type="cellIs" dxfId="9" priority="3" stopIfTrue="1" operator="greaterThan">
      <formula>$C$53*0.1</formula>
    </cfRule>
  </conditionalFormatting>
  <conditionalFormatting sqref="E51:F51">
    <cfRule type="cellIs" dxfId="8" priority="4" stopIfTrue="1" operator="greaterThan">
      <formula>$E$53*0.1</formula>
    </cfRule>
  </conditionalFormatting>
  <conditionalFormatting sqref="G51">
    <cfRule type="cellIs" dxfId="7" priority="5" stopIfTrue="1" operator="greaterThan">
      <formula>$G$53*0.1</formula>
    </cfRule>
  </conditionalFormatting>
  <conditionalFormatting sqref="C27:D27">
    <cfRule type="cellIs" dxfId="6" priority="6" stopIfTrue="1" operator="greaterThan">
      <formula>$C$29*0.1</formula>
    </cfRule>
  </conditionalFormatting>
  <conditionalFormatting sqref="E27:F27">
    <cfRule type="cellIs" dxfId="5" priority="7" stopIfTrue="1" operator="greaterThan">
      <formula>$E$29*0.1</formula>
    </cfRule>
  </conditionalFormatting>
  <conditionalFormatting sqref="G27">
    <cfRule type="cellIs" dxfId="4" priority="8" stopIfTrue="1" operator="greaterThan">
      <formula>$G$29*0.1+$G$59</formula>
    </cfRule>
  </conditionalFormatting>
  <conditionalFormatting sqref="C53:D53">
    <cfRule type="cellIs" dxfId="3" priority="9" stopIfTrue="1" operator="greaterThan">
      <formula>$B$55</formula>
    </cfRule>
  </conditionalFormatting>
  <conditionalFormatting sqref="E53:F53">
    <cfRule type="cellIs" dxfId="2" priority="10" stopIfTrue="1" operator="greaterThan">
      <formula>$C$55</formula>
    </cfRule>
  </conditionalFormatting>
  <conditionalFormatting sqref="C54:D54">
    <cfRule type="cellIs" dxfId="1" priority="11" stopIfTrue="1" operator="lessThan">
      <formula>0</formula>
    </cfRule>
  </conditionalFormatting>
  <conditionalFormatting sqref="E54:F54">
    <cfRule type="cellIs" dxfId="0" priority="1" stopIfTrue="1" operator="lessThan">
      <formula>0</formula>
    </cfRule>
  </conditionalFormatting>
  <pageMargins left="0.75" right="0.75" top="1" bottom="1" header="0.5" footer="0.5"/>
  <pageSetup scale="76" orientation="portrait" blackAndWhite="1" r:id="rId1"/>
  <headerFooter alignWithMargins="0">
    <oddHeader>&amp;RState of Kansas
Township</oddHeader>
    <oddFooter>&amp;Lrevised 8/25/09</oddFooter>
  </headerFooter>
</worksheet>
</file>

<file path=xl/worksheets/sheet21.xml><?xml version="1.0" encoding="utf-8"?>
<worksheet xmlns="http://schemas.openxmlformats.org/spreadsheetml/2006/main" xmlns:r="http://schemas.openxmlformats.org/officeDocument/2006/relationships">
  <sheetPr>
    <pageSetUpPr fitToPage="1"/>
  </sheetPr>
  <dimension ref="A1:L41"/>
  <sheetViews>
    <sheetView workbookViewId="0">
      <selection activeCell="H17" sqref="H17"/>
    </sheetView>
  </sheetViews>
  <sheetFormatPr defaultRowHeight="15.75"/>
  <cols>
    <col min="1" max="1" width="10.3984375" style="187" customWidth="1"/>
    <col min="2" max="2" width="6.69921875" style="187" customWidth="1"/>
    <col min="3" max="3" width="10.3984375" style="187" customWidth="1"/>
    <col min="4" max="4" width="6.69921875" style="187" customWidth="1"/>
    <col min="5" max="5" width="10.3984375" style="187" customWidth="1"/>
    <col min="6" max="6" width="6.69921875" style="187" customWidth="1"/>
    <col min="7" max="7" width="10.3984375" style="187" customWidth="1"/>
    <col min="8" max="8" width="6.69921875" style="187" customWidth="1"/>
    <col min="9" max="9" width="10.3984375" style="187" customWidth="1"/>
    <col min="10" max="16384" width="8.796875" style="187"/>
  </cols>
  <sheetData>
    <row r="1" spans="1:11">
      <c r="A1" s="240" t="str">
        <f ca="1">inputPrYr!$D$2</f>
        <v>Winterset Township</v>
      </c>
      <c r="B1" s="374"/>
      <c r="C1" s="186"/>
      <c r="D1" s="186"/>
      <c r="E1" s="186"/>
      <c r="F1" s="375" t="s">
        <v>7</v>
      </c>
      <c r="G1" s="186"/>
      <c r="H1" s="186"/>
      <c r="I1" s="186"/>
      <c r="J1" s="186"/>
      <c r="K1" s="186">
        <f ca="1">inputPrYr!$D$5</f>
        <v>2013</v>
      </c>
    </row>
    <row r="2" spans="1:11">
      <c r="A2" s="186"/>
      <c r="B2" s="186"/>
      <c r="C2" s="186"/>
      <c r="D2" s="186"/>
      <c r="E2" s="186"/>
      <c r="F2" s="376" t="str">
        <f>CONCATENATE("(Only the actual budget year for ",K1-2," is to be shown)")</f>
        <v>(Only the actual budget year for 2011 is to be shown)</v>
      </c>
      <c r="G2" s="186"/>
      <c r="H2" s="186"/>
      <c r="I2" s="186"/>
      <c r="J2" s="186"/>
      <c r="K2" s="186"/>
    </row>
    <row r="3" spans="1:11">
      <c r="A3" s="186" t="s">
        <v>8</v>
      </c>
      <c r="B3" s="186"/>
      <c r="C3" s="186"/>
      <c r="D3" s="186"/>
      <c r="E3" s="186"/>
      <c r="F3" s="374"/>
      <c r="G3" s="186"/>
      <c r="H3" s="186"/>
      <c r="I3" s="186"/>
      <c r="J3" s="186"/>
      <c r="K3" s="186"/>
    </row>
    <row r="4" spans="1:11">
      <c r="A4" s="186" t="s">
        <v>9</v>
      </c>
      <c r="B4" s="186"/>
      <c r="C4" s="186" t="s">
        <v>10</v>
      </c>
      <c r="D4" s="186"/>
      <c r="E4" s="186" t="s">
        <v>11</v>
      </c>
      <c r="F4" s="374"/>
      <c r="G4" s="186" t="s">
        <v>12</v>
      </c>
      <c r="H4" s="186"/>
      <c r="I4" s="186" t="s">
        <v>13</v>
      </c>
      <c r="J4" s="186"/>
      <c r="K4" s="186"/>
    </row>
    <row r="5" spans="1:11">
      <c r="A5" s="587">
        <f ca="1">inputPrYr!B37</f>
        <v>0</v>
      </c>
      <c r="B5" s="586"/>
      <c r="C5" s="587">
        <f ca="1">inputPrYr!B38</f>
        <v>0</v>
      </c>
      <c r="D5" s="586"/>
      <c r="E5" s="587">
        <f ca="1">inputPrYr!B39</f>
        <v>0</v>
      </c>
      <c r="F5" s="586"/>
      <c r="G5" s="585">
        <f ca="1">inputPrYr!B40</f>
        <v>0</v>
      </c>
      <c r="H5" s="586"/>
      <c r="I5" s="585">
        <f ca="1">inputPrYr!B41</f>
        <v>0</v>
      </c>
      <c r="J5" s="586"/>
      <c r="K5" s="378"/>
    </row>
    <row r="6" spans="1:11">
      <c r="A6" s="379" t="s">
        <v>14</v>
      </c>
      <c r="B6" s="380"/>
      <c r="C6" s="381" t="s">
        <v>14</v>
      </c>
      <c r="D6" s="382"/>
      <c r="E6" s="381" t="s">
        <v>14</v>
      </c>
      <c r="F6" s="383"/>
      <c r="G6" s="381" t="s">
        <v>14</v>
      </c>
      <c r="H6" s="377"/>
      <c r="I6" s="381" t="s">
        <v>14</v>
      </c>
      <c r="J6" s="186"/>
      <c r="K6" s="219" t="s">
        <v>644</v>
      </c>
    </row>
    <row r="7" spans="1:11">
      <c r="A7" s="384" t="s">
        <v>15</v>
      </c>
      <c r="B7" s="385"/>
      <c r="C7" s="386" t="s">
        <v>15</v>
      </c>
      <c r="D7" s="385"/>
      <c r="E7" s="386" t="s">
        <v>15</v>
      </c>
      <c r="F7" s="385"/>
      <c r="G7" s="386" t="s">
        <v>15</v>
      </c>
      <c r="H7" s="385"/>
      <c r="I7" s="386" t="s">
        <v>15</v>
      </c>
      <c r="J7" s="385"/>
      <c r="K7" s="387">
        <f>SUM(B7+D7+F7+H7+J7)</f>
        <v>0</v>
      </c>
    </row>
    <row r="8" spans="1:11">
      <c r="A8" s="388" t="s">
        <v>464</v>
      </c>
      <c r="B8" s="389"/>
      <c r="C8" s="388" t="s">
        <v>464</v>
      </c>
      <c r="D8" s="390"/>
      <c r="E8" s="388" t="s">
        <v>464</v>
      </c>
      <c r="F8" s="374"/>
      <c r="G8" s="388" t="s">
        <v>464</v>
      </c>
      <c r="H8" s="186"/>
      <c r="I8" s="388" t="s">
        <v>464</v>
      </c>
      <c r="J8" s="186"/>
      <c r="K8" s="374"/>
    </row>
    <row r="9" spans="1:11">
      <c r="A9" s="391"/>
      <c r="B9" s="385"/>
      <c r="C9" s="391"/>
      <c r="D9" s="385"/>
      <c r="E9" s="391"/>
      <c r="F9" s="385"/>
      <c r="G9" s="391"/>
      <c r="H9" s="385"/>
      <c r="I9" s="391"/>
      <c r="J9" s="385"/>
      <c r="K9" s="374"/>
    </row>
    <row r="10" spans="1:11">
      <c r="A10" s="391"/>
      <c r="B10" s="385"/>
      <c r="C10" s="391"/>
      <c r="D10" s="385"/>
      <c r="E10" s="391"/>
      <c r="F10" s="385"/>
      <c r="G10" s="391"/>
      <c r="H10" s="385"/>
      <c r="I10" s="391"/>
      <c r="J10" s="385"/>
      <c r="K10" s="374"/>
    </row>
    <row r="11" spans="1:11">
      <c r="A11" s="391"/>
      <c r="B11" s="385"/>
      <c r="C11" s="392"/>
      <c r="D11" s="393"/>
      <c r="E11" s="392"/>
      <c r="F11" s="385"/>
      <c r="G11" s="392"/>
      <c r="H11" s="385"/>
      <c r="I11" s="394"/>
      <c r="J11" s="385"/>
      <c r="K11" s="374"/>
    </row>
    <row r="12" spans="1:11">
      <c r="A12" s="391"/>
      <c r="B12" s="395"/>
      <c r="C12" s="391"/>
      <c r="D12" s="396"/>
      <c r="E12" s="397"/>
      <c r="F12" s="385"/>
      <c r="G12" s="397"/>
      <c r="H12" s="385"/>
      <c r="I12" s="397"/>
      <c r="J12" s="385"/>
      <c r="K12" s="374"/>
    </row>
    <row r="13" spans="1:11">
      <c r="A13" s="398"/>
      <c r="B13" s="399"/>
      <c r="C13" s="400"/>
      <c r="D13" s="396"/>
      <c r="E13" s="400"/>
      <c r="F13" s="385"/>
      <c r="G13" s="400"/>
      <c r="H13" s="385"/>
      <c r="I13" s="394"/>
      <c r="J13" s="385"/>
      <c r="K13" s="374"/>
    </row>
    <row r="14" spans="1:11">
      <c r="A14" s="391"/>
      <c r="B14" s="385"/>
      <c r="C14" s="397"/>
      <c r="D14" s="396"/>
      <c r="E14" s="397"/>
      <c r="F14" s="385"/>
      <c r="G14" s="397"/>
      <c r="H14" s="385"/>
      <c r="I14" s="397"/>
      <c r="J14" s="385"/>
      <c r="K14" s="374"/>
    </row>
    <row r="15" spans="1:11">
      <c r="A15" s="391"/>
      <c r="B15" s="385"/>
      <c r="C15" s="397"/>
      <c r="D15" s="396"/>
      <c r="E15" s="397"/>
      <c r="F15" s="385"/>
      <c r="G15" s="397"/>
      <c r="H15" s="385"/>
      <c r="I15" s="397"/>
      <c r="J15" s="385"/>
      <c r="K15" s="374"/>
    </row>
    <row r="16" spans="1:11">
      <c r="A16" s="391"/>
      <c r="B16" s="399"/>
      <c r="C16" s="391"/>
      <c r="D16" s="396"/>
      <c r="E16" s="391"/>
      <c r="F16" s="385"/>
      <c r="G16" s="397"/>
      <c r="H16" s="385"/>
      <c r="I16" s="391"/>
      <c r="J16" s="385"/>
      <c r="K16" s="374"/>
    </row>
    <row r="17" spans="1:12">
      <c r="A17" s="388" t="s">
        <v>358</v>
      </c>
      <c r="B17" s="387">
        <f>SUM(B9:B16)</f>
        <v>0</v>
      </c>
      <c r="C17" s="388" t="s">
        <v>358</v>
      </c>
      <c r="D17" s="387">
        <f>SUM(D9:D16)</f>
        <v>0</v>
      </c>
      <c r="E17" s="388" t="s">
        <v>358</v>
      </c>
      <c r="F17" s="401">
        <f>SUM(F9:F16)</f>
        <v>0</v>
      </c>
      <c r="G17" s="388" t="s">
        <v>358</v>
      </c>
      <c r="H17" s="387">
        <f>SUM(H9:H16)</f>
        <v>0</v>
      </c>
      <c r="I17" s="388" t="s">
        <v>358</v>
      </c>
      <c r="J17" s="387">
        <f>SUM(J9:J16)</f>
        <v>0</v>
      </c>
      <c r="K17" s="387">
        <f>SUM(B17+D17+F17+H17+J17)</f>
        <v>0</v>
      </c>
    </row>
    <row r="18" spans="1:12">
      <c r="A18" s="388" t="s">
        <v>359</v>
      </c>
      <c r="B18" s="387">
        <f>SUM(B7+B17)</f>
        <v>0</v>
      </c>
      <c r="C18" s="388" t="s">
        <v>359</v>
      </c>
      <c r="D18" s="387">
        <f>SUM(D7+D17)</f>
        <v>0</v>
      </c>
      <c r="E18" s="388" t="s">
        <v>359</v>
      </c>
      <c r="F18" s="387">
        <f>SUM(F7+F17)</f>
        <v>0</v>
      </c>
      <c r="G18" s="388" t="s">
        <v>359</v>
      </c>
      <c r="H18" s="387">
        <f>SUM(H7+H17)</f>
        <v>0</v>
      </c>
      <c r="I18" s="388" t="s">
        <v>359</v>
      </c>
      <c r="J18" s="387">
        <f>SUM(J7+J17)</f>
        <v>0</v>
      </c>
      <c r="K18" s="387">
        <f>SUM(B18+D18+F18+H18+J18)</f>
        <v>0</v>
      </c>
    </row>
    <row r="19" spans="1:12">
      <c r="A19" s="388" t="s">
        <v>360</v>
      </c>
      <c r="B19" s="389"/>
      <c r="C19" s="388" t="s">
        <v>360</v>
      </c>
      <c r="D19" s="390"/>
      <c r="E19" s="388" t="s">
        <v>360</v>
      </c>
      <c r="F19" s="374"/>
      <c r="G19" s="388" t="s">
        <v>360</v>
      </c>
      <c r="H19" s="186"/>
      <c r="I19" s="388" t="s">
        <v>360</v>
      </c>
      <c r="J19" s="186"/>
      <c r="K19" s="374"/>
    </row>
    <row r="20" spans="1:12">
      <c r="A20" s="391"/>
      <c r="B20" s="385"/>
      <c r="C20" s="397"/>
      <c r="D20" s="385"/>
      <c r="E20" s="397"/>
      <c r="F20" s="385"/>
      <c r="G20" s="397"/>
      <c r="H20" s="385"/>
      <c r="I20" s="397"/>
      <c r="J20" s="385"/>
      <c r="K20" s="374"/>
    </row>
    <row r="21" spans="1:12">
      <c r="A21" s="391"/>
      <c r="B21" s="385"/>
      <c r="C21" s="397"/>
      <c r="D21" s="385"/>
      <c r="E21" s="397"/>
      <c r="F21" s="385"/>
      <c r="G21" s="397"/>
      <c r="H21" s="385"/>
      <c r="I21" s="397"/>
      <c r="J21" s="385"/>
      <c r="K21" s="374"/>
    </row>
    <row r="22" spans="1:12">
      <c r="A22" s="391"/>
      <c r="B22" s="385"/>
      <c r="C22" s="400"/>
      <c r="D22" s="385"/>
      <c r="E22" s="400"/>
      <c r="F22" s="385"/>
      <c r="G22" s="400"/>
      <c r="H22" s="385"/>
      <c r="I22" s="394"/>
      <c r="J22" s="385"/>
      <c r="K22" s="374"/>
    </row>
    <row r="23" spans="1:12">
      <c r="A23" s="391"/>
      <c r="B23" s="385"/>
      <c r="C23" s="397"/>
      <c r="D23" s="385"/>
      <c r="E23" s="397"/>
      <c r="F23" s="385"/>
      <c r="G23" s="397"/>
      <c r="H23" s="385"/>
      <c r="I23" s="397"/>
      <c r="J23" s="385"/>
      <c r="K23" s="374"/>
    </row>
    <row r="24" spans="1:12">
      <c r="A24" s="391"/>
      <c r="B24" s="385"/>
      <c r="C24" s="400"/>
      <c r="D24" s="385"/>
      <c r="E24" s="400"/>
      <c r="F24" s="385"/>
      <c r="G24" s="400"/>
      <c r="H24" s="385"/>
      <c r="I24" s="394"/>
      <c r="J24" s="385"/>
      <c r="K24" s="374"/>
    </row>
    <row r="25" spans="1:12">
      <c r="A25" s="391"/>
      <c r="B25" s="385"/>
      <c r="C25" s="397"/>
      <c r="D25" s="385"/>
      <c r="E25" s="397"/>
      <c r="F25" s="385"/>
      <c r="G25" s="397"/>
      <c r="H25" s="385"/>
      <c r="I25" s="397"/>
      <c r="J25" s="385"/>
      <c r="K25" s="374"/>
    </row>
    <row r="26" spans="1:12">
      <c r="A26" s="391"/>
      <c r="B26" s="385"/>
      <c r="C26" s="397"/>
      <c r="D26" s="385"/>
      <c r="E26" s="397"/>
      <c r="F26" s="385"/>
      <c r="G26" s="397"/>
      <c r="H26" s="385"/>
      <c r="I26" s="397"/>
      <c r="J26" s="385"/>
      <c r="K26" s="374"/>
    </row>
    <row r="27" spans="1:12">
      <c r="A27" s="391"/>
      <c r="B27" s="385"/>
      <c r="C27" s="391"/>
      <c r="D27" s="385"/>
      <c r="E27" s="391"/>
      <c r="F27" s="385"/>
      <c r="G27" s="397"/>
      <c r="H27" s="385"/>
      <c r="I27" s="397"/>
      <c r="J27" s="385"/>
      <c r="K27" s="374"/>
    </row>
    <row r="28" spans="1:12">
      <c r="A28" s="388" t="s">
        <v>361</v>
      </c>
      <c r="B28" s="387">
        <f>SUM(B20:B27)</f>
        <v>0</v>
      </c>
      <c r="C28" s="388" t="s">
        <v>361</v>
      </c>
      <c r="D28" s="387">
        <f>SUM(D20:D27)</f>
        <v>0</v>
      </c>
      <c r="E28" s="388" t="s">
        <v>361</v>
      </c>
      <c r="F28" s="401">
        <f>SUM(F20:F27)</f>
        <v>0</v>
      </c>
      <c r="G28" s="388" t="s">
        <v>361</v>
      </c>
      <c r="H28" s="401">
        <f>SUM(H20:H27)</f>
        <v>0</v>
      </c>
      <c r="I28" s="388" t="s">
        <v>361</v>
      </c>
      <c r="J28" s="387">
        <f>SUM(J20:J27)</f>
        <v>0</v>
      </c>
      <c r="K28" s="387">
        <f>SUM(B28+D28+F28+H28+J28)</f>
        <v>0</v>
      </c>
    </row>
    <row r="29" spans="1:12">
      <c r="A29" s="388" t="s">
        <v>16</v>
      </c>
      <c r="B29" s="387">
        <f>SUM(B18-B28)</f>
        <v>0</v>
      </c>
      <c r="C29" s="388" t="s">
        <v>16</v>
      </c>
      <c r="D29" s="387">
        <f>SUM(D18-D28)</f>
        <v>0</v>
      </c>
      <c r="E29" s="388" t="s">
        <v>16</v>
      </c>
      <c r="F29" s="387">
        <f>SUM(F18-F28)</f>
        <v>0</v>
      </c>
      <c r="G29" s="388" t="s">
        <v>16</v>
      </c>
      <c r="H29" s="387">
        <f>SUM(H18-H28)</f>
        <v>0</v>
      </c>
      <c r="I29" s="388" t="s">
        <v>16</v>
      </c>
      <c r="J29" s="387">
        <f>SUM(J18-J28)</f>
        <v>0</v>
      </c>
      <c r="K29" s="402">
        <f>SUM(B29+D29+F29+H29+J29)</f>
        <v>0</v>
      </c>
      <c r="L29" s="187" t="s">
        <v>17</v>
      </c>
    </row>
    <row r="30" spans="1:12">
      <c r="A30" s="388"/>
      <c r="B30" s="435" t="str">
        <f>IF(B29&lt;0,"See Tab B","")</f>
        <v/>
      </c>
      <c r="C30" s="388"/>
      <c r="D30" s="435" t="str">
        <f>IF(D29&lt;0,"See Tab B","")</f>
        <v/>
      </c>
      <c r="E30" s="388"/>
      <c r="F30" s="435" t="str">
        <f>IF(F29&lt;0,"See Tab B","")</f>
        <v/>
      </c>
      <c r="G30" s="186"/>
      <c r="H30" s="435" t="str">
        <f>IF(H29&lt;0,"See Tab B","")</f>
        <v/>
      </c>
      <c r="I30" s="186"/>
      <c r="J30" s="435" t="str">
        <f>IF(J29&lt;0,"See Tab B","")</f>
        <v/>
      </c>
      <c r="K30" s="402">
        <f>SUM(K7+K17-K28)</f>
        <v>0</v>
      </c>
      <c r="L30" s="187" t="s">
        <v>17</v>
      </c>
    </row>
    <row r="31" spans="1:12">
      <c r="A31" s="186"/>
      <c r="B31" s="403"/>
      <c r="C31" s="186"/>
      <c r="D31" s="374"/>
      <c r="E31" s="186"/>
      <c r="F31" s="186"/>
      <c r="G31" s="404" t="s">
        <v>18</v>
      </c>
      <c r="H31" s="404"/>
      <c r="I31" s="404"/>
      <c r="J31" s="404"/>
      <c r="K31" s="186"/>
    </row>
    <row r="32" spans="1:12">
      <c r="A32" s="186"/>
      <c r="B32" s="403"/>
      <c r="C32" s="186"/>
      <c r="D32" s="186"/>
      <c r="E32" s="186"/>
      <c r="F32" s="186"/>
      <c r="G32" s="186"/>
      <c r="H32" s="186"/>
      <c r="I32" s="186"/>
      <c r="J32" s="186"/>
      <c r="K32" s="186"/>
    </row>
    <row r="33" spans="1:11">
      <c r="A33" s="186"/>
      <c r="B33" s="403"/>
      <c r="C33" s="186"/>
      <c r="D33" s="186"/>
      <c r="E33" s="405" t="s">
        <v>344</v>
      </c>
      <c r="F33" s="355"/>
      <c r="G33" s="186"/>
      <c r="H33" s="186"/>
      <c r="I33" s="186"/>
      <c r="J33" s="186"/>
      <c r="K33" s="186"/>
    </row>
    <row r="34" spans="1:11">
      <c r="B34" s="406"/>
    </row>
    <row r="35" spans="1:11">
      <c r="B35" s="406"/>
    </row>
    <row r="36" spans="1:11">
      <c r="B36" s="406"/>
    </row>
    <row r="37" spans="1:11">
      <c r="B37" s="406"/>
    </row>
    <row r="38" spans="1:11">
      <c r="B38" s="406"/>
    </row>
    <row r="39" spans="1:11">
      <c r="B39" s="406"/>
    </row>
    <row r="40" spans="1:11">
      <c r="B40" s="406"/>
    </row>
    <row r="41" spans="1:11">
      <c r="B41" s="406"/>
    </row>
  </sheetData>
  <sheetProtection sheet="1"/>
  <mergeCells count="5">
    <mergeCell ref="I5:J5"/>
    <mergeCell ref="A5:B5"/>
    <mergeCell ref="C5:D5"/>
    <mergeCell ref="E5:F5"/>
    <mergeCell ref="G5:H5"/>
  </mergeCells>
  <phoneticPr fontId="0" type="noConversion"/>
  <pageMargins left="0.7" right="0.7" top="0.75" bottom="0.75" header="0.3" footer="0.3"/>
  <pageSetup scale="67" orientation="portrait" blackAndWhite="1" r:id="rId1"/>
  <headerFooter>
    <oddHeader>&amp;RState of Kansas
Township</oddHeader>
    <oddFooter>&amp;Lrevised 8/25/09</oddFooter>
  </headerFooter>
</worksheet>
</file>

<file path=xl/worksheets/sheet22.xml><?xml version="1.0" encoding="utf-8"?>
<worksheet xmlns="http://schemas.openxmlformats.org/spreadsheetml/2006/main" xmlns:r="http://schemas.openxmlformats.org/officeDocument/2006/relationships">
  <dimension ref="A1:A22"/>
  <sheetViews>
    <sheetView workbookViewId="0">
      <selection activeCell="A25" sqref="A25"/>
    </sheetView>
  </sheetViews>
  <sheetFormatPr defaultRowHeight="15.75"/>
  <cols>
    <col min="1" max="1" width="62.3984375" style="182" customWidth="1"/>
    <col min="2" max="16384" width="8.796875" style="182"/>
  </cols>
  <sheetData>
    <row r="1" spans="1:1" ht="20.25">
      <c r="A1" s="437" t="s">
        <v>26</v>
      </c>
    </row>
    <row r="2" spans="1:1" ht="52.5" customHeight="1">
      <c r="A2" s="438" t="s">
        <v>27</v>
      </c>
    </row>
    <row r="3" spans="1:1">
      <c r="A3" s="439"/>
    </row>
    <row r="4" spans="1:1" ht="53.25" customHeight="1">
      <c r="A4" s="438" t="s">
        <v>28</v>
      </c>
    </row>
    <row r="5" spans="1:1">
      <c r="A5" s="436"/>
    </row>
    <row r="6" spans="1:1" ht="52.5" customHeight="1">
      <c r="A6" s="438" t="s">
        <v>29</v>
      </c>
    </row>
    <row r="7" spans="1:1">
      <c r="A7" s="439"/>
    </row>
    <row r="8" spans="1:1" ht="39" customHeight="1">
      <c r="A8" s="438" t="s">
        <v>30</v>
      </c>
    </row>
    <row r="9" spans="1:1">
      <c r="A9" s="436"/>
    </row>
    <row r="10" spans="1:1" ht="37.5" customHeight="1">
      <c r="A10" s="438" t="s">
        <v>31</v>
      </c>
    </row>
    <row r="11" spans="1:1">
      <c r="A11" s="439"/>
    </row>
    <row r="12" spans="1:1" ht="69" customHeight="1">
      <c r="A12" s="438" t="s">
        <v>32</v>
      </c>
    </row>
    <row r="13" spans="1:1">
      <c r="A13" s="439"/>
    </row>
    <row r="14" spans="1:1" ht="31.5">
      <c r="A14" s="438" t="s">
        <v>33</v>
      </c>
    </row>
    <row r="15" spans="1:1">
      <c r="A15" s="436"/>
    </row>
    <row r="16" spans="1:1" ht="52.5" customHeight="1">
      <c r="A16" s="438" t="s">
        <v>34</v>
      </c>
    </row>
    <row r="17" spans="1:1">
      <c r="A17" s="439"/>
    </row>
    <row r="18" spans="1:1" ht="53.25" customHeight="1">
      <c r="A18" s="438" t="s">
        <v>35</v>
      </c>
    </row>
    <row r="19" spans="1:1">
      <c r="A19" s="439"/>
    </row>
    <row r="20" spans="1:1" ht="55.5" customHeight="1">
      <c r="A20" s="438" t="s">
        <v>36</v>
      </c>
    </row>
    <row r="21" spans="1:1">
      <c r="A21" s="439"/>
    </row>
    <row r="22" spans="1:1" ht="70.5" customHeight="1">
      <c r="A22" s="438" t="s">
        <v>37</v>
      </c>
    </row>
  </sheetData>
  <sheetProtection sheet="1"/>
  <phoneticPr fontId="0" type="noConversion"/>
  <pageMargins left="0.7" right="0.7" top="0.75" bottom="0.75" header="0.3" footer="0.3"/>
  <pageSetup orientation="portrait" r:id="rId1"/>
  <headerFooter>
    <oddFooter>&amp;Lrevised 8/25/09</oddFooter>
  </headerFooter>
</worksheet>
</file>

<file path=xl/worksheets/sheet23.xml><?xml version="1.0" encoding="utf-8"?>
<worksheet xmlns="http://schemas.openxmlformats.org/spreadsheetml/2006/main" xmlns:r="http://schemas.openxmlformats.org/officeDocument/2006/relationships">
  <sheetPr>
    <pageSetUpPr fitToPage="1"/>
  </sheetPr>
  <dimension ref="A1:F41"/>
  <sheetViews>
    <sheetView workbookViewId="0">
      <selection activeCell="B34" sqref="B34"/>
    </sheetView>
  </sheetViews>
  <sheetFormatPr defaultRowHeight="15.75"/>
  <cols>
    <col min="1" max="1" width="10.59765625" customWidth="1"/>
    <col min="2" max="2" width="13.69921875" customWidth="1"/>
    <col min="3" max="5" width="12.69921875" customWidth="1"/>
  </cols>
  <sheetData>
    <row r="1" spans="1:6">
      <c r="A1" s="20" t="str">
        <f ca="1">inputPrYr!D2</f>
        <v>Winterset Township</v>
      </c>
      <c r="B1" s="16"/>
      <c r="C1" s="16"/>
      <c r="D1" s="16"/>
      <c r="E1" s="16"/>
      <c r="F1" s="16">
        <f ca="1">inputPrYr!D5</f>
        <v>2013</v>
      </c>
    </row>
    <row r="2" spans="1:6">
      <c r="A2" s="16"/>
      <c r="B2" s="16"/>
      <c r="C2" s="16"/>
      <c r="D2" s="16"/>
      <c r="E2" s="16"/>
      <c r="F2" s="16"/>
    </row>
    <row r="3" spans="1:6">
      <c r="A3" s="16"/>
      <c r="B3" s="590" t="str">
        <f>CONCATENATE("",F1," Neighborhood Revitalization Rebate")</f>
        <v>2013 Neighborhood Revitalization Rebate</v>
      </c>
      <c r="C3" s="591"/>
      <c r="D3" s="591"/>
      <c r="E3" s="591"/>
      <c r="F3" s="16"/>
    </row>
    <row r="4" spans="1:6">
      <c r="A4" s="16"/>
      <c r="B4" s="16"/>
      <c r="C4" s="16"/>
      <c r="D4" s="16"/>
      <c r="E4" s="16"/>
      <c r="F4" s="16"/>
    </row>
    <row r="5" spans="1:6" ht="51.75" customHeight="1">
      <c r="A5" s="16"/>
      <c r="B5" s="480" t="str">
        <f>CONCATENATE("Budgeted Funds                            for ",F1,"")</f>
        <v>Budgeted Funds                            for 2013</v>
      </c>
      <c r="C5" s="480" t="str">
        <f>CONCATENATE("",F1-1," Ad Valorem before Rebate**")</f>
        <v>2012 Ad Valorem before Rebate**</v>
      </c>
      <c r="D5" s="481" t="str">
        <f>CONCATENATE("",F1-1," Mil Rate before Rebate")</f>
        <v>2012 Mil Rate before Rebate</v>
      </c>
      <c r="E5" s="482" t="str">
        <f>CONCATENATE("Estimate ",F1," NR Rebate")</f>
        <v>Estimate 2013 NR Rebate</v>
      </c>
      <c r="F5" s="56"/>
    </row>
    <row r="6" spans="1:6">
      <c r="A6" s="16"/>
      <c r="B6" s="31" t="str">
        <f ca="1">inputPrYr!B16</f>
        <v>General</v>
      </c>
      <c r="C6" s="104"/>
      <c r="D6" s="105" t="str">
        <f t="shared" ref="D6:D16" si="0">IF(C6&gt;0,C6/$D$22,"")</f>
        <v/>
      </c>
      <c r="E6" s="106" t="str">
        <f>IF(C6&gt;0,ROUND(D6*$D$26,0),"")</f>
        <v/>
      </c>
      <c r="F6" s="56"/>
    </row>
    <row r="7" spans="1:6">
      <c r="A7" s="16"/>
      <c r="B7" s="31" t="str">
        <f ca="1">inputPrYr!B17</f>
        <v>Debt Service</v>
      </c>
      <c r="C7" s="104"/>
      <c r="D7" s="105" t="str">
        <f t="shared" si="0"/>
        <v/>
      </c>
      <c r="E7" s="106" t="str">
        <f t="shared" ref="E7:E16" si="1">IF(C7&gt;0,ROUND(D7*$D$26,0),"")</f>
        <v/>
      </c>
      <c r="F7" s="56"/>
    </row>
    <row r="8" spans="1:6">
      <c r="A8" s="16"/>
      <c r="B8" s="31" t="str">
        <f ca="1">inputPrYr!B18</f>
        <v>Road</v>
      </c>
      <c r="C8" s="104"/>
      <c r="D8" s="105" t="str">
        <f t="shared" si="0"/>
        <v/>
      </c>
      <c r="E8" s="106" t="str">
        <f t="shared" si="1"/>
        <v/>
      </c>
      <c r="F8" s="56"/>
    </row>
    <row r="9" spans="1:6">
      <c r="A9" s="16"/>
      <c r="B9" s="31">
        <f ca="1">inputPrYr!B19</f>
        <v>0</v>
      </c>
      <c r="C9" s="104"/>
      <c r="D9" s="105" t="str">
        <f t="shared" si="0"/>
        <v/>
      </c>
      <c r="E9" s="106" t="str">
        <f t="shared" si="1"/>
        <v/>
      </c>
      <c r="F9" s="56"/>
    </row>
    <row r="10" spans="1:6">
      <c r="A10" s="16"/>
      <c r="B10" s="31">
        <f ca="1">inputPrYr!B20</f>
        <v>0</v>
      </c>
      <c r="C10" s="104"/>
      <c r="D10" s="105" t="str">
        <f t="shared" si="0"/>
        <v/>
      </c>
      <c r="E10" s="106" t="str">
        <f t="shared" si="1"/>
        <v/>
      </c>
      <c r="F10" s="56"/>
    </row>
    <row r="11" spans="1:6">
      <c r="A11" s="16"/>
      <c r="B11" s="31">
        <f ca="1">inputPrYr!B21</f>
        <v>0</v>
      </c>
      <c r="C11" s="104"/>
      <c r="D11" s="105" t="str">
        <f t="shared" si="0"/>
        <v/>
      </c>
      <c r="E11" s="106" t="str">
        <f t="shared" si="1"/>
        <v/>
      </c>
      <c r="F11" s="56"/>
    </row>
    <row r="12" spans="1:6">
      <c r="A12" s="16"/>
      <c r="B12" s="31">
        <f ca="1">inputPrYr!B22</f>
        <v>0</v>
      </c>
      <c r="C12" s="107"/>
      <c r="D12" s="105" t="str">
        <f t="shared" si="0"/>
        <v/>
      </c>
      <c r="E12" s="106" t="str">
        <f t="shared" si="1"/>
        <v/>
      </c>
      <c r="F12" s="56"/>
    </row>
    <row r="13" spans="1:6">
      <c r="A13" s="16"/>
      <c r="B13" s="31">
        <f ca="1">inputPrYr!B23</f>
        <v>0</v>
      </c>
      <c r="C13" s="107"/>
      <c r="D13" s="105" t="str">
        <f t="shared" si="0"/>
        <v/>
      </c>
      <c r="E13" s="106" t="str">
        <f t="shared" si="1"/>
        <v/>
      </c>
      <c r="F13" s="56"/>
    </row>
    <row r="14" spans="1:6">
      <c r="A14" s="16"/>
      <c r="B14" s="31">
        <f ca="1">inputPrYr!B24</f>
        <v>0</v>
      </c>
      <c r="C14" s="107"/>
      <c r="D14" s="105" t="str">
        <f t="shared" si="0"/>
        <v/>
      </c>
      <c r="E14" s="106" t="str">
        <f t="shared" si="1"/>
        <v/>
      </c>
      <c r="F14" s="56"/>
    </row>
    <row r="15" spans="1:6">
      <c r="A15" s="16"/>
      <c r="B15" s="31">
        <f ca="1">inputPrYr!B25</f>
        <v>0</v>
      </c>
      <c r="C15" s="107"/>
      <c r="D15" s="105" t="str">
        <f t="shared" si="0"/>
        <v/>
      </c>
      <c r="E15" s="106" t="str">
        <f t="shared" si="1"/>
        <v/>
      </c>
      <c r="F15" s="56"/>
    </row>
    <row r="16" spans="1:6">
      <c r="A16" s="16"/>
      <c r="B16" s="31">
        <f ca="1">inputPrYr!B26</f>
        <v>0</v>
      </c>
      <c r="C16" s="107"/>
      <c r="D16" s="105" t="str">
        <f t="shared" si="0"/>
        <v/>
      </c>
      <c r="E16" s="106" t="str">
        <f t="shared" si="1"/>
        <v/>
      </c>
      <c r="F16" s="56"/>
    </row>
    <row r="17" spans="1:6" ht="16.5" thickBot="1">
      <c r="A17" s="16"/>
      <c r="B17" s="32" t="s">
        <v>573</v>
      </c>
      <c r="C17" s="108">
        <f>SUM(C6:C16)</f>
        <v>0</v>
      </c>
      <c r="D17" s="109">
        <f>SUM(D6:D16)</f>
        <v>0</v>
      </c>
      <c r="E17" s="108">
        <f>SUM(E6:E16)</f>
        <v>0</v>
      </c>
      <c r="F17" s="56"/>
    </row>
    <row r="18" spans="1:6" ht="16.5" thickTop="1">
      <c r="A18" s="16"/>
      <c r="B18" s="16"/>
      <c r="C18" s="16"/>
      <c r="D18" s="16"/>
      <c r="E18" s="16"/>
      <c r="F18" s="56"/>
    </row>
    <row r="19" spans="1:6">
      <c r="A19" s="16"/>
      <c r="B19" s="16"/>
      <c r="C19" s="16"/>
      <c r="D19" s="16"/>
      <c r="E19" s="16"/>
      <c r="F19" s="56"/>
    </row>
    <row r="20" spans="1:6">
      <c r="A20" s="592" t="str">
        <f>CONCATENATE("",F1-1," July 1 Valuation:")</f>
        <v>2012 July 1 Valuation:</v>
      </c>
      <c r="B20" s="589"/>
      <c r="C20" s="592"/>
      <c r="D20" s="110">
        <f ca="1">inputOth!E7</f>
        <v>1846133</v>
      </c>
      <c r="E20" s="16"/>
      <c r="F20" s="56"/>
    </row>
    <row r="21" spans="1:6">
      <c r="A21" s="16"/>
      <c r="B21" s="16"/>
      <c r="C21" s="16"/>
      <c r="D21" s="16"/>
      <c r="E21" s="16"/>
      <c r="F21" s="56"/>
    </row>
    <row r="22" spans="1:6">
      <c r="A22" s="16"/>
      <c r="B22" s="592" t="s">
        <v>48</v>
      </c>
      <c r="C22" s="592"/>
      <c r="D22" s="111">
        <f>IF(D20&gt;0,(D20*0.001),"")</f>
        <v>1846.133</v>
      </c>
      <c r="E22" s="16"/>
      <c r="F22" s="56"/>
    </row>
    <row r="23" spans="1:6">
      <c r="A23" s="16"/>
      <c r="B23" s="73"/>
      <c r="C23" s="73"/>
      <c r="D23" s="112"/>
      <c r="E23" s="16"/>
      <c r="F23" s="56"/>
    </row>
    <row r="24" spans="1:6">
      <c r="A24" s="588" t="s">
        <v>49</v>
      </c>
      <c r="B24" s="593"/>
      <c r="C24" s="593"/>
      <c r="D24" s="114">
        <f ca="1">inputOth!E13</f>
        <v>0</v>
      </c>
      <c r="E24" s="79"/>
      <c r="F24" s="79"/>
    </row>
    <row r="25" spans="1:6">
      <c r="A25" s="79"/>
      <c r="B25" s="79"/>
      <c r="C25" s="79"/>
      <c r="D25" s="115"/>
      <c r="E25" s="79"/>
      <c r="F25" s="79"/>
    </row>
    <row r="26" spans="1:6">
      <c r="A26" s="79"/>
      <c r="B26" s="588" t="s">
        <v>50</v>
      </c>
      <c r="C26" s="589"/>
      <c r="D26" s="116" t="str">
        <f>IF(D24&gt;0,(D24*0.001),"")</f>
        <v/>
      </c>
      <c r="E26" s="79"/>
      <c r="F26" s="79"/>
    </row>
    <row r="27" spans="1:6">
      <c r="A27" s="79"/>
      <c r="B27" s="79"/>
      <c r="C27" s="79"/>
      <c r="D27" s="79"/>
      <c r="E27" s="79"/>
      <c r="F27" s="79"/>
    </row>
    <row r="28" spans="1:6">
      <c r="A28" s="79"/>
      <c r="B28" s="79"/>
      <c r="C28" s="79"/>
      <c r="D28" s="79"/>
      <c r="E28" s="79"/>
      <c r="F28" s="79"/>
    </row>
    <row r="29" spans="1:6">
      <c r="A29" s="79"/>
      <c r="B29" s="79"/>
      <c r="C29" s="79"/>
      <c r="D29" s="79"/>
      <c r="E29" s="79"/>
      <c r="F29" s="79"/>
    </row>
    <row r="30" spans="1:6">
      <c r="A30" s="483" t="str">
        <f>CONCATENATE("**This information comes from the ",F1," Budget Summary page.  See instructions tab #11 for completing")</f>
        <v>**This information comes from the 2013 Budget Summary page.  See instructions tab #11 for completing</v>
      </c>
      <c r="B30" s="79"/>
      <c r="C30" s="79"/>
      <c r="D30" s="79"/>
      <c r="E30" s="79"/>
      <c r="F30" s="79"/>
    </row>
    <row r="31" spans="1:6">
      <c r="A31" s="483" t="s">
        <v>311</v>
      </c>
      <c r="B31" s="79"/>
      <c r="C31" s="79"/>
      <c r="D31" s="79"/>
      <c r="E31" s="79"/>
      <c r="F31" s="79"/>
    </row>
    <row r="32" spans="1:6">
      <c r="A32" s="483"/>
      <c r="B32" s="79"/>
      <c r="C32" s="79"/>
      <c r="D32" s="79"/>
      <c r="E32" s="79"/>
      <c r="F32" s="79"/>
    </row>
    <row r="33" spans="1:6">
      <c r="A33" s="483"/>
      <c r="B33" s="79"/>
      <c r="C33" s="79"/>
      <c r="D33" s="79"/>
      <c r="E33" s="79"/>
      <c r="F33" s="79"/>
    </row>
    <row r="34" spans="1:6">
      <c r="A34" s="483"/>
      <c r="B34" s="79"/>
      <c r="C34" s="79"/>
      <c r="D34" s="79"/>
      <c r="E34" s="79"/>
      <c r="F34" s="79"/>
    </row>
    <row r="35" spans="1:6">
      <c r="A35" s="483"/>
      <c r="B35" s="79"/>
      <c r="C35" s="79"/>
      <c r="D35" s="79"/>
      <c r="E35" s="79"/>
      <c r="F35" s="79"/>
    </row>
    <row r="36" spans="1:6">
      <c r="A36" s="483"/>
      <c r="B36" s="79"/>
      <c r="C36" s="79"/>
      <c r="D36" s="79"/>
      <c r="E36" s="79"/>
      <c r="F36" s="79"/>
    </row>
    <row r="37" spans="1:6">
      <c r="A37" s="483"/>
      <c r="B37" s="79"/>
      <c r="C37" s="79"/>
      <c r="D37" s="79"/>
      <c r="E37" s="79"/>
      <c r="F37" s="79"/>
    </row>
    <row r="38" spans="1:6">
      <c r="A38" s="483"/>
      <c r="B38" s="79"/>
      <c r="C38" s="79"/>
      <c r="D38" s="79"/>
      <c r="E38" s="79"/>
      <c r="F38" s="79"/>
    </row>
    <row r="39" spans="1:6">
      <c r="A39" s="79"/>
      <c r="B39" s="79"/>
      <c r="C39" s="79"/>
      <c r="D39" s="79"/>
      <c r="E39" s="79"/>
      <c r="F39" s="79"/>
    </row>
    <row r="40" spans="1:6">
      <c r="A40" s="79"/>
      <c r="B40" s="113" t="s">
        <v>344</v>
      </c>
      <c r="C40" s="74"/>
      <c r="D40" s="79"/>
      <c r="E40" s="79"/>
      <c r="F40" s="79"/>
    </row>
    <row r="41" spans="1:6">
      <c r="A41" s="56"/>
      <c r="B41" s="16"/>
      <c r="C41" s="16"/>
      <c r="D41" s="117"/>
      <c r="E41" s="56"/>
      <c r="F41" s="56"/>
    </row>
  </sheetData>
  <sheetProtection sheet="1" objects="1" scenarios="1"/>
  <mergeCells count="5">
    <mergeCell ref="B26:C26"/>
    <mergeCell ref="B3:E3"/>
    <mergeCell ref="A20:C20"/>
    <mergeCell ref="B22:C22"/>
    <mergeCell ref="A24:C24"/>
  </mergeCells>
  <phoneticPr fontId="11" type="noConversion"/>
  <pageMargins left="0.75" right="0.75" top="1" bottom="1" header="0.5" footer="0.5"/>
  <pageSetup scale="98" orientation="portrait" blackAndWhite="1" r:id="rId1"/>
  <headerFooter alignWithMargins="0">
    <oddHeader>&amp;RState of Kansas
Township</oddHeader>
    <oddFooter>&amp;Lrevised 12/28/09</oddFooter>
  </headerFooter>
</worksheet>
</file>

<file path=xl/worksheets/sheet24.xml><?xml version="1.0" encoding="utf-8"?>
<worksheet xmlns="http://schemas.openxmlformats.org/spreadsheetml/2006/main" xmlns:r="http://schemas.openxmlformats.org/officeDocument/2006/relationships">
  <sheetPr>
    <pageSetUpPr fitToPage="1"/>
  </sheetPr>
  <dimension ref="A1:I50"/>
  <sheetViews>
    <sheetView workbookViewId="0">
      <selection activeCell="D33" sqref="D33:G33"/>
    </sheetView>
  </sheetViews>
  <sheetFormatPr defaultRowHeight="15.75"/>
  <sheetData>
    <row r="1" spans="1:9">
      <c r="A1" s="594" t="s">
        <v>474</v>
      </c>
      <c r="B1" s="594"/>
      <c r="C1" s="594"/>
      <c r="D1" s="594"/>
      <c r="E1" s="594"/>
      <c r="F1" s="594"/>
      <c r="G1" s="594"/>
    </row>
    <row r="2" spans="1:9">
      <c r="A2" s="59"/>
    </row>
    <row r="3" spans="1:9">
      <c r="A3" s="595" t="s">
        <v>475</v>
      </c>
      <c r="B3" s="595"/>
      <c r="C3" s="595"/>
      <c r="D3" s="595"/>
      <c r="E3" s="595"/>
      <c r="F3" s="595"/>
      <c r="G3" s="595"/>
    </row>
    <row r="4" spans="1:9">
      <c r="A4" s="60"/>
    </row>
    <row r="5" spans="1:9">
      <c r="A5" s="60"/>
    </row>
    <row r="6" spans="1:9">
      <c r="A6" s="66" t="str">
        <f ca="1">CONCATENATE("A resolution expressing the property taxation policy of the Board of ",(inputPrYr!D2)," ")</f>
        <v xml:space="preserve">A resolution expressing the property taxation policy of the Board of Winterset Township </v>
      </c>
      <c r="I6" t="str">
        <f>CONCATENATE(I7)</f>
        <v/>
      </c>
    </row>
    <row r="7" spans="1:9">
      <c r="A7" s="596" t="str">
        <f ca="1">CONCATENATE("   with respect to financing the ",inputPrYr!D5," annual budget for ",(inputPrYr!D2)," , ",(inputPrYr!D3)," , Kansas.")</f>
        <v xml:space="preserve">   with respect to financing the 2013 annual budget for Winterset Township , Russell County , Kansas.</v>
      </c>
      <c r="B7" s="597"/>
      <c r="C7" s="597"/>
      <c r="D7" s="597"/>
      <c r="E7" s="597"/>
      <c r="F7" s="597"/>
      <c r="G7" s="597"/>
    </row>
    <row r="8" spans="1:9">
      <c r="A8" s="597"/>
      <c r="B8" s="597"/>
      <c r="C8" s="597"/>
      <c r="D8" s="597"/>
      <c r="E8" s="597"/>
      <c r="F8" s="597"/>
      <c r="G8" s="597"/>
    </row>
    <row r="9" spans="1:9">
      <c r="A9" s="59"/>
    </row>
    <row r="10" spans="1:9">
      <c r="A10" s="67" t="s">
        <v>476</v>
      </c>
    </row>
    <row r="11" spans="1:9">
      <c r="A11" s="65" t="str">
        <f ca="1">CONCATENATE("to finance the ",inputPrYr!D5," ",(inputPrYr!D2)," budget exceed the amount levied to finance the ",inputPrYr!D5-1,"")</f>
        <v>to finance the 2013 Winterset Township budget exceed the amount levied to finance the 2012</v>
      </c>
    </row>
    <row r="12" spans="1:9">
      <c r="A12" s="599" t="str">
        <f ca="1">CONCATENATE((inputPrYr!D2)," Township budget, except with regard to revenue produced and attributable to the taxation of 1) new improvements to real property; 2) increased personal property valuation, other than increased")</f>
        <v>Winterset Township Township budget, except with regard to revenue produced and attributable to the taxation of 1) new improvements to real property; 2) increased personal property valuation, other than increased</v>
      </c>
      <c r="B12" s="597"/>
      <c r="C12" s="597"/>
      <c r="D12" s="597"/>
      <c r="E12" s="597"/>
      <c r="F12" s="597"/>
      <c r="G12" s="597"/>
    </row>
    <row r="13" spans="1:9">
      <c r="A13" s="597"/>
      <c r="B13" s="597"/>
      <c r="C13" s="597"/>
      <c r="D13" s="597"/>
      <c r="E13" s="597"/>
      <c r="F13" s="597"/>
      <c r="G13" s="597"/>
    </row>
    <row r="14" spans="1:9">
      <c r="A14" s="599" t="s">
        <v>481</v>
      </c>
      <c r="B14" s="597"/>
      <c r="C14" s="597"/>
      <c r="D14" s="597"/>
      <c r="E14" s="597"/>
      <c r="F14" s="597"/>
      <c r="G14" s="597"/>
    </row>
    <row r="15" spans="1:9">
      <c r="A15" s="597"/>
      <c r="B15" s="597"/>
      <c r="C15" s="597"/>
      <c r="D15" s="597"/>
      <c r="E15" s="597"/>
      <c r="F15" s="597"/>
      <c r="G15" s="597"/>
    </row>
    <row r="16" spans="1:9">
      <c r="A16" s="593"/>
      <c r="B16" s="593"/>
      <c r="C16" s="593"/>
      <c r="D16" s="593"/>
      <c r="E16" s="593"/>
      <c r="F16" s="593"/>
      <c r="G16" s="593"/>
    </row>
    <row r="17" spans="1:7">
      <c r="A17" s="60"/>
    </row>
    <row r="18" spans="1:7">
      <c r="A18" s="598" t="s">
        <v>477</v>
      </c>
      <c r="B18" s="597"/>
      <c r="C18" s="597"/>
      <c r="D18" s="597"/>
      <c r="E18" s="597"/>
      <c r="F18" s="597"/>
      <c r="G18" s="597"/>
    </row>
    <row r="19" spans="1:7">
      <c r="A19" s="597"/>
      <c r="B19" s="597"/>
      <c r="C19" s="597"/>
      <c r="D19" s="597"/>
      <c r="E19" s="597"/>
      <c r="F19" s="597"/>
      <c r="G19" s="597"/>
    </row>
    <row r="20" spans="1:7">
      <c r="A20" s="60"/>
    </row>
    <row r="21" spans="1:7">
      <c r="A21" s="598" t="str">
        <f ca="1">CONCATENATE("Whereas, ",(inputPrYr!D2)," provides essential services to protect the safety and well being of the citizens of the township; and")</f>
        <v>Whereas, Winterset Township provides essential services to protect the safety and well being of the citizens of the township; and</v>
      </c>
      <c r="B21" s="597"/>
      <c r="C21" s="597"/>
      <c r="D21" s="597"/>
      <c r="E21" s="597"/>
      <c r="F21" s="597"/>
      <c r="G21" s="597"/>
    </row>
    <row r="22" spans="1:7">
      <c r="A22" s="597"/>
      <c r="B22" s="597"/>
      <c r="C22" s="597"/>
      <c r="D22" s="597"/>
      <c r="E22" s="597"/>
      <c r="F22" s="597"/>
      <c r="G22" s="597"/>
    </row>
    <row r="23" spans="1:7">
      <c r="A23" s="62"/>
    </row>
    <row r="24" spans="1:7">
      <c r="A24" s="61" t="s">
        <v>478</v>
      </c>
    </row>
    <row r="25" spans="1:7">
      <c r="A25" s="62"/>
    </row>
    <row r="26" spans="1:7">
      <c r="A26" s="598" t="str">
        <f ca="1">CONCATENATE("NOW, THEREFORE, BE IT RESOLVED by the Board of ",(inputPrYr!D2)," of ",(inputPrYr!D3),", Kansas that is our desire to notify the public of increased property taxes to finance the ",inputPrYr!D5," ",(inputPrYr!D2),"  budget as defined above.")</f>
        <v>NOW, THEREFORE, BE IT RESOLVED by the Board of Winterset Township of Russell County, Kansas that is our desire to notify the public of increased property taxes to finance the 2013 Winterset Township  budget as defined above.</v>
      </c>
      <c r="B26" s="597"/>
      <c r="C26" s="597"/>
      <c r="D26" s="597"/>
      <c r="E26" s="597"/>
      <c r="F26" s="597"/>
      <c r="G26" s="597"/>
    </row>
    <row r="27" spans="1:7">
      <c r="A27" s="597"/>
      <c r="B27" s="597"/>
      <c r="C27" s="597"/>
      <c r="D27" s="597"/>
      <c r="E27" s="597"/>
      <c r="F27" s="597"/>
      <c r="G27" s="597"/>
    </row>
    <row r="28" spans="1:7">
      <c r="A28" s="597"/>
      <c r="B28" s="597"/>
      <c r="C28" s="597"/>
      <c r="D28" s="597"/>
      <c r="E28" s="597"/>
      <c r="F28" s="597"/>
      <c r="G28" s="597"/>
    </row>
    <row r="29" spans="1:7">
      <c r="A29" s="62"/>
    </row>
    <row r="30" spans="1:7">
      <c r="A30" s="601" t="str">
        <f ca="1">CONCATENATE("Adopted this _________ day of ___________, ",inputPrYr!D5-1," by the ",(inputPrYr!D2)," Board, ",(inputPrYr!D3),", Kansas.")</f>
        <v>Adopted this _________ day of ___________, 2012 by the Winterset Township Board, Russell County, Kansas.</v>
      </c>
      <c r="B30" s="597"/>
      <c r="C30" s="597"/>
      <c r="D30" s="597"/>
      <c r="E30" s="597"/>
      <c r="F30" s="597"/>
      <c r="G30" s="597"/>
    </row>
    <row r="31" spans="1:7">
      <c r="A31" s="597"/>
      <c r="B31" s="597"/>
      <c r="C31" s="597"/>
      <c r="D31" s="597"/>
      <c r="E31" s="597"/>
      <c r="F31" s="597"/>
      <c r="G31" s="597"/>
    </row>
    <row r="32" spans="1:7">
      <c r="A32" s="62"/>
    </row>
    <row r="33" spans="1:7">
      <c r="D33" s="602" t="str">
        <f ca="1">CONCATENATE((inputPrYr!D2)," Board")</f>
        <v>Winterset Township Board</v>
      </c>
      <c r="E33" s="602"/>
      <c r="F33" s="602"/>
      <c r="G33" s="602"/>
    </row>
    <row r="35" spans="1:7">
      <c r="D35" s="600" t="s">
        <v>479</v>
      </c>
      <c r="E35" s="600"/>
      <c r="F35" s="600"/>
      <c r="G35" s="600"/>
    </row>
    <row r="36" spans="1:7">
      <c r="A36" s="63"/>
      <c r="D36" s="600" t="s">
        <v>483</v>
      </c>
      <c r="E36" s="600"/>
      <c r="F36" s="600"/>
      <c r="G36" s="600"/>
    </row>
    <row r="37" spans="1:7">
      <c r="D37" s="600"/>
      <c r="E37" s="600"/>
      <c r="F37" s="600"/>
      <c r="G37" s="600"/>
    </row>
    <row r="38" spans="1:7">
      <c r="D38" s="600" t="s">
        <v>479</v>
      </c>
      <c r="E38" s="600"/>
      <c r="F38" s="600"/>
      <c r="G38" s="600"/>
    </row>
    <row r="39" spans="1:7">
      <c r="A39" s="62"/>
      <c r="D39" s="600" t="s">
        <v>484</v>
      </c>
      <c r="E39" s="600"/>
      <c r="F39" s="600"/>
      <c r="G39" s="600"/>
    </row>
    <row r="40" spans="1:7">
      <c r="D40" s="600"/>
      <c r="E40" s="600"/>
      <c r="F40" s="600"/>
      <c r="G40" s="600"/>
    </row>
    <row r="41" spans="1:7">
      <c r="D41" s="600" t="s">
        <v>482</v>
      </c>
      <c r="E41" s="600"/>
      <c r="F41" s="600"/>
      <c r="G41" s="600"/>
    </row>
    <row r="42" spans="1:7">
      <c r="A42" s="62"/>
      <c r="D42" s="600" t="s">
        <v>485</v>
      </c>
      <c r="E42" s="600"/>
      <c r="F42" s="600"/>
      <c r="G42" s="600"/>
    </row>
    <row r="43" spans="1:7">
      <c r="A43" s="64"/>
    </row>
    <row r="44" spans="1:7">
      <c r="A44" s="64"/>
    </row>
    <row r="45" spans="1:7">
      <c r="A45" s="64" t="s">
        <v>480</v>
      </c>
    </row>
    <row r="50" spans="3:4">
      <c r="C50" s="75" t="s">
        <v>344</v>
      </c>
      <c r="D50" s="103"/>
    </row>
  </sheetData>
  <sheetProtection sheet="1" objects="1" scenarios="1"/>
  <mergeCells count="18">
    <mergeCell ref="D39:G39"/>
    <mergeCell ref="A30:G31"/>
    <mergeCell ref="D42:G42"/>
    <mergeCell ref="D37:G37"/>
    <mergeCell ref="D38:G38"/>
    <mergeCell ref="D40:G40"/>
    <mergeCell ref="D41:G41"/>
    <mergeCell ref="D35:G35"/>
    <mergeCell ref="D36:G36"/>
    <mergeCell ref="D33:G33"/>
    <mergeCell ref="A1:G1"/>
    <mergeCell ref="A3:G3"/>
    <mergeCell ref="A7:G8"/>
    <mergeCell ref="A18:G19"/>
    <mergeCell ref="A26:G28"/>
    <mergeCell ref="A12:G13"/>
    <mergeCell ref="A14:G16"/>
    <mergeCell ref="A21:G22"/>
  </mergeCells>
  <phoneticPr fontId="11" type="noConversion"/>
  <pageMargins left="0.75" right="0.75" top="1" bottom="1" header="0.5" footer="0.5"/>
  <pageSetup scale="88" orientation="portrait" blackAndWhite="1" r:id="rId1"/>
  <headerFooter alignWithMargins="0">
    <oddFooter>&amp;Lrevised 8/06/07</oddFooter>
  </headerFooter>
</worksheet>
</file>

<file path=xl/worksheets/sheet25.xml><?xml version="1.0" encoding="utf-8"?>
<worksheet xmlns="http://schemas.openxmlformats.org/spreadsheetml/2006/main" xmlns:r="http://schemas.openxmlformats.org/officeDocument/2006/relationships">
  <sheetPr>
    <tabColor rgb="FFFF0000"/>
  </sheetPr>
  <dimension ref="A3:A85"/>
  <sheetViews>
    <sheetView workbookViewId="0">
      <selection activeCell="A78" sqref="A78"/>
    </sheetView>
  </sheetViews>
  <sheetFormatPr defaultRowHeight="15.75"/>
  <cols>
    <col min="1" max="1" width="64.19921875" customWidth="1"/>
    <col min="2" max="16384" width="8.796875" style="182"/>
  </cols>
  <sheetData>
    <row r="3" spans="1:1">
      <c r="A3" s="469" t="s">
        <v>69</v>
      </c>
    </row>
    <row r="5" spans="1:1">
      <c r="A5" s="470" t="s">
        <v>70</v>
      </c>
    </row>
    <row r="6" spans="1:1">
      <c r="A6" s="470" t="str">
        <f ca="1">CONCATENATE(inputPrYr!D5-2," 'total expenditures' exceed your ",inputPrYr!D5-2," 'budget authority.'")</f>
        <v>2011 'total expenditures' exceed your 2011 'budget authority.'</v>
      </c>
    </row>
    <row r="7" spans="1:1">
      <c r="A7" s="470"/>
    </row>
    <row r="8" spans="1:1">
      <c r="A8" s="470" t="s">
        <v>71</v>
      </c>
    </row>
    <row r="9" spans="1:1">
      <c r="A9" s="470" t="s">
        <v>72</v>
      </c>
    </row>
    <row r="10" spans="1:1">
      <c r="A10" s="470" t="s">
        <v>73</v>
      </c>
    </row>
    <row r="11" spans="1:1">
      <c r="A11" s="470"/>
    </row>
    <row r="12" spans="1:1">
      <c r="A12" s="470"/>
    </row>
    <row r="13" spans="1:1">
      <c r="A13" s="471" t="s">
        <v>74</v>
      </c>
    </row>
    <row r="15" spans="1:1">
      <c r="A15" s="470" t="s">
        <v>75</v>
      </c>
    </row>
    <row r="16" spans="1:1">
      <c r="A16" s="470" t="str">
        <f ca="1">CONCATENATE("(i.e. an audit has not been completed, or the ",inputPrYr!D5," adopted")</f>
        <v>(i.e. an audit has not been completed, or the 2013 adopted</v>
      </c>
    </row>
    <row r="17" spans="1:1">
      <c r="A17" s="470" t="s">
        <v>76</v>
      </c>
    </row>
    <row r="18" spans="1:1">
      <c r="A18" s="470" t="s">
        <v>77</v>
      </c>
    </row>
    <row r="19" spans="1:1">
      <c r="A19" s="470" t="s">
        <v>78</v>
      </c>
    </row>
    <row r="21" spans="1:1">
      <c r="A21" s="471" t="s">
        <v>79</v>
      </c>
    </row>
    <row r="22" spans="1:1">
      <c r="A22" s="471"/>
    </row>
    <row r="23" spans="1:1">
      <c r="A23" s="470" t="s">
        <v>80</v>
      </c>
    </row>
    <row r="24" spans="1:1">
      <c r="A24" s="470" t="s">
        <v>81</v>
      </c>
    </row>
    <row r="25" spans="1:1">
      <c r="A25" s="470" t="str">
        <f ca="1">CONCATENATE("particular fund.  If your ",inputPrYr!D5-2," budget was amended, did you")</f>
        <v>particular fund.  If your 2011 budget was amended, did you</v>
      </c>
    </row>
    <row r="26" spans="1:1">
      <c r="A26" s="470" t="s">
        <v>82</v>
      </c>
    </row>
    <row r="27" spans="1:1">
      <c r="A27" s="470"/>
    </row>
    <row r="28" spans="1:1">
      <c r="A28" s="470" t="str">
        <f ca="1">CONCATENATE("Next, look to see if any of your ",inputPrYr!D5-2," expenditures can be")</f>
        <v>Next, look to see if any of your 2011 expenditures can be</v>
      </c>
    </row>
    <row r="29" spans="1:1">
      <c r="A29" s="470" t="s">
        <v>83</v>
      </c>
    </row>
    <row r="30" spans="1:1">
      <c r="A30" s="470" t="s">
        <v>84</v>
      </c>
    </row>
    <row r="31" spans="1:1">
      <c r="A31" s="470" t="s">
        <v>85</v>
      </c>
    </row>
    <row r="32" spans="1:1">
      <c r="A32" s="470"/>
    </row>
    <row r="33" spans="1:1">
      <c r="A33" s="470" t="str">
        <f ca="1">CONCATENATE("Additionally, do your ",inputPrYr!D5-2," receipts contain a reimbursement")</f>
        <v>Additionally, do your 2011 receipts contain a reimbursement</v>
      </c>
    </row>
    <row r="34" spans="1:1">
      <c r="A34" s="470" t="s">
        <v>86</v>
      </c>
    </row>
    <row r="35" spans="1:1">
      <c r="A35" s="470" t="s">
        <v>87</v>
      </c>
    </row>
    <row r="36" spans="1:1">
      <c r="A36" s="470"/>
    </row>
    <row r="37" spans="1:1">
      <c r="A37" s="470" t="s">
        <v>88</v>
      </c>
    </row>
    <row r="38" spans="1:1">
      <c r="A38" s="470" t="s">
        <v>89</v>
      </c>
    </row>
    <row r="39" spans="1:1">
      <c r="A39" s="470" t="s">
        <v>90</v>
      </c>
    </row>
    <row r="40" spans="1:1">
      <c r="A40" s="470" t="s">
        <v>91</v>
      </c>
    </row>
    <row r="41" spans="1:1">
      <c r="A41" s="470" t="s">
        <v>92</v>
      </c>
    </row>
    <row r="42" spans="1:1">
      <c r="A42" s="470" t="s">
        <v>93</v>
      </c>
    </row>
    <row r="43" spans="1:1">
      <c r="A43" s="470" t="s">
        <v>94</v>
      </c>
    </row>
    <row r="44" spans="1:1">
      <c r="A44" s="470" t="s">
        <v>95</v>
      </c>
    </row>
    <row r="45" spans="1:1">
      <c r="A45" s="470"/>
    </row>
    <row r="46" spans="1:1">
      <c r="A46" s="470" t="s">
        <v>96</v>
      </c>
    </row>
    <row r="47" spans="1:1">
      <c r="A47" s="470" t="s">
        <v>97</v>
      </c>
    </row>
    <row r="48" spans="1:1">
      <c r="A48" s="470" t="s">
        <v>98</v>
      </c>
    </row>
    <row r="49" spans="1:1">
      <c r="A49" s="470"/>
    </row>
    <row r="50" spans="1:1">
      <c r="A50" s="470" t="s">
        <v>99</v>
      </c>
    </row>
    <row r="51" spans="1:1">
      <c r="A51" s="470" t="s">
        <v>100</v>
      </c>
    </row>
    <row r="52" spans="1:1">
      <c r="A52" s="470" t="s">
        <v>101</v>
      </c>
    </row>
    <row r="53" spans="1:1">
      <c r="A53" s="470"/>
    </row>
    <row r="54" spans="1:1">
      <c r="A54" s="471" t="s">
        <v>102</v>
      </c>
    </row>
    <row r="55" spans="1:1">
      <c r="A55" s="470"/>
    </row>
    <row r="56" spans="1:1">
      <c r="A56" s="470" t="s">
        <v>103</v>
      </c>
    </row>
    <row r="57" spans="1:1">
      <c r="A57" s="470" t="s">
        <v>104</v>
      </c>
    </row>
    <row r="58" spans="1:1">
      <c r="A58" s="470" t="s">
        <v>105</v>
      </c>
    </row>
    <row r="59" spans="1:1">
      <c r="A59" s="470" t="s">
        <v>106</v>
      </c>
    </row>
    <row r="60" spans="1:1">
      <c r="A60" s="470" t="s">
        <v>107</v>
      </c>
    </row>
    <row r="61" spans="1:1">
      <c r="A61" s="470" t="s">
        <v>108</v>
      </c>
    </row>
    <row r="62" spans="1:1">
      <c r="A62" s="470" t="s">
        <v>109</v>
      </c>
    </row>
    <row r="63" spans="1:1">
      <c r="A63" s="470" t="s">
        <v>110</v>
      </c>
    </row>
    <row r="64" spans="1:1">
      <c r="A64" s="470" t="s">
        <v>111</v>
      </c>
    </row>
    <row r="65" spans="1:1">
      <c r="A65" s="470" t="s">
        <v>112</v>
      </c>
    </row>
    <row r="66" spans="1:1">
      <c r="A66" s="470" t="s">
        <v>113</v>
      </c>
    </row>
    <row r="67" spans="1:1">
      <c r="A67" s="470" t="s">
        <v>114</v>
      </c>
    </row>
    <row r="68" spans="1:1">
      <c r="A68" s="470" t="s">
        <v>115</v>
      </c>
    </row>
    <row r="69" spans="1:1">
      <c r="A69" s="470"/>
    </row>
    <row r="70" spans="1:1">
      <c r="A70" s="470" t="s">
        <v>116</v>
      </c>
    </row>
    <row r="71" spans="1:1">
      <c r="A71" s="470" t="s">
        <v>117</v>
      </c>
    </row>
    <row r="72" spans="1:1">
      <c r="A72" s="470" t="s">
        <v>118</v>
      </c>
    </row>
    <row r="73" spans="1:1">
      <c r="A73" s="470"/>
    </row>
    <row r="74" spans="1:1">
      <c r="A74" s="471" t="str">
        <f ca="1">CONCATENATE("What if the ",inputPrYr!D5-2," financial records have been closed?")</f>
        <v>What if the 2011 financial records have been closed?</v>
      </c>
    </row>
    <row r="76" spans="1:1">
      <c r="A76" s="470" t="s">
        <v>119</v>
      </c>
    </row>
    <row r="77" spans="1:1">
      <c r="A77" s="470" t="str">
        <f ca="1">CONCATENATE("(i.e. an audit for ",inputPrYr!D5-2," has been completed, or the ",inputPrYr!D5)</f>
        <v>(i.e. an audit for 2011 has been completed, or the 2013</v>
      </c>
    </row>
    <row r="78" spans="1:1">
      <c r="A78" s="470" t="s">
        <v>120</v>
      </c>
    </row>
    <row r="79" spans="1:1">
      <c r="A79" s="470" t="s">
        <v>121</v>
      </c>
    </row>
    <row r="80" spans="1:1">
      <c r="A80" s="470"/>
    </row>
    <row r="81" spans="1:1">
      <c r="A81" s="470" t="s">
        <v>122</v>
      </c>
    </row>
    <row r="82" spans="1:1">
      <c r="A82" s="470" t="s">
        <v>123</v>
      </c>
    </row>
    <row r="83" spans="1:1">
      <c r="A83" s="470" t="s">
        <v>124</v>
      </c>
    </row>
    <row r="84" spans="1:1">
      <c r="A84" s="470"/>
    </row>
    <row r="85" spans="1:1">
      <c r="A85" s="470" t="s">
        <v>125</v>
      </c>
    </row>
  </sheetData>
  <sheetProtection sheet="1"/>
  <phoneticPr fontId="0" type="noConversion"/>
  <pageMargins left="0.7" right="0.7" top="0.75" bottom="0.75" header="0.3" footer="0.3"/>
  <pageSetup orientation="portrait" r:id="rId1"/>
  <headerFooter>
    <oddFooter>&amp;Lrevised 8/25/09</oddFooter>
  </headerFooter>
</worksheet>
</file>

<file path=xl/worksheets/sheet26.xml><?xml version="1.0" encoding="utf-8"?>
<worksheet xmlns="http://schemas.openxmlformats.org/spreadsheetml/2006/main" xmlns:r="http://schemas.openxmlformats.org/officeDocument/2006/relationships">
  <sheetPr>
    <tabColor rgb="FFFF0000"/>
  </sheetPr>
  <dimension ref="A3:J109"/>
  <sheetViews>
    <sheetView workbookViewId="0">
      <selection activeCell="A35" sqref="A35"/>
    </sheetView>
  </sheetViews>
  <sheetFormatPr defaultRowHeight="15.75"/>
  <cols>
    <col min="1" max="1" width="64.19921875" customWidth="1"/>
  </cols>
  <sheetData>
    <row r="3" spans="1:10">
      <c r="A3" s="469" t="s">
        <v>126</v>
      </c>
      <c r="B3" s="469"/>
      <c r="C3" s="469"/>
      <c r="D3" s="469"/>
      <c r="E3" s="469"/>
      <c r="F3" s="469"/>
      <c r="G3" s="469"/>
      <c r="H3" s="472"/>
      <c r="I3" s="472"/>
      <c r="J3" s="472"/>
    </row>
    <row r="5" spans="1:10">
      <c r="A5" s="470" t="s">
        <v>127</v>
      </c>
    </row>
    <row r="6" spans="1:10">
      <c r="A6" t="str">
        <f ca="1">CONCATENATE(inputPrYr!D5-2," expenditures show that you finished the year with a ")</f>
        <v xml:space="preserve">2011 expenditures show that you finished the year with a </v>
      </c>
    </row>
    <row r="7" spans="1:10">
      <c r="A7" t="s">
        <v>128</v>
      </c>
    </row>
    <row r="9" spans="1:10">
      <c r="A9" t="s">
        <v>129</v>
      </c>
    </row>
    <row r="10" spans="1:10">
      <c r="A10" t="s">
        <v>130</v>
      </c>
    </row>
    <row r="11" spans="1:10">
      <c r="A11" t="s">
        <v>131</v>
      </c>
    </row>
    <row r="13" spans="1:10">
      <c r="A13" s="471" t="s">
        <v>132</v>
      </c>
    </row>
    <row r="14" spans="1:10">
      <c r="A14" s="471"/>
    </row>
    <row r="15" spans="1:10">
      <c r="A15" s="470" t="s">
        <v>133</v>
      </c>
    </row>
    <row r="16" spans="1:10">
      <c r="A16" s="470" t="s">
        <v>134</v>
      </c>
    </row>
    <row r="17" spans="1:1">
      <c r="A17" s="470" t="s">
        <v>135</v>
      </c>
    </row>
    <row r="18" spans="1:1">
      <c r="A18" s="470"/>
    </row>
    <row r="19" spans="1:1">
      <c r="A19" s="471" t="s">
        <v>136</v>
      </c>
    </row>
    <row r="20" spans="1:1">
      <c r="A20" s="471"/>
    </row>
    <row r="21" spans="1:1">
      <c r="A21" s="470" t="s">
        <v>137</v>
      </c>
    </row>
    <row r="22" spans="1:1">
      <c r="A22" s="470" t="s">
        <v>138</v>
      </c>
    </row>
    <row r="23" spans="1:1">
      <c r="A23" s="470" t="s">
        <v>139</v>
      </c>
    </row>
    <row r="24" spans="1:1">
      <c r="A24" s="470"/>
    </row>
    <row r="25" spans="1:1">
      <c r="A25" s="471" t="s">
        <v>140</v>
      </c>
    </row>
    <row r="26" spans="1:1">
      <c r="A26" s="471"/>
    </row>
    <row r="27" spans="1:1">
      <c r="A27" s="470" t="s">
        <v>141</v>
      </c>
    </row>
    <row r="28" spans="1:1">
      <c r="A28" s="470" t="s">
        <v>142</v>
      </c>
    </row>
    <row r="29" spans="1:1">
      <c r="A29" s="470" t="s">
        <v>143</v>
      </c>
    </row>
    <row r="30" spans="1:1">
      <c r="A30" s="470"/>
    </row>
    <row r="31" spans="1:1">
      <c r="A31" s="471" t="s">
        <v>144</v>
      </c>
    </row>
    <row r="32" spans="1:1">
      <c r="A32" s="471"/>
    </row>
    <row r="33" spans="1:8">
      <c r="A33" s="470" t="str">
        <f ca="1">CONCATENATE("If your financial records for ",inputPrYr!D5-2," are not closed")</f>
        <v>If your financial records for 2011 are not closed</v>
      </c>
      <c r="B33" s="470"/>
      <c r="C33" s="470"/>
      <c r="D33" s="470"/>
      <c r="E33" s="470"/>
      <c r="F33" s="470"/>
      <c r="G33" s="470"/>
      <c r="H33" s="470"/>
    </row>
    <row r="34" spans="1:8">
      <c r="A34" s="470" t="str">
        <f ca="1">CONCATENATE("(i.e. an audit has not been completed, or the ",inputPrYr!D5," adopted ")</f>
        <v xml:space="preserve">(i.e. an audit has not been completed, or the 2013 adopted </v>
      </c>
      <c r="B34" s="470"/>
      <c r="C34" s="470"/>
      <c r="D34" s="470"/>
      <c r="E34" s="470"/>
      <c r="F34" s="470"/>
      <c r="G34" s="470"/>
      <c r="H34" s="470"/>
    </row>
    <row r="35" spans="1:8">
      <c r="A35" s="470" t="s">
        <v>145</v>
      </c>
      <c r="B35" s="470"/>
      <c r="C35" s="470"/>
      <c r="D35" s="470"/>
      <c r="E35" s="470"/>
      <c r="F35" s="470"/>
      <c r="G35" s="470"/>
      <c r="H35" s="470"/>
    </row>
    <row r="36" spans="1:8">
      <c r="A36" s="470" t="s">
        <v>146</v>
      </c>
      <c r="B36" s="470"/>
      <c r="C36" s="470"/>
      <c r="D36" s="470"/>
      <c r="E36" s="470"/>
      <c r="F36" s="470"/>
      <c r="G36" s="470"/>
      <c r="H36" s="470"/>
    </row>
    <row r="37" spans="1:8">
      <c r="A37" s="470" t="s">
        <v>147</v>
      </c>
      <c r="B37" s="470"/>
      <c r="C37" s="470"/>
      <c r="D37" s="470"/>
      <c r="E37" s="470"/>
      <c r="F37" s="470"/>
      <c r="G37" s="470"/>
      <c r="H37" s="470"/>
    </row>
    <row r="38" spans="1:8">
      <c r="A38" s="470" t="s">
        <v>148</v>
      </c>
      <c r="B38" s="470"/>
      <c r="C38" s="470"/>
      <c r="D38" s="470"/>
      <c r="E38" s="470"/>
      <c r="F38" s="470"/>
      <c r="G38" s="470"/>
      <c r="H38" s="470"/>
    </row>
    <row r="39" spans="1:8">
      <c r="A39" s="470" t="s">
        <v>149</v>
      </c>
      <c r="B39" s="470"/>
      <c r="C39" s="470"/>
      <c r="D39" s="470"/>
      <c r="E39" s="470"/>
      <c r="F39" s="470"/>
      <c r="G39" s="470"/>
      <c r="H39" s="470"/>
    </row>
    <row r="40" spans="1:8">
      <c r="A40" s="470"/>
      <c r="B40" s="470"/>
      <c r="C40" s="470"/>
      <c r="D40" s="470"/>
      <c r="E40" s="470"/>
      <c r="F40" s="470"/>
      <c r="G40" s="470"/>
      <c r="H40" s="470"/>
    </row>
    <row r="41" spans="1:8">
      <c r="A41" s="470" t="s">
        <v>150</v>
      </c>
      <c r="B41" s="470"/>
      <c r="C41" s="470"/>
      <c r="D41" s="470"/>
      <c r="E41" s="470"/>
      <c r="F41" s="470"/>
      <c r="G41" s="470"/>
      <c r="H41" s="470"/>
    </row>
    <row r="42" spans="1:8">
      <c r="A42" s="470" t="s">
        <v>151</v>
      </c>
      <c r="B42" s="470"/>
      <c r="C42" s="470"/>
      <c r="D42" s="470"/>
      <c r="E42" s="470"/>
      <c r="F42" s="470"/>
      <c r="G42" s="470"/>
      <c r="H42" s="470"/>
    </row>
    <row r="43" spans="1:8">
      <c r="A43" s="470" t="s">
        <v>152</v>
      </c>
      <c r="B43" s="470"/>
      <c r="C43" s="470"/>
      <c r="D43" s="470"/>
      <c r="E43" s="470"/>
      <c r="F43" s="470"/>
      <c r="G43" s="470"/>
      <c r="H43" s="470"/>
    </row>
    <row r="44" spans="1:8">
      <c r="A44" s="470" t="s">
        <v>153</v>
      </c>
      <c r="B44" s="470"/>
      <c r="C44" s="470"/>
      <c r="D44" s="470"/>
      <c r="E44" s="470"/>
      <c r="F44" s="470"/>
      <c r="G44" s="470"/>
      <c r="H44" s="470"/>
    </row>
    <row r="45" spans="1:8">
      <c r="A45" s="470"/>
      <c r="B45" s="470"/>
      <c r="C45" s="470"/>
      <c r="D45" s="470"/>
      <c r="E45" s="470"/>
      <c r="F45" s="470"/>
      <c r="G45" s="470"/>
      <c r="H45" s="470"/>
    </row>
    <row r="46" spans="1:8">
      <c r="A46" s="470" t="s">
        <v>154</v>
      </c>
      <c r="B46" s="470"/>
      <c r="C46" s="470"/>
      <c r="D46" s="470"/>
      <c r="E46" s="470"/>
      <c r="F46" s="470"/>
      <c r="G46" s="470"/>
      <c r="H46" s="470"/>
    </row>
    <row r="47" spans="1:8">
      <c r="A47" s="470" t="s">
        <v>155</v>
      </c>
      <c r="B47" s="470"/>
      <c r="C47" s="470"/>
      <c r="D47" s="470"/>
      <c r="E47" s="470"/>
      <c r="F47" s="470"/>
      <c r="G47" s="470"/>
      <c r="H47" s="470"/>
    </row>
    <row r="48" spans="1:8">
      <c r="A48" s="470" t="s">
        <v>156</v>
      </c>
      <c r="B48" s="470"/>
      <c r="C48" s="470"/>
      <c r="D48" s="470"/>
      <c r="E48" s="470"/>
      <c r="F48" s="470"/>
      <c r="G48" s="470"/>
      <c r="H48" s="470"/>
    </row>
    <row r="49" spans="1:8">
      <c r="A49" s="470" t="s">
        <v>157</v>
      </c>
      <c r="B49" s="470"/>
      <c r="C49" s="470"/>
      <c r="D49" s="470"/>
      <c r="E49" s="470"/>
      <c r="F49" s="470"/>
      <c r="G49" s="470"/>
      <c r="H49" s="470"/>
    </row>
    <row r="50" spans="1:8">
      <c r="A50" s="470" t="s">
        <v>158</v>
      </c>
      <c r="B50" s="470"/>
      <c r="C50" s="470"/>
      <c r="D50" s="470"/>
      <c r="E50" s="470"/>
      <c r="F50" s="470"/>
      <c r="G50" s="470"/>
      <c r="H50" s="470"/>
    </row>
    <row r="51" spans="1:8">
      <c r="A51" s="470"/>
      <c r="B51" s="470"/>
      <c r="C51" s="470"/>
      <c r="D51" s="470"/>
      <c r="E51" s="470"/>
      <c r="F51" s="470"/>
      <c r="G51" s="470"/>
      <c r="H51" s="470"/>
    </row>
    <row r="52" spans="1:8">
      <c r="A52" s="471" t="s">
        <v>159</v>
      </c>
      <c r="B52" s="471"/>
      <c r="C52" s="471"/>
      <c r="D52" s="471"/>
      <c r="E52" s="471"/>
      <c r="F52" s="471"/>
      <c r="G52" s="471"/>
      <c r="H52" s="470"/>
    </row>
    <row r="53" spans="1:8">
      <c r="A53" s="471" t="s">
        <v>160</v>
      </c>
      <c r="B53" s="471"/>
      <c r="C53" s="471"/>
      <c r="D53" s="471"/>
      <c r="E53" s="471"/>
      <c r="F53" s="471"/>
      <c r="G53" s="471"/>
      <c r="H53" s="470"/>
    </row>
    <row r="54" spans="1:8">
      <c r="A54" s="470"/>
      <c r="B54" s="470"/>
      <c r="C54" s="470"/>
      <c r="D54" s="470"/>
      <c r="E54" s="470"/>
      <c r="F54" s="470"/>
      <c r="G54" s="470"/>
      <c r="H54" s="470"/>
    </row>
    <row r="55" spans="1:8">
      <c r="A55" s="470" t="s">
        <v>161</v>
      </c>
      <c r="B55" s="470"/>
      <c r="C55" s="470"/>
      <c r="D55" s="470"/>
      <c r="E55" s="470"/>
      <c r="F55" s="470"/>
      <c r="G55" s="470"/>
      <c r="H55" s="470"/>
    </row>
    <row r="56" spans="1:8">
      <c r="A56" s="470" t="s">
        <v>162</v>
      </c>
      <c r="B56" s="470"/>
      <c r="C56" s="470"/>
      <c r="D56" s="470"/>
      <c r="E56" s="470"/>
      <c r="F56" s="470"/>
      <c r="G56" s="470"/>
      <c r="H56" s="470"/>
    </row>
    <row r="57" spans="1:8">
      <c r="A57" s="470" t="s">
        <v>163</v>
      </c>
      <c r="B57" s="470"/>
      <c r="C57" s="470"/>
      <c r="D57" s="470"/>
      <c r="E57" s="470"/>
      <c r="F57" s="470"/>
      <c r="G57" s="470"/>
      <c r="H57" s="470"/>
    </row>
    <row r="58" spans="1:8">
      <c r="A58" s="470" t="s">
        <v>164</v>
      </c>
      <c r="B58" s="470"/>
      <c r="C58" s="470"/>
      <c r="D58" s="470"/>
      <c r="E58" s="470"/>
      <c r="F58" s="470"/>
      <c r="G58" s="470"/>
      <c r="H58" s="470"/>
    </row>
    <row r="59" spans="1:8">
      <c r="A59" s="470"/>
      <c r="B59" s="470"/>
      <c r="C59" s="470"/>
      <c r="D59" s="470"/>
      <c r="E59" s="470"/>
      <c r="F59" s="470"/>
      <c r="G59" s="470"/>
      <c r="H59" s="470"/>
    </row>
    <row r="60" spans="1:8">
      <c r="A60" s="470" t="s">
        <v>165</v>
      </c>
      <c r="B60" s="470"/>
      <c r="C60" s="470"/>
      <c r="D60" s="470"/>
      <c r="E60" s="470"/>
      <c r="F60" s="470"/>
      <c r="G60" s="470"/>
      <c r="H60" s="470"/>
    </row>
    <row r="61" spans="1:8">
      <c r="A61" s="470" t="s">
        <v>166</v>
      </c>
      <c r="B61" s="470"/>
      <c r="C61" s="470"/>
      <c r="D61" s="470"/>
      <c r="E61" s="470"/>
      <c r="F61" s="470"/>
      <c r="G61" s="470"/>
      <c r="H61" s="470"/>
    </row>
    <row r="62" spans="1:8">
      <c r="A62" s="470" t="s">
        <v>167</v>
      </c>
      <c r="B62" s="470"/>
      <c r="C62" s="470"/>
      <c r="D62" s="470"/>
      <c r="E62" s="470"/>
      <c r="F62" s="470"/>
      <c r="G62" s="470"/>
      <c r="H62" s="470"/>
    </row>
    <row r="63" spans="1:8">
      <c r="A63" s="470" t="s">
        <v>168</v>
      </c>
      <c r="B63" s="470"/>
      <c r="C63" s="470"/>
      <c r="D63" s="470"/>
      <c r="E63" s="470"/>
      <c r="F63" s="470"/>
      <c r="G63" s="470"/>
      <c r="H63" s="470"/>
    </row>
    <row r="64" spans="1:8">
      <c r="A64" s="470" t="s">
        <v>169</v>
      </c>
      <c r="B64" s="470"/>
      <c r="C64" s="470"/>
      <c r="D64" s="470"/>
      <c r="E64" s="470"/>
      <c r="F64" s="470"/>
      <c r="G64" s="470"/>
      <c r="H64" s="470"/>
    </row>
    <row r="65" spans="1:8">
      <c r="A65" s="470" t="s">
        <v>170</v>
      </c>
      <c r="B65" s="470"/>
      <c r="C65" s="470"/>
      <c r="D65" s="470"/>
      <c r="E65" s="470"/>
      <c r="F65" s="470"/>
      <c r="G65" s="470"/>
      <c r="H65" s="470"/>
    </row>
    <row r="66" spans="1:8">
      <c r="A66" s="470"/>
      <c r="B66" s="470"/>
      <c r="C66" s="470"/>
      <c r="D66" s="470"/>
      <c r="E66" s="470"/>
      <c r="F66" s="470"/>
      <c r="G66" s="470"/>
      <c r="H66" s="470"/>
    </row>
    <row r="67" spans="1:8">
      <c r="A67" s="470" t="s">
        <v>171</v>
      </c>
      <c r="B67" s="470"/>
      <c r="C67" s="470"/>
      <c r="D67" s="470"/>
      <c r="E67" s="470"/>
      <c r="F67" s="470"/>
      <c r="G67" s="470"/>
      <c r="H67" s="470"/>
    </row>
    <row r="68" spans="1:8">
      <c r="A68" s="470" t="s">
        <v>172</v>
      </c>
      <c r="B68" s="470"/>
      <c r="C68" s="470"/>
      <c r="D68" s="470"/>
      <c r="E68" s="470"/>
      <c r="F68" s="470"/>
      <c r="G68" s="470"/>
      <c r="H68" s="470"/>
    </row>
    <row r="69" spans="1:8">
      <c r="A69" s="470" t="s">
        <v>173</v>
      </c>
      <c r="B69" s="470"/>
      <c r="C69" s="470"/>
      <c r="D69" s="470"/>
      <c r="E69" s="470"/>
      <c r="F69" s="470"/>
      <c r="G69" s="470"/>
      <c r="H69" s="470"/>
    </row>
    <row r="70" spans="1:8">
      <c r="A70" s="470" t="s">
        <v>174</v>
      </c>
      <c r="B70" s="470"/>
      <c r="C70" s="470"/>
      <c r="D70" s="470"/>
      <c r="E70" s="470"/>
      <c r="F70" s="470"/>
      <c r="G70" s="470"/>
      <c r="H70" s="470"/>
    </row>
    <row r="71" spans="1:8">
      <c r="A71" s="470" t="s">
        <v>175</v>
      </c>
      <c r="B71" s="470"/>
      <c r="C71" s="470"/>
      <c r="D71" s="470"/>
      <c r="E71" s="470"/>
      <c r="F71" s="470"/>
      <c r="G71" s="470"/>
      <c r="H71" s="470"/>
    </row>
    <row r="72" spans="1:8">
      <c r="A72" s="470" t="s">
        <v>176</v>
      </c>
      <c r="B72" s="470"/>
      <c r="C72" s="470"/>
      <c r="D72" s="470"/>
      <c r="E72" s="470"/>
      <c r="F72" s="470"/>
      <c r="G72" s="470"/>
      <c r="H72" s="470"/>
    </row>
    <row r="73" spans="1:8">
      <c r="A73" s="470" t="s">
        <v>177</v>
      </c>
      <c r="B73" s="470"/>
      <c r="C73" s="470"/>
      <c r="D73" s="470"/>
      <c r="E73" s="470"/>
      <c r="F73" s="470"/>
      <c r="G73" s="470"/>
      <c r="H73" s="470"/>
    </row>
    <row r="74" spans="1:8">
      <c r="A74" s="470"/>
      <c r="B74" s="470"/>
      <c r="C74" s="470"/>
      <c r="D74" s="470"/>
      <c r="E74" s="470"/>
      <c r="F74" s="470"/>
      <c r="G74" s="470"/>
      <c r="H74" s="470"/>
    </row>
    <row r="75" spans="1:8">
      <c r="A75" s="470" t="s">
        <v>178</v>
      </c>
      <c r="B75" s="470"/>
      <c r="C75" s="470"/>
      <c r="D75" s="470"/>
      <c r="E75" s="470"/>
      <c r="F75" s="470"/>
      <c r="G75" s="470"/>
      <c r="H75" s="470"/>
    </row>
    <row r="76" spans="1:8">
      <c r="A76" s="470" t="s">
        <v>179</v>
      </c>
      <c r="B76" s="470"/>
      <c r="C76" s="470"/>
      <c r="D76" s="470"/>
      <c r="E76" s="470"/>
      <c r="F76" s="470"/>
      <c r="G76" s="470"/>
      <c r="H76" s="470"/>
    </row>
    <row r="77" spans="1:8">
      <c r="A77" s="470" t="s">
        <v>180</v>
      </c>
      <c r="B77" s="470"/>
      <c r="C77" s="470"/>
      <c r="D77" s="470"/>
      <c r="E77" s="470"/>
      <c r="F77" s="470"/>
      <c r="G77" s="470"/>
      <c r="H77" s="470"/>
    </row>
    <row r="78" spans="1:8">
      <c r="A78" s="470"/>
      <c r="B78" s="470"/>
      <c r="C78" s="470"/>
      <c r="D78" s="470"/>
      <c r="E78" s="470"/>
      <c r="F78" s="470"/>
      <c r="G78" s="470"/>
      <c r="H78" s="470"/>
    </row>
    <row r="79" spans="1:8">
      <c r="A79" s="470" t="s">
        <v>125</v>
      </c>
    </row>
    <row r="80" spans="1:8">
      <c r="A80" s="471"/>
    </row>
    <row r="81" spans="1:1">
      <c r="A81" s="470"/>
    </row>
    <row r="82" spans="1:1">
      <c r="A82" s="470"/>
    </row>
    <row r="83" spans="1:1">
      <c r="A83" s="470"/>
    </row>
    <row r="84" spans="1:1">
      <c r="A84" s="470"/>
    </row>
    <row r="85" spans="1:1">
      <c r="A85" s="470"/>
    </row>
    <row r="86" spans="1:1">
      <c r="A86" s="470"/>
    </row>
    <row r="87" spans="1:1">
      <c r="A87" s="470"/>
    </row>
    <row r="88" spans="1:1">
      <c r="A88" s="470"/>
    </row>
    <row r="89" spans="1:1">
      <c r="A89" s="470"/>
    </row>
    <row r="90" spans="1:1">
      <c r="A90" s="470"/>
    </row>
    <row r="91" spans="1:1">
      <c r="A91" s="470"/>
    </row>
    <row r="92" spans="1:1">
      <c r="A92" s="470"/>
    </row>
    <row r="93" spans="1:1">
      <c r="A93" s="470"/>
    </row>
    <row r="94" spans="1:1">
      <c r="A94" s="470"/>
    </row>
    <row r="95" spans="1:1">
      <c r="A95" s="470"/>
    </row>
    <row r="96" spans="1:1">
      <c r="A96" s="470"/>
    </row>
    <row r="97" spans="1:1">
      <c r="A97" s="470"/>
    </row>
    <row r="98" spans="1:1">
      <c r="A98" s="470"/>
    </row>
    <row r="99" spans="1:1">
      <c r="A99" s="470"/>
    </row>
    <row r="100" spans="1:1">
      <c r="A100" s="470"/>
    </row>
    <row r="101" spans="1:1">
      <c r="A101" s="470"/>
    </row>
    <row r="103" spans="1:1">
      <c r="A103" s="470"/>
    </row>
    <row r="104" spans="1:1">
      <c r="A104" s="470"/>
    </row>
    <row r="105" spans="1:1">
      <c r="A105" s="470"/>
    </row>
    <row r="107" spans="1:1">
      <c r="A107" s="471"/>
    </row>
    <row r="108" spans="1:1">
      <c r="A108" s="471"/>
    </row>
    <row r="109" spans="1:1">
      <c r="A109" s="471"/>
    </row>
  </sheetData>
  <sheetProtection sheet="1"/>
  <phoneticPr fontId="0" type="noConversion"/>
  <pageMargins left="0.7" right="0.7" top="0.75" bottom="0.75" header="0.3" footer="0.3"/>
  <pageSetup orientation="portrait" r:id="rId1"/>
  <headerFooter>
    <oddFooter>&amp;Lrevised 8/25/09</oddFooter>
  </headerFooter>
</worksheet>
</file>

<file path=xl/worksheets/sheet27.xml><?xml version="1.0" encoding="utf-8"?>
<worksheet xmlns="http://schemas.openxmlformats.org/spreadsheetml/2006/main" xmlns:r="http://schemas.openxmlformats.org/officeDocument/2006/relationships">
  <sheetPr>
    <tabColor rgb="FFFF0000"/>
  </sheetPr>
  <dimension ref="A3:L75"/>
  <sheetViews>
    <sheetView workbookViewId="0">
      <selection activeCell="A39" sqref="A39"/>
    </sheetView>
  </sheetViews>
  <sheetFormatPr defaultRowHeight="15.75"/>
  <cols>
    <col min="1" max="1" width="64.19921875" customWidth="1"/>
  </cols>
  <sheetData>
    <row r="3" spans="1:12">
      <c r="A3" s="469" t="s">
        <v>181</v>
      </c>
      <c r="B3" s="469"/>
      <c r="C3" s="469"/>
      <c r="D3" s="469"/>
      <c r="E3" s="469"/>
      <c r="F3" s="469"/>
      <c r="G3" s="469"/>
      <c r="H3" s="469"/>
      <c r="I3" s="469"/>
      <c r="J3" s="469"/>
      <c r="K3" s="469"/>
      <c r="L3" s="469"/>
    </row>
    <row r="4" spans="1:12">
      <c r="A4" s="469"/>
      <c r="B4" s="469"/>
      <c r="C4" s="469"/>
      <c r="D4" s="469"/>
      <c r="E4" s="469"/>
      <c r="F4" s="469"/>
      <c r="G4" s="469"/>
      <c r="H4" s="469"/>
      <c r="I4" s="469"/>
      <c r="J4" s="469"/>
      <c r="K4" s="469"/>
      <c r="L4" s="469"/>
    </row>
    <row r="5" spans="1:12">
      <c r="A5" s="470" t="s">
        <v>70</v>
      </c>
      <c r="I5" s="469"/>
      <c r="J5" s="469"/>
      <c r="K5" s="469"/>
      <c r="L5" s="469"/>
    </row>
    <row r="6" spans="1:12">
      <c r="A6" s="470" t="str">
        <f ca="1">CONCATENATE("estimated ",inputPrYr!D5-1," 'total expenditures' exceed your ",inputPrYr!D5-1,"")</f>
        <v>estimated 2012 'total expenditures' exceed your 2012</v>
      </c>
      <c r="I6" s="469"/>
      <c r="J6" s="469"/>
      <c r="K6" s="469"/>
      <c r="L6" s="469"/>
    </row>
    <row r="7" spans="1:12">
      <c r="A7" s="473" t="s">
        <v>182</v>
      </c>
      <c r="I7" s="469"/>
      <c r="J7" s="469"/>
      <c r="K7" s="469"/>
      <c r="L7" s="469"/>
    </row>
    <row r="8" spans="1:12">
      <c r="A8" s="470"/>
      <c r="I8" s="469"/>
      <c r="J8" s="469"/>
      <c r="K8" s="469"/>
      <c r="L8" s="469"/>
    </row>
    <row r="9" spans="1:12">
      <c r="A9" s="470" t="s">
        <v>183</v>
      </c>
      <c r="I9" s="469"/>
      <c r="J9" s="469"/>
      <c r="K9" s="469"/>
      <c r="L9" s="469"/>
    </row>
    <row r="10" spans="1:12">
      <c r="A10" s="470" t="s">
        <v>184</v>
      </c>
      <c r="I10" s="469"/>
      <c r="J10" s="469"/>
      <c r="K10" s="469"/>
      <c r="L10" s="469"/>
    </row>
    <row r="11" spans="1:12">
      <c r="A11" s="470" t="s">
        <v>185</v>
      </c>
      <c r="I11" s="469"/>
      <c r="J11" s="469"/>
      <c r="K11" s="469"/>
      <c r="L11" s="469"/>
    </row>
    <row r="12" spans="1:12">
      <c r="A12" s="470" t="s">
        <v>186</v>
      </c>
      <c r="I12" s="469"/>
      <c r="J12" s="469"/>
      <c r="K12" s="469"/>
      <c r="L12" s="469"/>
    </row>
    <row r="13" spans="1:12">
      <c r="A13" s="470" t="s">
        <v>187</v>
      </c>
      <c r="I13" s="469"/>
      <c r="J13" s="469"/>
      <c r="K13" s="469"/>
      <c r="L13" s="469"/>
    </row>
    <row r="14" spans="1:12">
      <c r="A14" s="469"/>
      <c r="B14" s="469"/>
      <c r="C14" s="469"/>
      <c r="D14" s="469"/>
      <c r="E14" s="469"/>
      <c r="F14" s="469"/>
      <c r="G14" s="469"/>
      <c r="H14" s="469"/>
      <c r="I14" s="469"/>
      <c r="J14" s="469"/>
      <c r="K14" s="469"/>
      <c r="L14" s="469"/>
    </row>
    <row r="15" spans="1:12">
      <c r="A15" s="471" t="s">
        <v>188</v>
      </c>
    </row>
    <row r="16" spans="1:12">
      <c r="A16" s="471" t="s">
        <v>189</v>
      </c>
    </row>
    <row r="17" spans="1:7">
      <c r="A17" s="471"/>
    </row>
    <row r="18" spans="1:7">
      <c r="A18" s="470" t="s">
        <v>190</v>
      </c>
      <c r="B18" s="470"/>
      <c r="C18" s="470"/>
      <c r="D18" s="470"/>
      <c r="E18" s="470"/>
      <c r="F18" s="470"/>
      <c r="G18" s="470"/>
    </row>
    <row r="19" spans="1:7">
      <c r="A19" s="470" t="str">
        <f ca="1">CONCATENATE("your ",inputPrYr!D5-1," numbers to see what steps might be necessary to")</f>
        <v>your 2012 numbers to see what steps might be necessary to</v>
      </c>
      <c r="B19" s="470"/>
      <c r="C19" s="470"/>
      <c r="D19" s="470"/>
      <c r="E19" s="470"/>
      <c r="F19" s="470"/>
      <c r="G19" s="470"/>
    </row>
    <row r="20" spans="1:7">
      <c r="A20" s="470" t="s">
        <v>191</v>
      </c>
      <c r="B20" s="470"/>
      <c r="C20" s="470"/>
      <c r="D20" s="470"/>
      <c r="E20" s="470"/>
      <c r="F20" s="470"/>
      <c r="G20" s="470"/>
    </row>
    <row r="21" spans="1:7">
      <c r="A21" s="470" t="s">
        <v>192</v>
      </c>
      <c r="B21" s="470"/>
      <c r="C21" s="470"/>
      <c r="D21" s="470"/>
      <c r="E21" s="470"/>
      <c r="F21" s="470"/>
      <c r="G21" s="470"/>
    </row>
    <row r="22" spans="1:7">
      <c r="A22" s="470"/>
    </row>
    <row r="23" spans="1:7">
      <c r="A23" s="471" t="s">
        <v>193</v>
      </c>
    </row>
    <row r="24" spans="1:7">
      <c r="A24" s="471"/>
    </row>
    <row r="25" spans="1:7">
      <c r="A25" s="470" t="s">
        <v>194</v>
      </c>
    </row>
    <row r="26" spans="1:7">
      <c r="A26" s="470" t="s">
        <v>195</v>
      </c>
      <c r="B26" s="470"/>
      <c r="C26" s="470"/>
      <c r="D26" s="470"/>
      <c r="E26" s="470"/>
      <c r="F26" s="470"/>
    </row>
    <row r="27" spans="1:7">
      <c r="A27" s="470" t="s">
        <v>196</v>
      </c>
      <c r="B27" s="470"/>
      <c r="C27" s="470"/>
      <c r="D27" s="470"/>
      <c r="E27" s="470"/>
      <c r="F27" s="470"/>
    </row>
    <row r="28" spans="1:7">
      <c r="A28" s="470" t="s">
        <v>197</v>
      </c>
      <c r="B28" s="470"/>
      <c r="C28" s="470"/>
      <c r="D28" s="470"/>
      <c r="E28" s="470"/>
      <c r="F28" s="470"/>
    </row>
    <row r="29" spans="1:7">
      <c r="A29" s="470"/>
      <c r="B29" s="470"/>
      <c r="C29" s="470"/>
      <c r="D29" s="470"/>
      <c r="E29" s="470"/>
      <c r="F29" s="470"/>
    </row>
    <row r="30" spans="1:7">
      <c r="A30" s="471" t="s">
        <v>198</v>
      </c>
      <c r="B30" s="471"/>
      <c r="C30" s="471"/>
      <c r="D30" s="471"/>
      <c r="E30" s="471"/>
      <c r="F30" s="471"/>
      <c r="G30" s="471"/>
    </row>
    <row r="31" spans="1:7">
      <c r="A31" s="471" t="s">
        <v>199</v>
      </c>
      <c r="B31" s="471"/>
      <c r="C31" s="471"/>
      <c r="D31" s="471"/>
      <c r="E31" s="471"/>
      <c r="F31" s="471"/>
      <c r="G31" s="471"/>
    </row>
    <row r="32" spans="1:7">
      <c r="A32" s="470"/>
      <c r="B32" s="470"/>
      <c r="C32" s="470"/>
      <c r="D32" s="470"/>
      <c r="E32" s="470"/>
      <c r="F32" s="470"/>
    </row>
    <row r="33" spans="1:6">
      <c r="A33" s="474" t="str">
        <f ca="1">CONCATENATE("Well, let's look to see if any of your ",inputPrYr!D5-1," expenditures can")</f>
        <v>Well, let's look to see if any of your 2012 expenditures can</v>
      </c>
      <c r="B33" s="470"/>
      <c r="C33" s="470"/>
      <c r="D33" s="470"/>
      <c r="E33" s="470"/>
      <c r="F33" s="470"/>
    </row>
    <row r="34" spans="1:6">
      <c r="A34" s="474" t="s">
        <v>200</v>
      </c>
      <c r="B34" s="470"/>
      <c r="C34" s="470"/>
      <c r="D34" s="470"/>
      <c r="E34" s="470"/>
      <c r="F34" s="470"/>
    </row>
    <row r="35" spans="1:6">
      <c r="A35" s="474" t="s">
        <v>84</v>
      </c>
      <c r="B35" s="470"/>
      <c r="C35" s="470"/>
      <c r="D35" s="470"/>
      <c r="E35" s="470"/>
      <c r="F35" s="470"/>
    </row>
    <row r="36" spans="1:6">
      <c r="A36" s="474" t="s">
        <v>85</v>
      </c>
      <c r="B36" s="470"/>
      <c r="C36" s="470"/>
      <c r="D36" s="470"/>
      <c r="E36" s="470"/>
      <c r="F36" s="470"/>
    </row>
    <row r="37" spans="1:6">
      <c r="A37" s="474"/>
      <c r="B37" s="470"/>
      <c r="C37" s="470"/>
      <c r="D37" s="470"/>
      <c r="E37" s="470"/>
      <c r="F37" s="470"/>
    </row>
    <row r="38" spans="1:6">
      <c r="A38" s="474" t="str">
        <f ca="1">CONCATENATE("Additionally, do your ",inputPrYr!D5-1," receipts contain a reimbursement")</f>
        <v>Additionally, do your 2012 receipts contain a reimbursement</v>
      </c>
      <c r="B38" s="470"/>
      <c r="C38" s="470"/>
      <c r="D38" s="470"/>
      <c r="E38" s="470"/>
      <c r="F38" s="470"/>
    </row>
    <row r="39" spans="1:6">
      <c r="A39" s="474" t="s">
        <v>86</v>
      </c>
      <c r="B39" s="470"/>
      <c r="C39" s="470"/>
      <c r="D39" s="470"/>
      <c r="E39" s="470"/>
      <c r="F39" s="470"/>
    </row>
    <row r="40" spans="1:6">
      <c r="A40" s="474" t="s">
        <v>87</v>
      </c>
      <c r="B40" s="470"/>
      <c r="C40" s="470"/>
      <c r="D40" s="470"/>
      <c r="E40" s="470"/>
      <c r="F40" s="470"/>
    </row>
    <row r="41" spans="1:6">
      <c r="A41" s="474"/>
      <c r="B41" s="470"/>
      <c r="C41" s="470"/>
      <c r="D41" s="470"/>
      <c r="E41" s="470"/>
      <c r="F41" s="470"/>
    </row>
    <row r="42" spans="1:6">
      <c r="A42" s="474" t="s">
        <v>88</v>
      </c>
      <c r="B42" s="470"/>
      <c r="C42" s="470"/>
      <c r="D42" s="470"/>
      <c r="E42" s="470"/>
      <c r="F42" s="470"/>
    </row>
    <row r="43" spans="1:6">
      <c r="A43" s="474" t="s">
        <v>89</v>
      </c>
      <c r="B43" s="470"/>
      <c r="C43" s="470"/>
      <c r="D43" s="470"/>
      <c r="E43" s="470"/>
      <c r="F43" s="470"/>
    </row>
    <row r="44" spans="1:6">
      <c r="A44" s="474" t="s">
        <v>90</v>
      </c>
      <c r="B44" s="470"/>
      <c r="C44" s="470"/>
      <c r="D44" s="470"/>
      <c r="E44" s="470"/>
      <c r="F44" s="470"/>
    </row>
    <row r="45" spans="1:6">
      <c r="A45" s="474" t="s">
        <v>201</v>
      </c>
      <c r="B45" s="470"/>
      <c r="C45" s="470"/>
      <c r="D45" s="470"/>
      <c r="E45" s="470"/>
      <c r="F45" s="470"/>
    </row>
    <row r="46" spans="1:6">
      <c r="A46" s="474" t="s">
        <v>92</v>
      </c>
      <c r="B46" s="470"/>
      <c r="C46" s="470"/>
      <c r="D46" s="470"/>
      <c r="E46" s="470"/>
      <c r="F46" s="470"/>
    </row>
    <row r="47" spans="1:6">
      <c r="A47" s="474" t="s">
        <v>202</v>
      </c>
      <c r="B47" s="470"/>
      <c r="C47" s="470"/>
      <c r="D47" s="470"/>
      <c r="E47" s="470"/>
      <c r="F47" s="470"/>
    </row>
    <row r="48" spans="1:6">
      <c r="A48" s="474" t="s">
        <v>203</v>
      </c>
      <c r="B48" s="470"/>
      <c r="C48" s="470"/>
      <c r="D48" s="470"/>
      <c r="E48" s="470"/>
      <c r="F48" s="470"/>
    </row>
    <row r="49" spans="1:6">
      <c r="A49" s="474" t="s">
        <v>95</v>
      </c>
      <c r="B49" s="470"/>
      <c r="C49" s="470"/>
      <c r="D49" s="470"/>
      <c r="E49" s="470"/>
      <c r="F49" s="470"/>
    </row>
    <row r="50" spans="1:6">
      <c r="A50" s="474"/>
      <c r="B50" s="470"/>
      <c r="C50" s="470"/>
      <c r="D50" s="470"/>
      <c r="E50" s="470"/>
      <c r="F50" s="470"/>
    </row>
    <row r="51" spans="1:6">
      <c r="A51" s="474" t="s">
        <v>96</v>
      </c>
      <c r="B51" s="470"/>
      <c r="C51" s="470"/>
      <c r="D51" s="470"/>
      <c r="E51" s="470"/>
      <c r="F51" s="470"/>
    </row>
    <row r="52" spans="1:6">
      <c r="A52" s="474" t="s">
        <v>97</v>
      </c>
      <c r="B52" s="470"/>
      <c r="C52" s="470"/>
      <c r="D52" s="470"/>
      <c r="E52" s="470"/>
      <c r="F52" s="470"/>
    </row>
    <row r="53" spans="1:6">
      <c r="A53" s="474" t="s">
        <v>98</v>
      </c>
      <c r="B53" s="470"/>
      <c r="C53" s="470"/>
      <c r="D53" s="470"/>
      <c r="E53" s="470"/>
      <c r="F53" s="470"/>
    </row>
    <row r="54" spans="1:6">
      <c r="A54" s="474"/>
      <c r="B54" s="470"/>
      <c r="C54" s="470"/>
      <c r="D54" s="470"/>
      <c r="E54" s="470"/>
      <c r="F54" s="470"/>
    </row>
    <row r="55" spans="1:6">
      <c r="A55" s="474" t="s">
        <v>204</v>
      </c>
      <c r="B55" s="470"/>
      <c r="C55" s="470"/>
      <c r="D55" s="470"/>
      <c r="E55" s="470"/>
      <c r="F55" s="470"/>
    </row>
    <row r="56" spans="1:6">
      <c r="A56" s="474" t="s">
        <v>205</v>
      </c>
      <c r="B56" s="470"/>
      <c r="C56" s="470"/>
      <c r="D56" s="470"/>
      <c r="E56" s="470"/>
      <c r="F56" s="470"/>
    </row>
    <row r="57" spans="1:6">
      <c r="A57" s="474" t="s">
        <v>206</v>
      </c>
      <c r="B57" s="470"/>
      <c r="C57" s="470"/>
      <c r="D57" s="470"/>
      <c r="E57" s="470"/>
      <c r="F57" s="470"/>
    </row>
    <row r="58" spans="1:6">
      <c r="A58" s="474" t="s">
        <v>207</v>
      </c>
      <c r="B58" s="470"/>
      <c r="C58" s="470"/>
      <c r="D58" s="470"/>
      <c r="E58" s="470"/>
      <c r="F58" s="470"/>
    </row>
    <row r="59" spans="1:6">
      <c r="A59" s="474" t="s">
        <v>208</v>
      </c>
      <c r="B59" s="470"/>
      <c r="C59" s="470"/>
      <c r="D59" s="470"/>
      <c r="E59" s="470"/>
      <c r="F59" s="470"/>
    </row>
    <row r="60" spans="1:6">
      <c r="A60" s="474"/>
      <c r="B60" s="470"/>
      <c r="C60" s="470"/>
      <c r="D60" s="470"/>
      <c r="E60" s="470"/>
      <c r="F60" s="470"/>
    </row>
    <row r="61" spans="1:6">
      <c r="A61" s="475" t="s">
        <v>209</v>
      </c>
      <c r="B61" s="470"/>
      <c r="C61" s="470"/>
      <c r="D61" s="470"/>
      <c r="E61" s="470"/>
      <c r="F61" s="470"/>
    </row>
    <row r="62" spans="1:6">
      <c r="A62" s="475" t="s">
        <v>210</v>
      </c>
      <c r="B62" s="470"/>
      <c r="C62" s="470"/>
      <c r="D62" s="470"/>
      <c r="E62" s="470"/>
      <c r="F62" s="470"/>
    </row>
    <row r="63" spans="1:6">
      <c r="A63" s="475" t="s">
        <v>211</v>
      </c>
      <c r="B63" s="470"/>
      <c r="C63" s="470"/>
      <c r="D63" s="470"/>
      <c r="E63" s="470"/>
      <c r="F63" s="470"/>
    </row>
    <row r="64" spans="1:6">
      <c r="A64" s="475" t="s">
        <v>212</v>
      </c>
    </row>
    <row r="65" spans="1:1">
      <c r="A65" s="475" t="s">
        <v>213</v>
      </c>
    </row>
    <row r="66" spans="1:1">
      <c r="A66" s="475" t="s">
        <v>214</v>
      </c>
    </row>
    <row r="68" spans="1:1">
      <c r="A68" s="470" t="s">
        <v>215</v>
      </c>
    </row>
    <row r="69" spans="1:1">
      <c r="A69" s="470" t="s">
        <v>216</v>
      </c>
    </row>
    <row r="70" spans="1:1">
      <c r="A70" s="470" t="s">
        <v>217</v>
      </c>
    </row>
    <row r="71" spans="1:1">
      <c r="A71" s="470" t="s">
        <v>218</v>
      </c>
    </row>
    <row r="72" spans="1:1">
      <c r="A72" s="470" t="s">
        <v>219</v>
      </c>
    </row>
    <row r="73" spans="1:1">
      <c r="A73" s="470" t="s">
        <v>220</v>
      </c>
    </row>
    <row r="75" spans="1:1">
      <c r="A75" s="470" t="s">
        <v>125</v>
      </c>
    </row>
  </sheetData>
  <sheetProtection sheet="1"/>
  <phoneticPr fontId="0" type="noConversion"/>
  <pageMargins left="0.7" right="0.7" top="0.75" bottom="0.75" header="0.3" footer="0.3"/>
  <pageSetup orientation="portrait" r:id="rId1"/>
  <headerFooter>
    <oddFooter>&amp;Lrevised 8/25/09</oddFooter>
  </headerFooter>
</worksheet>
</file>

<file path=xl/worksheets/sheet28.xml><?xml version="1.0" encoding="utf-8"?>
<worksheet xmlns="http://schemas.openxmlformats.org/spreadsheetml/2006/main" xmlns:r="http://schemas.openxmlformats.org/officeDocument/2006/relationships">
  <sheetPr>
    <tabColor rgb="FFFF0000"/>
  </sheetPr>
  <dimension ref="A3:G106"/>
  <sheetViews>
    <sheetView workbookViewId="0">
      <selection activeCell="A47" sqref="A47"/>
    </sheetView>
  </sheetViews>
  <sheetFormatPr defaultRowHeight="15.75"/>
  <cols>
    <col min="1" max="1" width="64.19921875" customWidth="1"/>
  </cols>
  <sheetData>
    <row r="3" spans="1:7">
      <c r="A3" s="469" t="s">
        <v>221</v>
      </c>
      <c r="B3" s="469"/>
      <c r="C3" s="469"/>
      <c r="D3" s="469"/>
      <c r="E3" s="469"/>
      <c r="F3" s="469"/>
      <c r="G3" s="469"/>
    </row>
    <row r="4" spans="1:7">
      <c r="A4" s="469"/>
      <c r="B4" s="469"/>
      <c r="C4" s="469"/>
      <c r="D4" s="469"/>
      <c r="E4" s="469"/>
      <c r="F4" s="469"/>
      <c r="G4" s="469"/>
    </row>
    <row r="5" spans="1:7">
      <c r="A5" s="470" t="s">
        <v>127</v>
      </c>
    </row>
    <row r="6" spans="1:7">
      <c r="A6" s="470" t="str">
        <f ca="1">CONCATENATE(inputPrYr!D5," estimated expenditures show that at the end of this year")</f>
        <v>2013 estimated expenditures show that at the end of this year</v>
      </c>
    </row>
    <row r="7" spans="1:7">
      <c r="A7" s="470" t="s">
        <v>222</v>
      </c>
    </row>
    <row r="8" spans="1:7">
      <c r="A8" s="470" t="s">
        <v>223</v>
      </c>
    </row>
    <row r="10" spans="1:7">
      <c r="A10" t="s">
        <v>129</v>
      </c>
    </row>
    <row r="11" spans="1:7">
      <c r="A11" t="s">
        <v>130</v>
      </c>
    </row>
    <row r="12" spans="1:7">
      <c r="A12" t="s">
        <v>131</v>
      </c>
    </row>
    <row r="13" spans="1:7">
      <c r="A13" s="469"/>
      <c r="B13" s="469"/>
      <c r="C13" s="469"/>
      <c r="D13" s="469"/>
      <c r="E13" s="469"/>
      <c r="F13" s="469"/>
      <c r="G13" s="469"/>
    </row>
    <row r="14" spans="1:7">
      <c r="A14" s="471" t="s">
        <v>224</v>
      </c>
    </row>
    <row r="15" spans="1:7">
      <c r="A15" s="470"/>
    </row>
    <row r="16" spans="1:7">
      <c r="A16" s="470" t="s">
        <v>225</v>
      </c>
    </row>
    <row r="17" spans="1:7">
      <c r="A17" s="470" t="s">
        <v>226</v>
      </c>
    </row>
    <row r="18" spans="1:7">
      <c r="A18" s="470" t="s">
        <v>227</v>
      </c>
    </row>
    <row r="19" spans="1:7">
      <c r="A19" s="470"/>
    </row>
    <row r="20" spans="1:7">
      <c r="A20" s="470" t="s">
        <v>228</v>
      </c>
    </row>
    <row r="21" spans="1:7">
      <c r="A21" s="470" t="s">
        <v>229</v>
      </c>
    </row>
    <row r="22" spans="1:7">
      <c r="A22" s="470" t="s">
        <v>230</v>
      </c>
    </row>
    <row r="23" spans="1:7">
      <c r="A23" s="470" t="s">
        <v>231</v>
      </c>
    </row>
    <row r="24" spans="1:7">
      <c r="A24" s="470"/>
    </row>
    <row r="25" spans="1:7">
      <c r="A25" s="471" t="s">
        <v>193</v>
      </c>
    </row>
    <row r="26" spans="1:7">
      <c r="A26" s="471"/>
    </row>
    <row r="27" spans="1:7">
      <c r="A27" s="470" t="s">
        <v>194</v>
      </c>
    </row>
    <row r="28" spans="1:7">
      <c r="A28" s="470" t="s">
        <v>195</v>
      </c>
      <c r="B28" s="470"/>
      <c r="C28" s="470"/>
      <c r="D28" s="470"/>
      <c r="E28" s="470"/>
      <c r="F28" s="470"/>
    </row>
    <row r="29" spans="1:7">
      <c r="A29" s="470" t="s">
        <v>196</v>
      </c>
      <c r="B29" s="470"/>
      <c r="C29" s="470"/>
      <c r="D29" s="470"/>
      <c r="E29" s="470"/>
      <c r="F29" s="470"/>
    </row>
    <row r="30" spans="1:7">
      <c r="A30" s="470" t="s">
        <v>197</v>
      </c>
      <c r="B30" s="470"/>
      <c r="C30" s="470"/>
      <c r="D30" s="470"/>
      <c r="E30" s="470"/>
      <c r="F30" s="470"/>
    </row>
    <row r="31" spans="1:7">
      <c r="A31" s="470"/>
    </row>
    <row r="32" spans="1:7">
      <c r="A32" s="471" t="s">
        <v>198</v>
      </c>
      <c r="B32" s="471"/>
      <c r="C32" s="471"/>
      <c r="D32" s="471"/>
      <c r="E32" s="471"/>
      <c r="F32" s="471"/>
      <c r="G32" s="471"/>
    </row>
    <row r="33" spans="1:7">
      <c r="A33" s="471" t="s">
        <v>199</v>
      </c>
      <c r="B33" s="471"/>
      <c r="C33" s="471"/>
      <c r="D33" s="471"/>
      <c r="E33" s="471"/>
      <c r="F33" s="471"/>
      <c r="G33" s="471"/>
    </row>
    <row r="34" spans="1:7">
      <c r="A34" s="471"/>
      <c r="B34" s="471"/>
      <c r="C34" s="471"/>
      <c r="D34" s="471"/>
      <c r="E34" s="471"/>
      <c r="F34" s="471"/>
      <c r="G34" s="471"/>
    </row>
    <row r="35" spans="1:7">
      <c r="A35" s="470" t="s">
        <v>232</v>
      </c>
      <c r="B35" s="470"/>
      <c r="C35" s="470"/>
      <c r="D35" s="470"/>
      <c r="E35" s="470"/>
      <c r="F35" s="470"/>
      <c r="G35" s="470"/>
    </row>
    <row r="36" spans="1:7">
      <c r="A36" s="470" t="s">
        <v>233</v>
      </c>
      <c r="B36" s="470"/>
      <c r="C36" s="470"/>
      <c r="D36" s="470"/>
      <c r="E36" s="470"/>
      <c r="F36" s="470"/>
      <c r="G36" s="470"/>
    </row>
    <row r="37" spans="1:7">
      <c r="A37" s="470" t="s">
        <v>234</v>
      </c>
      <c r="B37" s="470"/>
      <c r="C37" s="470"/>
      <c r="D37" s="470"/>
      <c r="E37" s="470"/>
      <c r="F37" s="470"/>
      <c r="G37" s="470"/>
    </row>
    <row r="38" spans="1:7">
      <c r="A38" s="470" t="s">
        <v>235</v>
      </c>
      <c r="B38" s="470"/>
      <c r="C38" s="470"/>
      <c r="D38" s="470"/>
      <c r="E38" s="470"/>
      <c r="F38" s="470"/>
      <c r="G38" s="470"/>
    </row>
    <row r="39" spans="1:7">
      <c r="A39" s="470" t="s">
        <v>236</v>
      </c>
      <c r="B39" s="470"/>
      <c r="C39" s="470"/>
      <c r="D39" s="470"/>
      <c r="E39" s="470"/>
      <c r="F39" s="470"/>
      <c r="G39" s="470"/>
    </row>
    <row r="40" spans="1:7">
      <c r="A40" s="471"/>
      <c r="B40" s="471"/>
      <c r="C40" s="471"/>
      <c r="D40" s="471"/>
      <c r="E40" s="471"/>
      <c r="F40" s="471"/>
      <c r="G40" s="471"/>
    </row>
    <row r="41" spans="1:7">
      <c r="A41" s="474" t="str">
        <f ca="1">CONCATENATE("So, let's look to see if any of your ",inputPrYr!D5-1," expenditures can")</f>
        <v>So, let's look to see if any of your 2012 expenditures can</v>
      </c>
      <c r="B41" s="470"/>
      <c r="C41" s="470"/>
      <c r="D41" s="470"/>
      <c r="E41" s="470"/>
      <c r="F41" s="470"/>
    </row>
    <row r="42" spans="1:7">
      <c r="A42" s="474" t="s">
        <v>200</v>
      </c>
      <c r="B42" s="470"/>
      <c r="C42" s="470"/>
      <c r="D42" s="470"/>
      <c r="E42" s="470"/>
      <c r="F42" s="470"/>
    </row>
    <row r="43" spans="1:7">
      <c r="A43" s="474" t="s">
        <v>84</v>
      </c>
      <c r="B43" s="470"/>
      <c r="C43" s="470"/>
      <c r="D43" s="470"/>
      <c r="E43" s="470"/>
      <c r="F43" s="470"/>
    </row>
    <row r="44" spans="1:7">
      <c r="A44" s="474" t="s">
        <v>85</v>
      </c>
      <c r="B44" s="470"/>
      <c r="C44" s="470"/>
      <c r="D44" s="470"/>
      <c r="E44" s="470"/>
      <c r="F44" s="470"/>
    </row>
    <row r="45" spans="1:7">
      <c r="A45" s="470"/>
    </row>
    <row r="46" spans="1:7">
      <c r="A46" s="474" t="str">
        <f ca="1">CONCATENATE("Additionally, do your ",inputPrYr!D5-1," receipts contain a reimbursement")</f>
        <v>Additionally, do your 2012 receipts contain a reimbursement</v>
      </c>
      <c r="B46" s="470"/>
      <c r="C46" s="470"/>
      <c r="D46" s="470"/>
      <c r="E46" s="470"/>
      <c r="F46" s="470"/>
    </row>
    <row r="47" spans="1:7">
      <c r="A47" s="474" t="s">
        <v>86</v>
      </c>
      <c r="B47" s="470"/>
      <c r="C47" s="470"/>
      <c r="D47" s="470"/>
      <c r="E47" s="470"/>
      <c r="F47" s="470"/>
    </row>
    <row r="48" spans="1:7">
      <c r="A48" s="474" t="s">
        <v>87</v>
      </c>
      <c r="B48" s="470"/>
      <c r="C48" s="470"/>
      <c r="D48" s="470"/>
      <c r="E48" s="470"/>
      <c r="F48" s="470"/>
    </row>
    <row r="49" spans="1:7">
      <c r="A49" s="470"/>
      <c r="B49" s="470"/>
      <c r="C49" s="470"/>
      <c r="D49" s="470"/>
      <c r="E49" s="470"/>
      <c r="F49" s="470"/>
      <c r="G49" s="470"/>
    </row>
    <row r="50" spans="1:7">
      <c r="A50" s="470" t="s">
        <v>154</v>
      </c>
      <c r="B50" s="470"/>
      <c r="C50" s="470"/>
      <c r="D50" s="470"/>
      <c r="E50" s="470"/>
      <c r="F50" s="470"/>
      <c r="G50" s="470"/>
    </row>
    <row r="51" spans="1:7">
      <c r="A51" s="470" t="s">
        <v>155</v>
      </c>
      <c r="B51" s="470"/>
      <c r="C51" s="470"/>
      <c r="D51" s="470"/>
      <c r="E51" s="470"/>
      <c r="F51" s="470"/>
      <c r="G51" s="470"/>
    </row>
    <row r="52" spans="1:7">
      <c r="A52" s="470" t="s">
        <v>156</v>
      </c>
      <c r="B52" s="470"/>
      <c r="C52" s="470"/>
      <c r="D52" s="470"/>
      <c r="E52" s="470"/>
      <c r="F52" s="470"/>
      <c r="G52" s="470"/>
    </row>
    <row r="53" spans="1:7">
      <c r="A53" s="470" t="s">
        <v>157</v>
      </c>
      <c r="B53" s="470"/>
      <c r="C53" s="470"/>
      <c r="D53" s="470"/>
      <c r="E53" s="470"/>
      <c r="F53" s="470"/>
      <c r="G53" s="470"/>
    </row>
    <row r="54" spans="1:7">
      <c r="A54" s="470" t="s">
        <v>158</v>
      </c>
      <c r="B54" s="470"/>
      <c r="C54" s="470"/>
      <c r="D54" s="470"/>
      <c r="E54" s="470"/>
      <c r="F54" s="470"/>
      <c r="G54" s="470"/>
    </row>
    <row r="55" spans="1:7">
      <c r="A55" s="470"/>
      <c r="B55" s="470"/>
      <c r="C55" s="470"/>
      <c r="D55" s="470"/>
      <c r="E55" s="470"/>
      <c r="F55" s="470"/>
      <c r="G55" s="470"/>
    </row>
    <row r="56" spans="1:7">
      <c r="A56" s="474" t="s">
        <v>96</v>
      </c>
      <c r="B56" s="470"/>
      <c r="C56" s="470"/>
      <c r="D56" s="470"/>
      <c r="E56" s="470"/>
      <c r="F56" s="470"/>
    </row>
    <row r="57" spans="1:7">
      <c r="A57" s="474" t="s">
        <v>97</v>
      </c>
      <c r="B57" s="470"/>
      <c r="C57" s="470"/>
      <c r="D57" s="470"/>
      <c r="E57" s="470"/>
      <c r="F57" s="470"/>
    </row>
    <row r="58" spans="1:7">
      <c r="A58" s="474" t="s">
        <v>98</v>
      </c>
      <c r="B58" s="470"/>
      <c r="C58" s="470"/>
      <c r="D58" s="470"/>
      <c r="E58" s="470"/>
      <c r="F58" s="470"/>
    </row>
    <row r="59" spans="1:7">
      <c r="A59" s="474"/>
      <c r="B59" s="470"/>
      <c r="C59" s="470"/>
      <c r="D59" s="470"/>
      <c r="E59" s="470"/>
      <c r="F59" s="470"/>
    </row>
    <row r="60" spans="1:7">
      <c r="A60" s="470" t="s">
        <v>237</v>
      </c>
      <c r="B60" s="470"/>
      <c r="C60" s="470"/>
      <c r="D60" s="470"/>
      <c r="E60" s="470"/>
      <c r="F60" s="470"/>
      <c r="G60" s="470"/>
    </row>
    <row r="61" spans="1:7">
      <c r="A61" s="470" t="s">
        <v>238</v>
      </c>
      <c r="B61" s="470"/>
      <c r="C61" s="470"/>
      <c r="D61" s="470"/>
      <c r="E61" s="470"/>
      <c r="F61" s="470"/>
      <c r="G61" s="470"/>
    </row>
    <row r="62" spans="1:7">
      <c r="A62" s="470" t="s">
        <v>239</v>
      </c>
      <c r="B62" s="470"/>
      <c r="C62" s="470"/>
      <c r="D62" s="470"/>
      <c r="E62" s="470"/>
      <c r="F62" s="470"/>
      <c r="G62" s="470"/>
    </row>
    <row r="63" spans="1:7">
      <c r="A63" s="470" t="s">
        <v>240</v>
      </c>
      <c r="B63" s="470"/>
      <c r="C63" s="470"/>
      <c r="D63" s="470"/>
      <c r="E63" s="470"/>
      <c r="F63" s="470"/>
      <c r="G63" s="470"/>
    </row>
    <row r="64" spans="1:7">
      <c r="A64" s="470" t="s">
        <v>241</v>
      </c>
      <c r="B64" s="470"/>
      <c r="C64" s="470"/>
      <c r="D64" s="470"/>
      <c r="E64" s="470"/>
      <c r="F64" s="470"/>
      <c r="G64" s="470"/>
    </row>
    <row r="66" spans="1:6">
      <c r="A66" s="474" t="s">
        <v>204</v>
      </c>
      <c r="B66" s="470"/>
      <c r="C66" s="470"/>
      <c r="D66" s="470"/>
      <c r="E66" s="470"/>
      <c r="F66" s="470"/>
    </row>
    <row r="67" spans="1:6">
      <c r="A67" s="474" t="s">
        <v>205</v>
      </c>
      <c r="B67" s="470"/>
      <c r="C67" s="470"/>
      <c r="D67" s="470"/>
      <c r="E67" s="470"/>
      <c r="F67" s="470"/>
    </row>
    <row r="68" spans="1:6">
      <c r="A68" s="474" t="s">
        <v>206</v>
      </c>
      <c r="B68" s="470"/>
      <c r="C68" s="470"/>
      <c r="D68" s="470"/>
      <c r="E68" s="470"/>
      <c r="F68" s="470"/>
    </row>
    <row r="69" spans="1:6">
      <c r="A69" s="474" t="s">
        <v>207</v>
      </c>
      <c r="B69" s="470"/>
      <c r="C69" s="470"/>
      <c r="D69" s="470"/>
      <c r="E69" s="470"/>
      <c r="F69" s="470"/>
    </row>
    <row r="70" spans="1:6">
      <c r="A70" s="474" t="s">
        <v>208</v>
      </c>
      <c r="B70" s="470"/>
      <c r="C70" s="470"/>
      <c r="D70" s="470"/>
      <c r="E70" s="470"/>
      <c r="F70" s="470"/>
    </row>
    <row r="71" spans="1:6">
      <c r="A71" s="470"/>
    </row>
    <row r="72" spans="1:6">
      <c r="A72" s="470" t="s">
        <v>125</v>
      </c>
    </row>
    <row r="73" spans="1:6">
      <c r="A73" s="470"/>
    </row>
    <row r="74" spans="1:6">
      <c r="A74" s="470"/>
    </row>
    <row r="75" spans="1:6">
      <c r="A75" s="470"/>
    </row>
    <row r="78" spans="1:6">
      <c r="A78" s="471"/>
    </row>
    <row r="80" spans="1:6">
      <c r="A80" s="470"/>
    </row>
    <row r="81" spans="1:1">
      <c r="A81" s="470"/>
    </row>
    <row r="82" spans="1:1">
      <c r="A82" s="470"/>
    </row>
    <row r="83" spans="1:1">
      <c r="A83" s="470"/>
    </row>
    <row r="84" spans="1:1">
      <c r="A84" s="470"/>
    </row>
    <row r="85" spans="1:1">
      <c r="A85" s="470"/>
    </row>
    <row r="86" spans="1:1">
      <c r="A86" s="470"/>
    </row>
    <row r="87" spans="1:1">
      <c r="A87" s="470"/>
    </row>
    <row r="88" spans="1:1">
      <c r="A88" s="470"/>
    </row>
    <row r="89" spans="1:1">
      <c r="A89" s="470"/>
    </row>
    <row r="90" spans="1:1">
      <c r="A90" s="470"/>
    </row>
    <row r="92" spans="1:1">
      <c r="A92" s="470"/>
    </row>
    <row r="93" spans="1:1">
      <c r="A93" s="470"/>
    </row>
    <row r="94" spans="1:1">
      <c r="A94" s="470"/>
    </row>
    <row r="95" spans="1:1">
      <c r="A95" s="470"/>
    </row>
    <row r="96" spans="1:1">
      <c r="A96" s="470"/>
    </row>
    <row r="97" spans="1:1">
      <c r="A97" s="470"/>
    </row>
    <row r="98" spans="1:1">
      <c r="A98" s="470"/>
    </row>
    <row r="99" spans="1:1">
      <c r="A99" s="470"/>
    </row>
    <row r="100" spans="1:1">
      <c r="A100" s="470"/>
    </row>
    <row r="101" spans="1:1">
      <c r="A101" s="470"/>
    </row>
    <row r="102" spans="1:1">
      <c r="A102" s="470"/>
    </row>
    <row r="103" spans="1:1">
      <c r="A103" s="470"/>
    </row>
    <row r="104" spans="1:1">
      <c r="A104" s="470"/>
    </row>
    <row r="105" spans="1:1">
      <c r="A105" s="470"/>
    </row>
    <row r="106" spans="1:1">
      <c r="A106" s="470"/>
    </row>
  </sheetData>
  <sheetProtection sheet="1"/>
  <phoneticPr fontId="0" type="noConversion"/>
  <pageMargins left="0.7" right="0.7" top="0.75" bottom="0.75" header="0.3" footer="0.3"/>
  <pageSetup orientation="portrait" r:id="rId1"/>
  <headerFooter>
    <oddFooter>&amp;Lrevised 8/25/09</oddFooter>
  </headerFooter>
</worksheet>
</file>

<file path=xl/worksheets/sheet29.xml><?xml version="1.0" encoding="utf-8"?>
<worksheet xmlns="http://schemas.openxmlformats.org/spreadsheetml/2006/main" xmlns:r="http://schemas.openxmlformats.org/officeDocument/2006/relationships">
  <sheetPr>
    <tabColor rgb="FFFF0000"/>
  </sheetPr>
  <dimension ref="A3:H52"/>
  <sheetViews>
    <sheetView workbookViewId="0">
      <selection activeCell="A9" sqref="A9"/>
    </sheetView>
  </sheetViews>
  <sheetFormatPr defaultRowHeight="15.75"/>
  <cols>
    <col min="1" max="1" width="64.19921875" customWidth="1"/>
  </cols>
  <sheetData>
    <row r="3" spans="1:7">
      <c r="A3" s="469" t="s">
        <v>242</v>
      </c>
      <c r="B3" s="469"/>
      <c r="C3" s="469"/>
      <c r="D3" s="469"/>
      <c r="E3" s="469"/>
      <c r="F3" s="469"/>
      <c r="G3" s="469"/>
    </row>
    <row r="4" spans="1:7">
      <c r="A4" s="469" t="s">
        <v>243</v>
      </c>
      <c r="B4" s="469"/>
      <c r="C4" s="469"/>
      <c r="D4" s="469"/>
      <c r="E4" s="469"/>
      <c r="F4" s="469"/>
      <c r="G4" s="469"/>
    </row>
    <row r="5" spans="1:7">
      <c r="A5" s="469"/>
      <c r="B5" s="469"/>
      <c r="C5" s="469"/>
      <c r="D5" s="469"/>
      <c r="E5" s="469"/>
      <c r="F5" s="469"/>
      <c r="G5" s="469"/>
    </row>
    <row r="6" spans="1:7">
      <c r="A6" s="469"/>
      <c r="B6" s="469"/>
      <c r="C6" s="469"/>
      <c r="D6" s="469"/>
      <c r="E6" s="469"/>
      <c r="F6" s="469"/>
      <c r="G6" s="469"/>
    </row>
    <row r="7" spans="1:7">
      <c r="A7" s="470" t="s">
        <v>70</v>
      </c>
    </row>
    <row r="8" spans="1:7">
      <c r="A8" s="470" t="str">
        <f ca="1">CONCATENATE("estimated ",inputPrYr!D5," 'total expenditures' exceed your ",inputPrYr!D5,"")</f>
        <v>estimated 2013 'total expenditures' exceed your 2013</v>
      </c>
    </row>
    <row r="9" spans="1:7">
      <c r="A9" s="473" t="s">
        <v>244</v>
      </c>
    </row>
    <row r="10" spans="1:7">
      <c r="A10" s="470"/>
    </row>
    <row r="11" spans="1:7">
      <c r="A11" s="470" t="s">
        <v>245</v>
      </c>
    </row>
    <row r="12" spans="1:7">
      <c r="A12" s="470" t="s">
        <v>246</v>
      </c>
    </row>
    <row r="13" spans="1:7">
      <c r="A13" s="470" t="s">
        <v>247</v>
      </c>
    </row>
    <row r="14" spans="1:7">
      <c r="A14" s="470"/>
    </row>
    <row r="15" spans="1:7">
      <c r="A15" s="471" t="s">
        <v>248</v>
      </c>
    </row>
    <row r="16" spans="1:7">
      <c r="A16" s="469"/>
      <c r="B16" s="469"/>
      <c r="C16" s="469"/>
      <c r="D16" s="469"/>
      <c r="E16" s="469"/>
      <c r="F16" s="469"/>
      <c r="G16" s="469"/>
    </row>
    <row r="17" spans="1:8">
      <c r="A17" s="476" t="s">
        <v>249</v>
      </c>
      <c r="B17" s="452"/>
      <c r="C17" s="452"/>
      <c r="D17" s="452"/>
      <c r="E17" s="452"/>
      <c r="F17" s="452"/>
      <c r="G17" s="452"/>
      <c r="H17" s="452"/>
    </row>
    <row r="18" spans="1:8">
      <c r="A18" s="470" t="s">
        <v>250</v>
      </c>
      <c r="B18" s="477"/>
      <c r="C18" s="477"/>
      <c r="D18" s="477"/>
      <c r="E18" s="477"/>
      <c r="F18" s="477"/>
      <c r="G18" s="477"/>
    </row>
    <row r="19" spans="1:8">
      <c r="A19" s="470" t="s">
        <v>251</v>
      </c>
    </row>
    <row r="20" spans="1:8">
      <c r="A20" s="470" t="s">
        <v>252</v>
      </c>
    </row>
    <row r="22" spans="1:8">
      <c r="A22" s="471" t="s">
        <v>253</v>
      </c>
    </row>
    <row r="24" spans="1:8">
      <c r="A24" s="470" t="s">
        <v>254</v>
      </c>
    </row>
    <row r="25" spans="1:8">
      <c r="A25" s="470" t="s">
        <v>255</v>
      </c>
    </row>
    <row r="26" spans="1:8">
      <c r="A26" s="470" t="s">
        <v>256</v>
      </c>
    </row>
    <row r="28" spans="1:8">
      <c r="A28" s="471" t="s">
        <v>257</v>
      </c>
    </row>
    <row r="30" spans="1:8">
      <c r="A30" t="s">
        <v>258</v>
      </c>
    </row>
    <row r="31" spans="1:8">
      <c r="A31" t="s">
        <v>259</v>
      </c>
    </row>
    <row r="32" spans="1:8">
      <c r="A32" t="s">
        <v>260</v>
      </c>
    </row>
    <row r="33" spans="1:1">
      <c r="A33" s="470" t="s">
        <v>261</v>
      </c>
    </row>
    <row r="35" spans="1:1">
      <c r="A35" t="s">
        <v>262</v>
      </c>
    </row>
    <row r="36" spans="1:1">
      <c r="A36" t="s">
        <v>263</v>
      </c>
    </row>
    <row r="37" spans="1:1">
      <c r="A37" t="s">
        <v>264</v>
      </c>
    </row>
    <row r="38" spans="1:1">
      <c r="A38" t="s">
        <v>265</v>
      </c>
    </row>
    <row r="40" spans="1:1">
      <c r="A40" t="s">
        <v>266</v>
      </c>
    </row>
    <row r="41" spans="1:1">
      <c r="A41" t="s">
        <v>267</v>
      </c>
    </row>
    <row r="42" spans="1:1">
      <c r="A42" t="s">
        <v>268</v>
      </c>
    </row>
    <row r="43" spans="1:1">
      <c r="A43" t="s">
        <v>269</v>
      </c>
    </row>
    <row r="44" spans="1:1">
      <c r="A44" t="s">
        <v>270</v>
      </c>
    </row>
    <row r="45" spans="1:1">
      <c r="A45" t="s">
        <v>271</v>
      </c>
    </row>
    <row r="47" spans="1:1">
      <c r="A47" t="s">
        <v>272</v>
      </c>
    </row>
    <row r="48" spans="1:1">
      <c r="A48" t="s">
        <v>273</v>
      </c>
    </row>
    <row r="49" spans="1:1">
      <c r="A49" s="470" t="s">
        <v>274</v>
      </c>
    </row>
    <row r="50" spans="1:1">
      <c r="A50" s="470" t="s">
        <v>275</v>
      </c>
    </row>
    <row r="52" spans="1:1">
      <c r="A52" t="s">
        <v>125</v>
      </c>
    </row>
  </sheetData>
  <sheetProtection sheet="1"/>
  <phoneticPr fontId="0" type="noConversion"/>
  <pageMargins left="0.7" right="0.7" top="0.75" bottom="0.75" header="0.3" footer="0.3"/>
  <pageSetup orientation="portrait" r:id="rId1"/>
  <headerFooter>
    <oddFooter>&amp;Lrevised 8/25/09</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E62"/>
  <sheetViews>
    <sheetView workbookViewId="0">
      <selection activeCell="E11" sqref="E11"/>
    </sheetView>
  </sheetViews>
  <sheetFormatPr defaultRowHeight="15.75"/>
  <cols>
    <col min="1" max="1" width="14.19921875" style="187" customWidth="1"/>
    <col min="2" max="2" width="18.69921875" style="187" customWidth="1"/>
    <col min="3" max="3" width="9.69921875" style="187" customWidth="1"/>
    <col min="4" max="4" width="14.09765625" style="187" customWidth="1"/>
    <col min="5" max="5" width="12.796875" style="187" customWidth="1"/>
    <col min="6" max="16384" width="8.796875" style="187"/>
  </cols>
  <sheetData>
    <row r="1" spans="1:5">
      <c r="A1" s="240" t="str">
        <f ca="1">inputPrYr!D2</f>
        <v>Winterset Township</v>
      </c>
      <c r="B1" s="186"/>
      <c r="C1" s="186"/>
      <c r="D1" s="186"/>
      <c r="E1" s="186">
        <f ca="1">inputPrYr!D5</f>
        <v>2013</v>
      </c>
    </row>
    <row r="2" spans="1:5">
      <c r="A2" s="240" t="str">
        <f ca="1">inputPrYr!D3</f>
        <v>Russell County</v>
      </c>
      <c r="B2" s="186"/>
      <c r="C2" s="186"/>
      <c r="D2" s="186"/>
      <c r="E2" s="186"/>
    </row>
    <row r="3" spans="1:5">
      <c r="A3" s="186"/>
      <c r="B3" s="186"/>
      <c r="C3" s="186"/>
      <c r="D3" s="186"/>
      <c r="E3" s="186"/>
    </row>
    <row r="4" spans="1:5">
      <c r="A4" s="493" t="s">
        <v>504</v>
      </c>
      <c r="B4" s="494"/>
      <c r="C4" s="494"/>
      <c r="D4" s="494"/>
      <c r="E4" s="494"/>
    </row>
    <row r="5" spans="1:5">
      <c r="A5" s="186"/>
      <c r="B5" s="186"/>
      <c r="C5" s="186"/>
      <c r="D5" s="186"/>
      <c r="E5" s="186"/>
    </row>
    <row r="6" spans="1:5">
      <c r="A6" s="408" t="str">
        <f>CONCATENATE("From the County Clerks Budget Information for ",E1,":")</f>
        <v>From the County Clerks Budget Information for 2013:</v>
      </c>
      <c r="B6" s="409"/>
      <c r="C6" s="409"/>
      <c r="D6" s="133"/>
      <c r="E6" s="196"/>
    </row>
    <row r="7" spans="1:5">
      <c r="A7" s="141" t="str">
        <f>CONCATENATE("Total Assessed Valuation for ",E1-1,"")</f>
        <v>Total Assessed Valuation for 2012</v>
      </c>
      <c r="B7" s="140"/>
      <c r="C7" s="140"/>
      <c r="D7" s="140"/>
      <c r="E7" s="410">
        <v>1846133</v>
      </c>
    </row>
    <row r="8" spans="1:5">
      <c r="A8" s="141" t="str">
        <f>CONCATENATE("New Improvements for ",E1-1,"")</f>
        <v>New Improvements for 2012</v>
      </c>
      <c r="B8" s="140"/>
      <c r="C8" s="140"/>
      <c r="D8" s="140"/>
      <c r="E8" s="411">
        <v>31068</v>
      </c>
    </row>
    <row r="9" spans="1:5">
      <c r="A9" s="141" t="str">
        <f>CONCATENATE("Personal Property excluding oil, gas, and mobile homes - ",E1-1,"")</f>
        <v>Personal Property excluding oil, gas, and mobile homes - 2012</v>
      </c>
      <c r="B9" s="140"/>
      <c r="C9" s="140"/>
      <c r="D9" s="140"/>
      <c r="E9" s="411">
        <v>40202</v>
      </c>
    </row>
    <row r="10" spans="1:5">
      <c r="A10" s="141" t="str">
        <f>CONCATENATE("Property that has changed in use for ",E1-1,"")</f>
        <v>Property that has changed in use for 2012</v>
      </c>
      <c r="B10" s="140"/>
      <c r="C10" s="140"/>
      <c r="D10" s="140"/>
      <c r="E10" s="411">
        <v>239</v>
      </c>
    </row>
    <row r="11" spans="1:5">
      <c r="A11" s="141" t="str">
        <f>CONCATENATE("Personal Property excluding oil, gas, and mobile homes- ",E1-2,"")</f>
        <v>Personal Property excluding oil, gas, and mobile homes- 2011</v>
      </c>
      <c r="B11" s="140"/>
      <c r="C11" s="140"/>
      <c r="D11" s="140"/>
      <c r="E11" s="411">
        <v>32252</v>
      </c>
    </row>
    <row r="12" spans="1:5">
      <c r="A12" s="141" t="str">
        <f>CONCATENATE("Gross earnings (intangible) tax estimate for ",E1,"")</f>
        <v>Gross earnings (intangible) tax estimate for 2013</v>
      </c>
      <c r="B12" s="140"/>
      <c r="C12" s="140"/>
      <c r="D12" s="140"/>
      <c r="E12" s="411">
        <v>100</v>
      </c>
    </row>
    <row r="13" spans="1:5">
      <c r="A13" s="141" t="str">
        <f>CONCATENATE("Neighborhood Revitalization - ",E1,"")</f>
        <v>Neighborhood Revitalization - 2013</v>
      </c>
      <c r="B13" s="140"/>
      <c r="C13" s="140"/>
      <c r="D13" s="140"/>
      <c r="E13" s="411"/>
    </row>
    <row r="14" spans="1:5">
      <c r="A14" s="141"/>
      <c r="B14" s="140"/>
      <c r="C14" s="140"/>
      <c r="D14" s="140"/>
      <c r="E14" s="412"/>
    </row>
    <row r="15" spans="1:5">
      <c r="A15" s="413" t="str">
        <f>CONCATENATE("Actual Tax Rates for the ",E1-1," Budget:")</f>
        <v>Actual Tax Rates for the 2012 Budget:</v>
      </c>
      <c r="B15" s="140"/>
      <c r="C15" s="140"/>
      <c r="D15" s="140"/>
      <c r="E15" s="414"/>
    </row>
    <row r="16" spans="1:5">
      <c r="A16" s="495" t="s">
        <v>654</v>
      </c>
      <c r="B16" s="496"/>
      <c r="C16" s="186"/>
      <c r="D16" s="415" t="s">
        <v>338</v>
      </c>
      <c r="E16" s="414"/>
    </row>
    <row r="17" spans="1:5">
      <c r="A17" s="146" t="str">
        <f ca="1">inputPrYr!B16</f>
        <v>General</v>
      </c>
      <c r="B17" s="147"/>
      <c r="C17" s="140"/>
      <c r="D17" s="416">
        <v>24.988</v>
      </c>
      <c r="E17" s="414"/>
    </row>
    <row r="18" spans="1:5">
      <c r="A18" s="146" t="str">
        <f ca="1">inputPrYr!B17</f>
        <v>Debt Service</v>
      </c>
      <c r="B18" s="169"/>
      <c r="C18" s="140"/>
      <c r="D18" s="417"/>
      <c r="E18" s="414"/>
    </row>
    <row r="19" spans="1:5">
      <c r="A19" s="146" t="str">
        <f ca="1">inputPrYr!B18</f>
        <v>Road</v>
      </c>
      <c r="B19" s="169"/>
      <c r="C19" s="140"/>
      <c r="D19" s="417"/>
      <c r="E19" s="414"/>
    </row>
    <row r="20" spans="1:5">
      <c r="A20" s="146">
        <f ca="1">inputPrYr!B19</f>
        <v>0</v>
      </c>
      <c r="B20" s="169"/>
      <c r="C20" s="140"/>
      <c r="D20" s="417"/>
      <c r="E20" s="414"/>
    </row>
    <row r="21" spans="1:5">
      <c r="A21" s="146">
        <f ca="1">inputPrYr!B20</f>
        <v>0</v>
      </c>
      <c r="B21" s="169"/>
      <c r="C21" s="140"/>
      <c r="D21" s="417"/>
      <c r="E21" s="414"/>
    </row>
    <row r="22" spans="1:5">
      <c r="A22" s="146">
        <f ca="1">inputPrYr!B21</f>
        <v>0</v>
      </c>
      <c r="B22" s="169"/>
      <c r="C22" s="140"/>
      <c r="D22" s="418"/>
      <c r="E22" s="414"/>
    </row>
    <row r="23" spans="1:5">
      <c r="A23" s="146">
        <f ca="1">inputPrYr!B22</f>
        <v>0</v>
      </c>
      <c r="B23" s="169"/>
      <c r="C23" s="140"/>
      <c r="D23" s="418"/>
      <c r="E23" s="414"/>
    </row>
    <row r="24" spans="1:5">
      <c r="A24" s="146">
        <f ca="1">inputPrYr!B23</f>
        <v>0</v>
      </c>
      <c r="B24" s="169"/>
      <c r="C24" s="140"/>
      <c r="D24" s="418"/>
      <c r="E24" s="414"/>
    </row>
    <row r="25" spans="1:5">
      <c r="A25" s="146">
        <f ca="1">inputPrYr!B24</f>
        <v>0</v>
      </c>
      <c r="B25" s="169"/>
      <c r="C25" s="140"/>
      <c r="D25" s="418"/>
      <c r="E25" s="414"/>
    </row>
    <row r="26" spans="1:5">
      <c r="A26" s="146">
        <f ca="1">inputPrYr!B25</f>
        <v>0</v>
      </c>
      <c r="B26" s="169"/>
      <c r="C26" s="140"/>
      <c r="D26" s="418"/>
      <c r="E26" s="414"/>
    </row>
    <row r="27" spans="1:5">
      <c r="A27" s="146">
        <f ca="1">inputPrYr!B26</f>
        <v>0</v>
      </c>
      <c r="B27" s="169"/>
      <c r="C27" s="140"/>
      <c r="D27" s="418"/>
      <c r="E27" s="414"/>
    </row>
    <row r="28" spans="1:5">
      <c r="A28" s="133"/>
      <c r="B28" s="147" t="s">
        <v>644</v>
      </c>
      <c r="C28" s="158"/>
      <c r="D28" s="419">
        <f>SUM(D17:D27)</f>
        <v>24.988</v>
      </c>
      <c r="E28" s="133"/>
    </row>
    <row r="29" spans="1:5">
      <c r="A29" s="133"/>
      <c r="B29" s="133"/>
      <c r="C29" s="133"/>
      <c r="D29" s="133"/>
      <c r="E29" s="133"/>
    </row>
    <row r="30" spans="1:5">
      <c r="A30" s="147" t="str">
        <f>CONCATENATE("Final Assessed Valuation from the November 1, ",E1-2," Abstract:")</f>
        <v>Final Assessed Valuation from the November 1, 2011 Abstract:</v>
      </c>
      <c r="B30" s="147"/>
      <c r="C30" s="147"/>
      <c r="D30" s="147"/>
      <c r="E30" s="315">
        <v>1736726</v>
      </c>
    </row>
    <row r="31" spans="1:5">
      <c r="A31" s="133"/>
      <c r="B31" s="133"/>
      <c r="C31" s="133"/>
      <c r="D31" s="133"/>
      <c r="E31" s="133"/>
    </row>
    <row r="32" spans="1:5">
      <c r="A32" s="420" t="str">
        <f>CONCATENATE("From the County Treasurer's Budget Information - ",E1," Budget Year Estimates:")</f>
        <v>From the County Treasurer's Budget Information - 2013 Budget Year Estimates:</v>
      </c>
      <c r="B32" s="421"/>
      <c r="C32" s="421"/>
      <c r="D32" s="422"/>
      <c r="E32" s="196"/>
    </row>
    <row r="33" spans="1:5">
      <c r="A33" s="146" t="s">
        <v>505</v>
      </c>
      <c r="B33" s="147"/>
      <c r="C33" s="147"/>
      <c r="D33" s="423"/>
      <c r="E33" s="279">
        <v>2996</v>
      </c>
    </row>
    <row r="34" spans="1:5">
      <c r="A34" s="424" t="s">
        <v>645</v>
      </c>
      <c r="B34" s="169"/>
      <c r="C34" s="169"/>
      <c r="D34" s="312"/>
      <c r="E34" s="279">
        <v>57</v>
      </c>
    </row>
    <row r="35" spans="1:5">
      <c r="A35" s="424" t="s">
        <v>506</v>
      </c>
      <c r="B35" s="169"/>
      <c r="C35" s="169"/>
      <c r="D35" s="312"/>
      <c r="E35" s="279">
        <v>679</v>
      </c>
    </row>
    <row r="36" spans="1:5">
      <c r="A36" s="424" t="s">
        <v>507</v>
      </c>
      <c r="B36" s="169"/>
      <c r="C36" s="169"/>
      <c r="D36" s="312"/>
      <c r="E36" s="279"/>
    </row>
    <row r="37" spans="1:5">
      <c r="A37" s="424" t="s">
        <v>508</v>
      </c>
      <c r="B37" s="169"/>
      <c r="C37" s="169"/>
      <c r="D37" s="312"/>
      <c r="E37" s="279"/>
    </row>
    <row r="38" spans="1:5">
      <c r="A38" s="424" t="s">
        <v>444</v>
      </c>
      <c r="B38" s="147"/>
      <c r="C38" s="147"/>
      <c r="D38" s="423"/>
      <c r="E38" s="279"/>
    </row>
    <row r="39" spans="1:5">
      <c r="A39" s="133" t="s">
        <v>509</v>
      </c>
      <c r="B39" s="133"/>
      <c r="C39" s="133"/>
      <c r="D39" s="133"/>
      <c r="E39" s="133"/>
    </row>
    <row r="40" spans="1:5">
      <c r="A40" s="357" t="s">
        <v>510</v>
      </c>
      <c r="B40" s="134"/>
      <c r="C40" s="134"/>
      <c r="D40" s="133"/>
      <c r="E40" s="133"/>
    </row>
    <row r="41" spans="1:5">
      <c r="A41" s="181" t="str">
        <f>CONCATENATE("Actual Delinquency for ",E1-2," Tax (round to three decimal places)")</f>
        <v>Actual Delinquency for 2011 Tax (round to three decimal places)</v>
      </c>
      <c r="B41" s="140"/>
      <c r="C41" s="133"/>
      <c r="D41" s="133"/>
      <c r="E41" s="425"/>
    </row>
    <row r="42" spans="1:5">
      <c r="A42" s="181" t="s">
        <v>511</v>
      </c>
      <c r="B42" s="181"/>
      <c r="C42" s="140"/>
      <c r="D42" s="140"/>
      <c r="E42" s="426"/>
    </row>
    <row r="43" spans="1:5">
      <c r="A43" s="427" t="s">
        <v>512</v>
      </c>
      <c r="B43" s="427"/>
      <c r="C43" s="428"/>
      <c r="D43" s="428"/>
      <c r="E43" s="429"/>
    </row>
    <row r="44" spans="1:5">
      <c r="A44" s="211"/>
      <c r="B44" s="211"/>
      <c r="C44" s="211"/>
      <c r="D44" s="211"/>
      <c r="E44" s="211"/>
    </row>
    <row r="45" spans="1:5">
      <c r="A45" s="497" t="str">
        <f>CONCATENATE("From the ",E1-2," Budget Certificate Page")</f>
        <v>From the 2011 Budget Certificate Page</v>
      </c>
      <c r="B45" s="498"/>
      <c r="C45" s="211"/>
      <c r="D45" s="211"/>
      <c r="E45" s="211"/>
    </row>
    <row r="46" spans="1:5">
      <c r="A46" s="430"/>
      <c r="B46" s="430" t="str">
        <f>CONCATENATE("",E1-2," Expenditure Amounts")</f>
        <v>2011 Expenditure Amounts</v>
      </c>
      <c r="C46" s="499" t="str">
        <f>CONCATENATE("Note: If the ",E1-2," budget was amended, then the")</f>
        <v>Note: If the 2011 budget was amended, then the</v>
      </c>
      <c r="D46" s="500"/>
      <c r="E46" s="500"/>
    </row>
    <row r="47" spans="1:5">
      <c r="A47" s="431" t="s">
        <v>568</v>
      </c>
      <c r="B47" s="431" t="s">
        <v>569</v>
      </c>
      <c r="C47" s="432" t="s">
        <v>570</v>
      </c>
      <c r="D47" s="433"/>
      <c r="E47" s="433"/>
    </row>
    <row r="48" spans="1:5">
      <c r="A48" s="434" t="str">
        <f ca="1">inputPrYr!B16</f>
        <v>General</v>
      </c>
      <c r="B48" s="315">
        <v>43290</v>
      </c>
      <c r="C48" s="432" t="s">
        <v>571</v>
      </c>
      <c r="D48" s="433"/>
      <c r="E48" s="433"/>
    </row>
    <row r="49" spans="1:5">
      <c r="A49" s="434" t="str">
        <f ca="1">inputPrYr!B17</f>
        <v>Debt Service</v>
      </c>
      <c r="B49" s="315"/>
      <c r="C49" s="432"/>
      <c r="D49" s="433"/>
      <c r="E49" s="433"/>
    </row>
    <row r="50" spans="1:5">
      <c r="A50" s="434" t="str">
        <f ca="1">inputPrYr!B18</f>
        <v>Road</v>
      </c>
      <c r="B50" s="315"/>
      <c r="C50" s="211"/>
      <c r="D50" s="211"/>
      <c r="E50" s="211"/>
    </row>
    <row r="51" spans="1:5">
      <c r="A51" s="434">
        <f ca="1">inputPrYr!B19</f>
        <v>0</v>
      </c>
      <c r="B51" s="315"/>
      <c r="C51" s="211"/>
      <c r="D51" s="211"/>
      <c r="E51" s="211"/>
    </row>
    <row r="52" spans="1:5">
      <c r="A52" s="434">
        <f ca="1">inputPrYr!B20</f>
        <v>0</v>
      </c>
      <c r="B52" s="315"/>
      <c r="C52" s="211"/>
      <c r="D52" s="211"/>
      <c r="E52" s="211"/>
    </row>
    <row r="53" spans="1:5">
      <c r="A53" s="434">
        <f ca="1">inputPrYr!B21</f>
        <v>0</v>
      </c>
      <c r="B53" s="315"/>
      <c r="C53" s="211"/>
      <c r="D53" s="211"/>
      <c r="E53" s="211"/>
    </row>
    <row r="54" spans="1:5">
      <c r="A54" s="434">
        <f ca="1">inputPrYr!B22</f>
        <v>0</v>
      </c>
      <c r="B54" s="315"/>
      <c r="C54" s="211"/>
      <c r="D54" s="211"/>
      <c r="E54" s="211"/>
    </row>
    <row r="55" spans="1:5">
      <c r="A55" s="434">
        <f ca="1">inputPrYr!B23</f>
        <v>0</v>
      </c>
      <c r="B55" s="315"/>
      <c r="C55" s="211"/>
      <c r="D55" s="211"/>
      <c r="E55" s="211"/>
    </row>
    <row r="56" spans="1:5">
      <c r="A56" s="434">
        <f ca="1">inputPrYr!B24</f>
        <v>0</v>
      </c>
      <c r="B56" s="315"/>
      <c r="C56" s="211"/>
      <c r="D56" s="211"/>
      <c r="E56" s="211"/>
    </row>
    <row r="57" spans="1:5">
      <c r="A57" s="434">
        <f ca="1">inputPrYr!B25</f>
        <v>0</v>
      </c>
      <c r="B57" s="315"/>
      <c r="C57" s="211"/>
      <c r="D57" s="211"/>
      <c r="E57" s="211"/>
    </row>
    <row r="58" spans="1:5">
      <c r="A58" s="434">
        <f ca="1">inputPrYr!B26</f>
        <v>0</v>
      </c>
      <c r="B58" s="315"/>
      <c r="C58" s="211"/>
      <c r="D58" s="211"/>
      <c r="E58" s="211"/>
    </row>
    <row r="59" spans="1:5">
      <c r="A59" s="434">
        <f ca="1">inputPrYr!B30</f>
        <v>0</v>
      </c>
      <c r="B59" s="315"/>
      <c r="C59" s="211"/>
      <c r="D59" s="211"/>
      <c r="E59" s="211"/>
    </row>
    <row r="60" spans="1:5">
      <c r="A60" s="434">
        <f ca="1">inputPrYr!B31</f>
        <v>0</v>
      </c>
      <c r="B60" s="315"/>
      <c r="C60" s="211"/>
      <c r="D60" s="211"/>
      <c r="E60" s="211"/>
    </row>
    <row r="61" spans="1:5">
      <c r="A61" s="434">
        <f ca="1">inputPrYr!B32</f>
        <v>0</v>
      </c>
      <c r="B61" s="315"/>
      <c r="C61" s="211"/>
      <c r="D61" s="211"/>
      <c r="E61" s="211"/>
    </row>
    <row r="62" spans="1:5">
      <c r="A62" s="434">
        <f ca="1">inputPrYr!B33</f>
        <v>0</v>
      </c>
      <c r="B62" s="315"/>
      <c r="C62" s="211"/>
      <c r="D62" s="211"/>
      <c r="E62" s="211"/>
    </row>
  </sheetData>
  <sheetProtection sheet="1"/>
  <mergeCells count="4">
    <mergeCell ref="A4:E4"/>
    <mergeCell ref="A16:B16"/>
    <mergeCell ref="A45:B45"/>
    <mergeCell ref="C46:E46"/>
  </mergeCells>
  <phoneticPr fontId="11" type="noConversion"/>
  <pageMargins left="0.75" right="0.75" top="1" bottom="1" header="0.5" footer="0.5"/>
  <pageSetup scale="75" orientation="portrait" blackAndWhite="1" r:id="rId1"/>
  <headerFooter alignWithMargins="0">
    <oddFooter>&amp;Lrevised 2/23/09</oddFooter>
  </headerFooter>
</worksheet>
</file>

<file path=xl/worksheets/sheet30.xml><?xml version="1.0" encoding="utf-8"?>
<worksheet xmlns="http://schemas.openxmlformats.org/spreadsheetml/2006/main" xmlns:r="http://schemas.openxmlformats.org/officeDocument/2006/relationships">
  <dimension ref="A1:A116"/>
  <sheetViews>
    <sheetView workbookViewId="0">
      <selection activeCell="B3" sqref="B3"/>
    </sheetView>
  </sheetViews>
  <sheetFormatPr defaultRowHeight="15.75"/>
  <cols>
    <col min="1" max="1" width="72.09765625" style="1" customWidth="1"/>
    <col min="2" max="16384" width="8.796875" style="1"/>
  </cols>
  <sheetData>
    <row r="1" spans="1:1">
      <c r="A1" s="466" t="s">
        <v>327</v>
      </c>
    </row>
    <row r="2" spans="1:1" ht="36.75" customHeight="1">
      <c r="A2" s="443" t="s">
        <v>328</v>
      </c>
    </row>
    <row r="4" spans="1:1">
      <c r="A4" s="466" t="s">
        <v>323</v>
      </c>
    </row>
    <row r="5" spans="1:1">
      <c r="A5" s="187" t="s">
        <v>324</v>
      </c>
    </row>
    <row r="6" spans="1:1">
      <c r="A6" s="187" t="s">
        <v>325</v>
      </c>
    </row>
    <row r="7" spans="1:1">
      <c r="A7" s="187" t="s">
        <v>326</v>
      </c>
    </row>
    <row r="9" spans="1:1">
      <c r="A9" s="484" t="s">
        <v>312</v>
      </c>
    </row>
    <row r="10" spans="1:1">
      <c r="A10" s="187" t="s">
        <v>322</v>
      </c>
    </row>
    <row r="12" spans="1:1">
      <c r="A12" s="466" t="s">
        <v>64</v>
      </c>
    </row>
    <row r="13" spans="1:1">
      <c r="A13" s="467" t="s">
        <v>65</v>
      </c>
    </row>
    <row r="14" spans="1:1">
      <c r="A14" s="467" t="s">
        <v>66</v>
      </c>
    </row>
    <row r="15" spans="1:1">
      <c r="A15" s="467" t="s">
        <v>67</v>
      </c>
    </row>
    <row r="16" spans="1:1">
      <c r="A16" s="468" t="s">
        <v>68</v>
      </c>
    </row>
    <row r="18" spans="1:1">
      <c r="A18" s="465" t="s">
        <v>686</v>
      </c>
    </row>
    <row r="19" spans="1:1">
      <c r="A19" s="1" t="s">
        <v>688</v>
      </c>
    </row>
    <row r="20" spans="1:1">
      <c r="A20" s="1" t="s">
        <v>0</v>
      </c>
    </row>
    <row r="21" spans="1:1">
      <c r="A21" s="1" t="s">
        <v>1</v>
      </c>
    </row>
    <row r="22" spans="1:1">
      <c r="A22" s="1" t="s">
        <v>2</v>
      </c>
    </row>
    <row r="23" spans="1:1">
      <c r="A23" s="1" t="s">
        <v>3</v>
      </c>
    </row>
    <row r="24" spans="1:1">
      <c r="A24" s="1" t="s">
        <v>4</v>
      </c>
    </row>
    <row r="25" spans="1:1">
      <c r="A25" s="1" t="s">
        <v>20</v>
      </c>
    </row>
    <row r="26" spans="1:1">
      <c r="A26" s="1" t="s">
        <v>21</v>
      </c>
    </row>
    <row r="27" spans="1:1">
      <c r="A27" s="1" t="s">
        <v>22</v>
      </c>
    </row>
    <row r="28" spans="1:1">
      <c r="A28" s="1" t="s">
        <v>23</v>
      </c>
    </row>
    <row r="29" spans="1:1">
      <c r="A29" s="1" t="s">
        <v>38</v>
      </c>
    </row>
    <row r="30" spans="1:1">
      <c r="A30" s="1" t="s">
        <v>47</v>
      </c>
    </row>
    <row r="31" spans="1:1">
      <c r="A31" s="453" t="s">
        <v>51</v>
      </c>
    </row>
    <row r="33" spans="1:1">
      <c r="A33" s="464" t="s">
        <v>681</v>
      </c>
    </row>
    <row r="34" spans="1:1">
      <c r="A34" s="1" t="s">
        <v>682</v>
      </c>
    </row>
    <row r="35" spans="1:1">
      <c r="A35" s="1" t="s">
        <v>683</v>
      </c>
    </row>
    <row r="37" spans="1:1">
      <c r="A37" s="464" t="s">
        <v>679</v>
      </c>
    </row>
    <row r="38" spans="1:1">
      <c r="A38" s="1" t="s">
        <v>680</v>
      </c>
    </row>
    <row r="40" spans="1:1">
      <c r="A40" s="464" t="s">
        <v>677</v>
      </c>
    </row>
    <row r="41" spans="1:1">
      <c r="A41" s="1" t="s">
        <v>678</v>
      </c>
    </row>
    <row r="43" spans="1:1">
      <c r="A43" s="464" t="s">
        <v>674</v>
      </c>
    </row>
    <row r="44" spans="1:1">
      <c r="A44" s="1" t="s">
        <v>675</v>
      </c>
    </row>
    <row r="45" spans="1:1">
      <c r="A45" s="1" t="s">
        <v>676</v>
      </c>
    </row>
    <row r="47" spans="1:1">
      <c r="A47" s="464" t="s">
        <v>670</v>
      </c>
    </row>
    <row r="48" spans="1:1">
      <c r="A48" s="1" t="s">
        <v>671</v>
      </c>
    </row>
    <row r="49" spans="1:1">
      <c r="A49" s="1" t="s">
        <v>672</v>
      </c>
    </row>
    <row r="50" spans="1:1">
      <c r="A50" s="1" t="s">
        <v>673</v>
      </c>
    </row>
    <row r="52" spans="1:1">
      <c r="A52" s="464" t="s">
        <v>666</v>
      </c>
    </row>
    <row r="53" spans="1:1">
      <c r="A53" s="1" t="s">
        <v>667</v>
      </c>
    </row>
    <row r="54" spans="1:1">
      <c r="A54" s="1" t="s">
        <v>668</v>
      </c>
    </row>
    <row r="56" spans="1:1">
      <c r="A56" s="464" t="s">
        <v>663</v>
      </c>
    </row>
    <row r="57" spans="1:1" ht="34.5" customHeight="1">
      <c r="A57" s="1" t="s">
        <v>664</v>
      </c>
    </row>
    <row r="59" spans="1:1">
      <c r="A59" s="1" t="s">
        <v>617</v>
      </c>
    </row>
    <row r="60" spans="1:1">
      <c r="A60" s="1" t="s">
        <v>618</v>
      </c>
    </row>
    <row r="61" spans="1:1" ht="31.5">
      <c r="A61" s="4" t="s">
        <v>635</v>
      </c>
    </row>
    <row r="62" spans="1:1">
      <c r="A62" s="1" t="s">
        <v>619</v>
      </c>
    </row>
    <row r="63" spans="1:1">
      <c r="A63" s="1" t="s">
        <v>620</v>
      </c>
    </row>
    <row r="64" spans="1:1">
      <c r="A64" s="1" t="s">
        <v>621</v>
      </c>
    </row>
    <row r="65" spans="1:1">
      <c r="A65" s="1" t="s">
        <v>622</v>
      </c>
    </row>
    <row r="66" spans="1:1" ht="31.5">
      <c r="A66" s="4" t="s">
        <v>598</v>
      </c>
    </row>
    <row r="67" spans="1:1" ht="31.5">
      <c r="A67" s="4" t="s">
        <v>630</v>
      </c>
    </row>
    <row r="68" spans="1:1" ht="31.5">
      <c r="A68" s="4" t="s">
        <v>623</v>
      </c>
    </row>
    <row r="69" spans="1:1">
      <c r="A69" s="4" t="s">
        <v>624</v>
      </c>
    </row>
    <row r="70" spans="1:1" ht="31.5">
      <c r="A70" s="4" t="s">
        <v>625</v>
      </c>
    </row>
    <row r="71" spans="1:1" ht="33.75" customHeight="1">
      <c r="A71" s="1" t="s">
        <v>626</v>
      </c>
    </row>
    <row r="72" spans="1:1" ht="26.25" customHeight="1">
      <c r="A72" s="1" t="s">
        <v>627</v>
      </c>
    </row>
    <row r="73" spans="1:1" ht="33.75" customHeight="1">
      <c r="A73" s="1" t="s">
        <v>628</v>
      </c>
    </row>
    <row r="74" spans="1:1" ht="30.75" customHeight="1">
      <c r="A74" s="1" t="s">
        <v>634</v>
      </c>
    </row>
    <row r="75" spans="1:1" ht="33" customHeight="1">
      <c r="A75" s="4" t="s">
        <v>631</v>
      </c>
    </row>
    <row r="76" spans="1:1" ht="38.25" customHeight="1">
      <c r="A76" s="4" t="s">
        <v>592</v>
      </c>
    </row>
    <row r="77" spans="1:1" ht="33.75" customHeight="1">
      <c r="A77" s="4" t="s">
        <v>599</v>
      </c>
    </row>
    <row r="78" spans="1:1" ht="33.75" customHeight="1">
      <c r="A78" s="4" t="s">
        <v>593</v>
      </c>
    </row>
    <row r="79" spans="1:1" ht="33.75" customHeight="1">
      <c r="A79" s="4" t="s">
        <v>594</v>
      </c>
    </row>
    <row r="80" spans="1:1" ht="33.75" customHeight="1">
      <c r="A80" s="4" t="s">
        <v>595</v>
      </c>
    </row>
    <row r="81" spans="1:1" ht="31.5">
      <c r="A81" s="4" t="s">
        <v>596</v>
      </c>
    </row>
    <row r="82" spans="1:1" ht="31.5">
      <c r="A82" s="4" t="s">
        <v>600</v>
      </c>
    </row>
    <row r="83" spans="1:1" ht="31.5">
      <c r="A83" s="4" t="s">
        <v>597</v>
      </c>
    </row>
    <row r="84" spans="1:1" ht="31.5">
      <c r="A84" s="4" t="s">
        <v>601</v>
      </c>
    </row>
    <row r="85" spans="1:1">
      <c r="A85" s="4" t="s">
        <v>607</v>
      </c>
    </row>
    <row r="87" spans="1:1">
      <c r="A87" s="464" t="s">
        <v>537</v>
      </c>
    </row>
    <row r="88" spans="1:1" ht="47.25">
      <c r="A88" s="4" t="s">
        <v>602</v>
      </c>
    </row>
    <row r="89" spans="1:1">
      <c r="A89" s="1" t="s">
        <v>538</v>
      </c>
    </row>
    <row r="90" spans="1:1">
      <c r="A90" s="1" t="s">
        <v>542</v>
      </c>
    </row>
    <row r="91" spans="1:1">
      <c r="A91" s="1" t="s">
        <v>543</v>
      </c>
    </row>
    <row r="92" spans="1:1">
      <c r="A92" s="1" t="s">
        <v>539</v>
      </c>
    </row>
    <row r="93" spans="1:1">
      <c r="A93" s="1" t="s">
        <v>540</v>
      </c>
    </row>
    <row r="94" spans="1:1">
      <c r="A94" s="1" t="s">
        <v>541</v>
      </c>
    </row>
    <row r="95" spans="1:1">
      <c r="A95" s="4" t="s">
        <v>544</v>
      </c>
    </row>
    <row r="96" spans="1:1">
      <c r="A96" s="1" t="s">
        <v>545</v>
      </c>
    </row>
    <row r="97" spans="1:1">
      <c r="A97" s="1" t="s">
        <v>546</v>
      </c>
    </row>
    <row r="98" spans="1:1">
      <c r="A98" s="1" t="s">
        <v>603</v>
      </c>
    </row>
    <row r="99" spans="1:1">
      <c r="A99" s="1" t="s">
        <v>547</v>
      </c>
    </row>
    <row r="100" spans="1:1">
      <c r="A100" s="1" t="s">
        <v>604</v>
      </c>
    </row>
    <row r="101" spans="1:1">
      <c r="A101" s="1" t="s">
        <v>548</v>
      </c>
    </row>
    <row r="102" spans="1:1">
      <c r="A102" s="1" t="s">
        <v>605</v>
      </c>
    </row>
    <row r="103" spans="1:1">
      <c r="A103" s="1" t="s">
        <v>549</v>
      </c>
    </row>
    <row r="104" spans="1:1">
      <c r="A104" s="1" t="s">
        <v>553</v>
      </c>
    </row>
    <row r="105" spans="1:1">
      <c r="A105" s="1" t="s">
        <v>606</v>
      </c>
    </row>
    <row r="106" spans="1:1">
      <c r="A106" s="1" t="s">
        <v>581</v>
      </c>
    </row>
    <row r="107" spans="1:1">
      <c r="A107" s="1" t="s">
        <v>582</v>
      </c>
    </row>
    <row r="108" spans="1:1">
      <c r="A108" s="1" t="s">
        <v>583</v>
      </c>
    </row>
    <row r="109" spans="1:1">
      <c r="A109" s="1" t="s">
        <v>564</v>
      </c>
    </row>
    <row r="110" spans="1:1">
      <c r="A110" s="1" t="s">
        <v>565</v>
      </c>
    </row>
    <row r="111" spans="1:1">
      <c r="A111" s="1" t="s">
        <v>566</v>
      </c>
    </row>
    <row r="112" spans="1:1">
      <c r="A112" s="1" t="s">
        <v>578</v>
      </c>
    </row>
    <row r="113" spans="1:1">
      <c r="A113" s="1" t="s">
        <v>579</v>
      </c>
    </row>
    <row r="114" spans="1:1">
      <c r="A114" s="1" t="s">
        <v>580</v>
      </c>
    </row>
    <row r="115" spans="1:1">
      <c r="A115" s="1" t="s">
        <v>591</v>
      </c>
    </row>
    <row r="116" spans="1:1">
      <c r="A116" s="1" t="s">
        <v>608</v>
      </c>
    </row>
  </sheetData>
  <sheetProtection sheet="1"/>
  <phoneticPr fontId="0"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2:F23"/>
  <sheetViews>
    <sheetView workbookViewId="0">
      <selection activeCell="B12" sqref="B12"/>
    </sheetView>
  </sheetViews>
  <sheetFormatPr defaultRowHeight="15.75"/>
  <cols>
    <col min="1" max="1" width="13.69921875" customWidth="1"/>
    <col min="2" max="2" width="16" customWidth="1"/>
  </cols>
  <sheetData>
    <row r="2" spans="1:6" ht="54" customHeight="1">
      <c r="A2" s="501" t="s">
        <v>52</v>
      </c>
      <c r="B2" s="502"/>
      <c r="C2" s="502"/>
      <c r="D2" s="502"/>
      <c r="E2" s="502"/>
      <c r="F2" s="502"/>
    </row>
    <row r="4" spans="1:6">
      <c r="A4" s="454"/>
      <c r="B4" s="454"/>
      <c r="C4" s="454"/>
      <c r="D4" s="455"/>
      <c r="E4" s="454"/>
      <c r="F4" s="454"/>
    </row>
    <row r="5" spans="1:6">
      <c r="A5" s="456" t="s">
        <v>53</v>
      </c>
      <c r="B5" s="457" t="s">
        <v>558</v>
      </c>
      <c r="C5" s="458"/>
      <c r="D5" s="456" t="s">
        <v>54</v>
      </c>
      <c r="E5" s="454"/>
      <c r="F5" s="454"/>
    </row>
    <row r="6" spans="1:6">
      <c r="A6" s="456"/>
      <c r="B6" s="459"/>
      <c r="C6" s="460"/>
      <c r="D6" s="456"/>
      <c r="E6" s="454"/>
      <c r="F6" s="454"/>
    </row>
    <row r="7" spans="1:6">
      <c r="A7" s="456" t="s">
        <v>55</v>
      </c>
      <c r="B7" s="457" t="s">
        <v>559</v>
      </c>
      <c r="C7" s="461"/>
      <c r="D7" s="456"/>
      <c r="E7" s="454"/>
      <c r="F7" s="454"/>
    </row>
    <row r="8" spans="1:6">
      <c r="A8" s="456"/>
      <c r="B8" s="456"/>
      <c r="C8" s="456"/>
      <c r="D8" s="456"/>
      <c r="E8" s="454"/>
      <c r="F8" s="454"/>
    </row>
    <row r="9" spans="1:6">
      <c r="A9" s="456" t="s">
        <v>56</v>
      </c>
      <c r="B9" s="462" t="s">
        <v>560</v>
      </c>
      <c r="C9" s="462"/>
      <c r="D9" s="462"/>
      <c r="E9" s="463"/>
      <c r="F9" s="454"/>
    </row>
    <row r="10" spans="1:6">
      <c r="A10" s="456"/>
      <c r="B10" s="456"/>
      <c r="C10" s="456"/>
      <c r="D10" s="456"/>
      <c r="E10" s="454"/>
      <c r="F10" s="454"/>
    </row>
    <row r="11" spans="1:6">
      <c r="A11" s="456"/>
      <c r="B11" s="456"/>
      <c r="C11" s="456"/>
      <c r="D11" s="456"/>
      <c r="E11" s="454"/>
      <c r="F11" s="454"/>
    </row>
    <row r="12" spans="1:6">
      <c r="A12" s="456" t="s">
        <v>57</v>
      </c>
      <c r="B12" s="462" t="s">
        <v>560</v>
      </c>
      <c r="C12" s="462"/>
      <c r="D12" s="462"/>
      <c r="E12" s="463"/>
      <c r="F12" s="454"/>
    </row>
    <row r="15" spans="1:6">
      <c r="A15" s="503" t="s">
        <v>58</v>
      </c>
      <c r="B15" s="503"/>
      <c r="C15" s="456"/>
      <c r="D15" s="456"/>
      <c r="E15" s="456"/>
      <c r="F15" s="454"/>
    </row>
    <row r="16" spans="1:6">
      <c r="A16" s="456"/>
      <c r="B16" s="456"/>
      <c r="C16" s="456"/>
      <c r="D16" s="456"/>
      <c r="E16" s="456"/>
      <c r="F16" s="454"/>
    </row>
    <row r="17" spans="1:5">
      <c r="A17" s="456" t="s">
        <v>53</v>
      </c>
      <c r="B17" s="459" t="s">
        <v>59</v>
      </c>
      <c r="C17" s="456"/>
      <c r="D17" s="456"/>
      <c r="E17" s="456"/>
    </row>
    <row r="18" spans="1:5">
      <c r="A18" s="456"/>
      <c r="B18" s="456"/>
      <c r="C18" s="456"/>
      <c r="D18" s="456"/>
      <c r="E18" s="456"/>
    </row>
    <row r="19" spans="1:5">
      <c r="A19" s="456" t="s">
        <v>55</v>
      </c>
      <c r="B19" s="456" t="s">
        <v>60</v>
      </c>
      <c r="C19" s="456"/>
      <c r="D19" s="456"/>
      <c r="E19" s="456"/>
    </row>
    <row r="20" spans="1:5">
      <c r="A20" s="456"/>
      <c r="B20" s="456"/>
      <c r="C20" s="456"/>
      <c r="D20" s="456"/>
      <c r="E20" s="456"/>
    </row>
    <row r="21" spans="1:5">
      <c r="A21" s="456" t="s">
        <v>56</v>
      </c>
      <c r="B21" s="456" t="s">
        <v>61</v>
      </c>
      <c r="C21" s="456"/>
      <c r="D21" s="456"/>
      <c r="E21" s="456"/>
    </row>
    <row r="22" spans="1:5">
      <c r="A22" s="456"/>
      <c r="B22" s="456"/>
      <c r="C22" s="456"/>
      <c r="D22" s="456"/>
      <c r="E22" s="456"/>
    </row>
    <row r="23" spans="1:5">
      <c r="A23" s="456" t="s">
        <v>57</v>
      </c>
      <c r="B23" s="456" t="s">
        <v>62</v>
      </c>
      <c r="C23" s="456"/>
      <c r="D23" s="456"/>
      <c r="E23" s="456"/>
    </row>
  </sheetData>
  <sheetProtection sheet="1" objects="1" scenarios="1"/>
  <mergeCells count="2">
    <mergeCell ref="A2:F2"/>
    <mergeCell ref="A15:B15"/>
  </mergeCells>
  <phoneticPr fontId="0"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pageSetUpPr fitToPage="1"/>
  </sheetPr>
  <dimension ref="A1:I110"/>
  <sheetViews>
    <sheetView topLeftCell="A2" workbookViewId="0">
      <selection activeCell="A18" sqref="A18:H32"/>
    </sheetView>
  </sheetViews>
  <sheetFormatPr defaultRowHeight="15.75"/>
  <cols>
    <col min="1" max="1" width="20.69921875" style="5" customWidth="1"/>
    <col min="2" max="2" width="12.69921875" style="5" customWidth="1"/>
    <col min="3" max="3" width="9.69921875" style="5" customWidth="1"/>
    <col min="4" max="4" width="12.69921875" style="5" customWidth="1"/>
    <col min="5" max="5" width="9.69921875" style="5" customWidth="1"/>
    <col min="6" max="6" width="12.69921875" style="5" customWidth="1"/>
    <col min="7" max="7" width="10.69921875" style="5" customWidth="1"/>
    <col min="8" max="8" width="9.69921875" style="5" customWidth="1"/>
    <col min="9" max="16384" width="8.796875" style="5"/>
  </cols>
  <sheetData>
    <row r="1" spans="1:9" hidden="1">
      <c r="A1" s="36" t="s">
        <v>414</v>
      </c>
      <c r="B1" s="25"/>
      <c r="C1" s="25"/>
      <c r="D1" s="25"/>
      <c r="E1" s="25"/>
      <c r="F1" s="25"/>
      <c r="G1" s="25"/>
      <c r="H1" s="25">
        <f ca="1">inputPrYr!D5</f>
        <v>2013</v>
      </c>
    </row>
    <row r="2" spans="1:9">
      <c r="A2" s="16"/>
      <c r="B2" s="16"/>
      <c r="C2" s="16"/>
      <c r="D2" s="16"/>
      <c r="E2" s="16"/>
      <c r="F2" s="18" t="s">
        <v>373</v>
      </c>
      <c r="G2" s="18" t="s">
        <v>374</v>
      </c>
      <c r="H2" s="16"/>
    </row>
    <row r="3" spans="1:9">
      <c r="A3" s="504" t="s">
        <v>375</v>
      </c>
      <c r="B3" s="504"/>
      <c r="C3" s="504"/>
      <c r="D3" s="504"/>
      <c r="E3" s="504"/>
      <c r="F3" s="504"/>
      <c r="G3" s="504"/>
      <c r="H3" s="504"/>
    </row>
    <row r="4" spans="1:9">
      <c r="A4" s="508" t="str">
        <f ca="1">inputPrYr!D2</f>
        <v>Winterset Township</v>
      </c>
      <c r="B4" s="508"/>
      <c r="C4" s="508"/>
      <c r="D4" s="508"/>
      <c r="E4" s="508"/>
      <c r="F4" s="508"/>
      <c r="G4" s="508"/>
      <c r="H4" s="508"/>
    </row>
    <row r="5" spans="1:9">
      <c r="A5" s="508" t="str">
        <f ca="1">inputPrYr!D3</f>
        <v>Russell County</v>
      </c>
      <c r="B5" s="508"/>
      <c r="C5" s="508"/>
      <c r="D5" s="508"/>
      <c r="E5" s="508"/>
      <c r="F5" s="508"/>
      <c r="G5" s="508"/>
      <c r="H5" s="508"/>
    </row>
    <row r="6" spans="1:9">
      <c r="A6" s="504" t="str">
        <f ca="1">CONCATENATE("will meet on ",inputBudSum!B5," at ",inputBudSum!B7," at ",inputBudSum!B9," for the purpose of hearing and")</f>
        <v>will meet on August 14, 2012 at 8 p.m. at the Robert Yarmer residence for the purpose of hearing and</v>
      </c>
      <c r="B6" s="504"/>
      <c r="C6" s="504"/>
      <c r="D6" s="504"/>
      <c r="E6" s="504"/>
      <c r="F6" s="504"/>
      <c r="G6" s="504"/>
      <c r="H6" s="504"/>
    </row>
    <row r="7" spans="1:9">
      <c r="A7" s="37" t="s">
        <v>63</v>
      </c>
      <c r="B7" s="25"/>
      <c r="C7" s="25"/>
      <c r="D7" s="25"/>
      <c r="E7" s="25"/>
      <c r="F7" s="25"/>
      <c r="G7" s="25"/>
      <c r="H7" s="25"/>
    </row>
    <row r="8" spans="1:9">
      <c r="A8" s="37" t="str">
        <f ca="1">CONCATENATE("Detailed budget information is available at ",inputBudSum!B12," and will be available at this hearing.")</f>
        <v>Detailed budget information is available at the Robert Yarmer residence and will be available at this hearing.</v>
      </c>
      <c r="B8" s="25"/>
      <c r="C8" s="25"/>
      <c r="D8" s="25"/>
      <c r="E8" s="25"/>
      <c r="F8" s="25"/>
      <c r="G8" s="25"/>
      <c r="H8" s="25"/>
    </row>
    <row r="9" spans="1:9">
      <c r="A9" s="36" t="s">
        <v>415</v>
      </c>
      <c r="B9" s="38"/>
      <c r="C9" s="38"/>
      <c r="D9" s="38"/>
      <c r="E9" s="38"/>
      <c r="F9" s="38"/>
      <c r="G9" s="38"/>
      <c r="H9" s="38"/>
    </row>
    <row r="10" spans="1:9">
      <c r="A10" s="37" t="str">
        <f>CONCATENATE("Proposed Budget ",H1," Expenditures and Amount of ",H1-1," Ad Valorem Tax establish the maximum limits")</f>
        <v>Proposed Budget 2013 Expenditures and Amount of 2012 Ad Valorem Tax establish the maximum limits</v>
      </c>
      <c r="B10" s="25"/>
      <c r="C10" s="25"/>
      <c r="D10" s="25"/>
      <c r="E10" s="25"/>
      <c r="F10" s="25"/>
      <c r="G10" s="25"/>
      <c r="H10" s="25"/>
    </row>
    <row r="11" spans="1:9">
      <c r="A11" s="37" t="str">
        <f>CONCATENATE("of the ",H1," budget.  Estimated Tax Rate is subject to change depending on the final assessed valuation.")</f>
        <v>of the 2013 budget.  Estimated Tax Rate is subject to change depending on the final assessed valuation.</v>
      </c>
      <c r="B11" s="25"/>
      <c r="C11" s="25"/>
      <c r="D11" s="25"/>
      <c r="E11" s="25"/>
      <c r="F11" s="25"/>
      <c r="G11" s="25"/>
      <c r="H11" s="25"/>
    </row>
    <row r="12" spans="1:9">
      <c r="A12" s="18"/>
      <c r="B12" s="23"/>
      <c r="C12" s="23"/>
      <c r="D12" s="23"/>
      <c r="E12" s="23"/>
      <c r="F12" s="23"/>
      <c r="G12" s="23"/>
      <c r="H12" s="23"/>
      <c r="I12" s="11"/>
    </row>
    <row r="13" spans="1:9">
      <c r="A13" s="16"/>
      <c r="B13" s="39" t="str">
        <f>CONCATENATE("Prior Year Actual ",H1-2,"")</f>
        <v>Prior Year Actual 2011</v>
      </c>
      <c r="C13" s="40"/>
      <c r="D13" s="39" t="str">
        <f>CONCATENATE("Current Year Estimate ",H1-1,"")</f>
        <v>Current Year Estimate 2012</v>
      </c>
      <c r="E13" s="41"/>
      <c r="F13" s="42" t="str">
        <f>CONCATENATE("Proposed Budget ",H1,"")</f>
        <v>Proposed Budget 2013</v>
      </c>
      <c r="G13" s="43"/>
      <c r="H13" s="41"/>
      <c r="I13" s="11"/>
    </row>
    <row r="14" spans="1:9" ht="22.5" customHeight="1">
      <c r="A14" s="16"/>
      <c r="B14" s="33"/>
      <c r="C14" s="26" t="s">
        <v>367</v>
      </c>
      <c r="D14" s="26"/>
      <c r="E14" s="26" t="s">
        <v>367</v>
      </c>
      <c r="F14" s="30"/>
      <c r="G14" s="505" t="str">
        <f>CONCATENATE("Amount of ",H1-1," Ad Valorem Tax")</f>
        <v>Amount of 2012 Ad Valorem Tax</v>
      </c>
      <c r="H14" s="26" t="s">
        <v>376</v>
      </c>
      <c r="I14" s="11"/>
    </row>
    <row r="15" spans="1:9">
      <c r="A15" s="16"/>
      <c r="B15" s="44"/>
      <c r="C15" s="44" t="s">
        <v>377</v>
      </c>
      <c r="D15" s="44"/>
      <c r="E15" s="44" t="s">
        <v>377</v>
      </c>
      <c r="F15" s="44"/>
      <c r="G15" s="506"/>
      <c r="H15" s="44" t="s">
        <v>377</v>
      </c>
      <c r="I15" s="11"/>
    </row>
    <row r="16" spans="1:9">
      <c r="A16" s="45" t="s">
        <v>654</v>
      </c>
      <c r="B16" s="27" t="s">
        <v>378</v>
      </c>
      <c r="C16" s="27" t="s">
        <v>379</v>
      </c>
      <c r="D16" s="27" t="s">
        <v>378</v>
      </c>
      <c r="E16" s="27" t="s">
        <v>379</v>
      </c>
      <c r="F16" s="27" t="s">
        <v>378</v>
      </c>
      <c r="G16" s="507"/>
      <c r="H16" s="27" t="s">
        <v>379</v>
      </c>
      <c r="I16" s="11"/>
    </row>
    <row r="17" spans="1:9">
      <c r="A17" s="15" t="str">
        <f ca="1">inputPrYr!B16</f>
        <v>General</v>
      </c>
      <c r="B17" s="15">
        <f ca="1">IF(gen!$C$50&lt;&gt;0,gen!$C$50,"  ")</f>
        <v>37774</v>
      </c>
      <c r="C17" s="46">
        <f ca="1">IF(inputPrYr!D45&gt;0,inputPrYr!D45,"  ")</f>
        <v>30.733000000000001</v>
      </c>
      <c r="D17" s="15">
        <f ca="1">IF(gen!$E$50&lt;&gt;0,gen!$E$50,"  ")</f>
        <v>56340</v>
      </c>
      <c r="E17" s="46">
        <f ca="1">IF(inputOth!D17&gt;0,inputOth!D17,"  ")</f>
        <v>24.988</v>
      </c>
      <c r="F17" s="15">
        <f ca="1">IF(gen!$G$50&lt;&gt;0,gen!$G$50,"  ")</f>
        <v>57090</v>
      </c>
      <c r="G17" s="15">
        <f ca="1">IF(gen!$G$56&lt;&gt;0,gen!$G$56," ")</f>
        <v>44340</v>
      </c>
      <c r="H17" s="97">
        <f ca="1">IF(gen!G56&gt;0,ROUND(G17/$F$39*1000,3)," ")</f>
        <v>24.018000000000001</v>
      </c>
      <c r="I17" s="11"/>
    </row>
    <row r="18" spans="1:9" hidden="1">
      <c r="A18" s="15" t="s">
        <v>669</v>
      </c>
      <c r="B18" s="15" t="str">
        <f ca="1">IF(DebtService!$C$53&lt;&gt;0,DebtService!$C$53,"  ")</f>
        <v xml:space="preserve">  </v>
      </c>
      <c r="C18" s="46" t="str">
        <f ca="1">IF(inputPrYr!D46&gt;0,inputPrYr!D46,"  ")</f>
        <v xml:space="preserve">  </v>
      </c>
      <c r="D18" s="15" t="str">
        <f ca="1">IF(DebtService!$E$53&lt;&gt;0,DebtService!$E$53,"  ")</f>
        <v xml:space="preserve">  </v>
      </c>
      <c r="E18" s="46" t="str">
        <f ca="1">IF(inputOth!D18&gt;0,inputOth!D18,"  ")</f>
        <v xml:space="preserve">  </v>
      </c>
      <c r="F18" s="15" t="str">
        <f ca="1">IF(DebtService!$G$53&lt;&gt;0,DebtService!$G$53,"  ")</f>
        <v xml:space="preserve">  </v>
      </c>
      <c r="G18" s="15" t="str">
        <f ca="1">IF(DebtService!$G$59&lt;&gt;0,DebtService!$G$59," ")</f>
        <v xml:space="preserve"> </v>
      </c>
      <c r="H18" s="97" t="str">
        <f ca="1">IF(DebtService!G59&gt;0,ROUND(G18/$F$39*1000,3)," ")</f>
        <v xml:space="preserve"> </v>
      </c>
      <c r="I18" s="11"/>
    </row>
    <row r="19" spans="1:9" hidden="1">
      <c r="A19" s="15" t="str">
        <f ca="1">IF(inputPrYr!$B18&gt;"  ",inputPrYr!$B18,"  ")</f>
        <v>Road</v>
      </c>
      <c r="B19" s="15" t="str">
        <f ca="1">IF(road!$C$43&lt;&gt;0,road!$C$43,"  ")</f>
        <v xml:space="preserve">  </v>
      </c>
      <c r="C19" s="46" t="str">
        <f ca="1">IF(inputPrYr!D47&gt;0,inputPrYr!D47,"  ")</f>
        <v xml:space="preserve">  </v>
      </c>
      <c r="D19" s="15" t="str">
        <f ca="1">IF(road!$E$43&lt;&gt;0,road!$E$43,"  ")</f>
        <v xml:space="preserve">  </v>
      </c>
      <c r="E19" s="46" t="str">
        <f ca="1">IF(inputOth!D19&gt;0,inputOth!D19,"  ")</f>
        <v xml:space="preserve">  </v>
      </c>
      <c r="F19" s="15" t="str">
        <f ca="1">IF(road!$G$43&lt;&gt;0,road!$G$43,"  ")</f>
        <v xml:space="preserve">  </v>
      </c>
      <c r="G19" s="15" t="str">
        <f ca="1">IF(road!$G$49&lt;&gt;0,road!$G$49,"  ")</f>
        <v xml:space="preserve">  </v>
      </c>
      <c r="H19" s="97" t="str">
        <f ca="1">IF(road!G49&gt;0,ROUND(G19/$F$39*1000,3)," ")</f>
        <v xml:space="preserve"> </v>
      </c>
    </row>
    <row r="20" spans="1:9" hidden="1">
      <c r="A20" s="15" t="str">
        <f ca="1">IF(inputPrYr!$B19&gt;"  ",inputPrYr!$B19,"  ")</f>
        <v xml:space="preserve">  </v>
      </c>
      <c r="B20" s="15" t="str">
        <f ca="1">IF(levypage9!$C$31&lt;&gt;0,levypage9!$C$31,"  ")</f>
        <v xml:space="preserve">  </v>
      </c>
      <c r="C20" s="46" t="str">
        <f ca="1">IF(inputPrYr!D48&gt;0,inputPrYr!D48,"  ")</f>
        <v xml:space="preserve">  </v>
      </c>
      <c r="D20" s="15" t="str">
        <f ca="1">IF(levypage9!$E$31&lt;&gt;0,levypage9!$E$31,"  ")</f>
        <v xml:space="preserve">  </v>
      </c>
      <c r="E20" s="46" t="str">
        <f ca="1">IF(inputOth!D20&gt;0,inputOth!D20,"  ")</f>
        <v xml:space="preserve">  </v>
      </c>
      <c r="F20" s="15" t="str">
        <f ca="1">IF(levypage9!$G$31&lt;&gt;0,levypage9!$G$31,"  ")</f>
        <v xml:space="preserve">  </v>
      </c>
      <c r="G20" s="15" t="str">
        <f ca="1">IF(levypage9!$G$37&lt;&gt;0,levypage9!$G$37,"  ")</f>
        <v xml:space="preserve">  </v>
      </c>
      <c r="H20" s="97" t="str">
        <f ca="1">IF(levypage9!G37&gt;0,ROUND(G20/$F$39*1000,3)," ")</f>
        <v xml:space="preserve"> </v>
      </c>
    </row>
    <row r="21" spans="1:9" hidden="1">
      <c r="A21" s="15" t="str">
        <f ca="1">IF(inputPrYr!$B20&gt;"  ",inputPrYr!$B20,"  ")</f>
        <v xml:space="preserve">  </v>
      </c>
      <c r="B21" s="15" t="str">
        <f ca="1">IF(levypage9!$C$66&lt;&gt;0,levypage9!$C$66,"  ")</f>
        <v xml:space="preserve">  </v>
      </c>
      <c r="C21" s="46" t="str">
        <f ca="1">IF(inputPrYr!D49&gt;0,inputPrYr!D49,"  ")</f>
        <v xml:space="preserve">  </v>
      </c>
      <c r="D21" s="15" t="str">
        <f ca="1">IF(levypage9!$E$66&lt;&gt;0,levypage9!$E$66,"  ")</f>
        <v xml:space="preserve">  </v>
      </c>
      <c r="E21" s="46" t="str">
        <f ca="1">IF(inputOth!D21&gt;0,inputOth!D21,"  ")</f>
        <v xml:space="preserve">  </v>
      </c>
      <c r="F21" s="15" t="str">
        <f ca="1">IF(levypage9!$G$66&lt;&gt;0,levypage9!$G$66,"  ")</f>
        <v xml:space="preserve">  </v>
      </c>
      <c r="G21" s="15" t="str">
        <f ca="1">IF(levypage9!$G$72&lt;&gt;0,levypage9!$G$72,"  ")</f>
        <v xml:space="preserve">  </v>
      </c>
      <c r="H21" s="97" t="str">
        <f ca="1">IF(levypage9!G72&gt;0,ROUND(G21/$F$39*1000,3)," ")</f>
        <v xml:space="preserve"> </v>
      </c>
    </row>
    <row r="22" spans="1:9" hidden="1">
      <c r="A22" s="15" t="str">
        <f ca="1">IF(inputPrYr!$B21&gt;"  ",inputPrYr!$B21,"  ")</f>
        <v xml:space="preserve">  </v>
      </c>
      <c r="B22" s="15" t="str">
        <f ca="1">IF(levypage10!$C$31&lt;&gt;0,levypage10!$C$31,"  ")</f>
        <v xml:space="preserve">  </v>
      </c>
      <c r="C22" s="46" t="str">
        <f ca="1">IF(inputPrYr!D50&gt;0,inputPrYr!D50,"  ")</f>
        <v xml:space="preserve">  </v>
      </c>
      <c r="D22" s="15" t="str">
        <f ca="1">IF(levypage10!$E$31&lt;&gt;0,levypage10!$E$31,"  ")</f>
        <v xml:space="preserve">  </v>
      </c>
      <c r="E22" s="46" t="str">
        <f ca="1">IF(inputOth!D22&gt;0,inputOth!D22,"  ")</f>
        <v xml:space="preserve">  </v>
      </c>
      <c r="F22" s="15" t="str">
        <f ca="1">IF(levypage10!$G$31&lt;&gt;0,levypage10!$G$31,"  ")</f>
        <v xml:space="preserve">  </v>
      </c>
      <c r="G22" s="15" t="str">
        <f ca="1">IF(levypage10!$G$37&lt;&gt;0,levypage10!$G$37,"  ")</f>
        <v xml:space="preserve">  </v>
      </c>
      <c r="H22" s="97" t="str">
        <f ca="1">IF(levypage10!G37&gt;0,ROUND(G22/$F$39*1000,3)," ")</f>
        <v xml:space="preserve"> </v>
      </c>
    </row>
    <row r="23" spans="1:9" hidden="1">
      <c r="A23" s="15" t="str">
        <f ca="1">IF(inputPrYr!$B22&gt;"  ",inputPrYr!$B22,"  ")</f>
        <v xml:space="preserve">  </v>
      </c>
      <c r="B23" s="15" t="str">
        <f ca="1">IF(levypage10!$C$66&lt;&gt;0,levypage10!$C$66,"  ")</f>
        <v xml:space="preserve">  </v>
      </c>
      <c r="C23" s="46" t="str">
        <f ca="1">IF(inputPrYr!D51&gt;0,inputPrYr!D51,"  ")</f>
        <v xml:space="preserve">  </v>
      </c>
      <c r="D23" s="15" t="str">
        <f ca="1">IF(levypage10!$E$66&lt;&gt;0,levypage10!$E$66,"  ")</f>
        <v xml:space="preserve">  </v>
      </c>
      <c r="E23" s="46" t="str">
        <f ca="1">IF(inputOth!D23&gt;0,inputOth!D23,"  ")</f>
        <v xml:space="preserve">  </v>
      </c>
      <c r="F23" s="15" t="str">
        <f ca="1">IF(levypage10!$G$66&lt;&gt;0,levypage10!$G$66,"  ")</f>
        <v xml:space="preserve">  </v>
      </c>
      <c r="G23" s="15" t="str">
        <f ca="1">IF(levypage10!$G$72&lt;&gt;0,levypage10!$G$72,"  ")</f>
        <v xml:space="preserve">  </v>
      </c>
      <c r="H23" s="97" t="str">
        <f ca="1">IF(levypage10!G72&gt;0,ROUND(G23/$F$39*1000,3)," ")</f>
        <v xml:space="preserve"> </v>
      </c>
    </row>
    <row r="24" spans="1:9" hidden="1">
      <c r="A24" s="15" t="str">
        <f ca="1">IF(inputPrYr!$B23&gt;"  ",inputPrYr!$B23,"  ")</f>
        <v xml:space="preserve">  </v>
      </c>
      <c r="B24" s="15" t="str">
        <f ca="1">IF(levypage11!$C$31&lt;&gt;0,levypage11!$C$31,"  ")</f>
        <v xml:space="preserve">  </v>
      </c>
      <c r="C24" s="46" t="str">
        <f ca="1">IF(inputPrYr!D52&gt;0,inputPrYr!D52,"  ")</f>
        <v xml:space="preserve">  </v>
      </c>
      <c r="D24" s="15" t="str">
        <f ca="1">IF(levypage11!$E$31&lt;&gt;0,levypage11!$E$31,"  ")</f>
        <v xml:space="preserve">  </v>
      </c>
      <c r="E24" s="46" t="str">
        <f ca="1">IF(inputOth!D24&gt;0,inputOth!D24,"  ")</f>
        <v xml:space="preserve">  </v>
      </c>
      <c r="F24" s="15" t="str">
        <f ca="1">IF(levypage11!$G$31&lt;&gt;0,levypage11!$G$31,"  ")</f>
        <v xml:space="preserve">  </v>
      </c>
      <c r="G24" s="15" t="str">
        <f ca="1">IF(levypage11!$G$37&lt;&gt;0,levypage11!$G$37,"  ")</f>
        <v xml:space="preserve">  </v>
      </c>
      <c r="H24" s="97" t="str">
        <f ca="1">IF(levypage11!G37&gt;0,ROUND(G24/$F$39*1000,3)," ")</f>
        <v xml:space="preserve"> </v>
      </c>
    </row>
    <row r="25" spans="1:9" hidden="1">
      <c r="A25" s="15" t="str">
        <f ca="1">IF(inputPrYr!$B24&gt;"  ",inputPrYr!$B24,"  ")</f>
        <v xml:space="preserve">  </v>
      </c>
      <c r="B25" s="15" t="str">
        <f ca="1">IF(levypage11!$C$66&lt;&gt;0,levypage11!$C$66,"  ")</f>
        <v xml:space="preserve">  </v>
      </c>
      <c r="C25" s="46" t="str">
        <f ca="1">IF(inputPrYr!D53&gt;0,inputPrYr!D53,"  ")</f>
        <v xml:space="preserve">  </v>
      </c>
      <c r="D25" s="15" t="str">
        <f ca="1">IF(levypage11!$E$66&lt;&gt;0,levypage11!$E$66,"  ")</f>
        <v xml:space="preserve">  </v>
      </c>
      <c r="E25" s="46" t="str">
        <f ca="1">IF(inputOth!D25&gt;0,inputOth!D25,"  ")</f>
        <v xml:space="preserve">  </v>
      </c>
      <c r="F25" s="15" t="str">
        <f ca="1">IF(levypage11!$G$66&lt;&gt;0,levypage11!$G$66,"  ")</f>
        <v xml:space="preserve">  </v>
      </c>
      <c r="G25" s="15" t="str">
        <f ca="1">IF(levypage11!$G$72&lt;&gt;0,levypage11!$G$72,"  ")</f>
        <v xml:space="preserve">  </v>
      </c>
      <c r="H25" s="97" t="str">
        <f ca="1">IF(levypage11!G72&gt;0,ROUND(G25/$F$39*1000,3)," ")</f>
        <v xml:space="preserve"> </v>
      </c>
    </row>
    <row r="26" spans="1:9" hidden="1">
      <c r="A26" s="15" t="str">
        <f ca="1">IF(inputPrYr!$B25&gt;"  ",inputPrYr!$B25,"  ")</f>
        <v xml:space="preserve">  </v>
      </c>
      <c r="B26" s="15" t="str">
        <f ca="1">IF(levypage12!$C$31&lt;&gt;0,levypage12!$C$31,"  ")</f>
        <v xml:space="preserve">  </v>
      </c>
      <c r="C26" s="46" t="str">
        <f ca="1">IF(inputPrYr!D54&gt;0,inputPrYr!D54,"  ")</f>
        <v xml:space="preserve">  </v>
      </c>
      <c r="D26" s="15" t="str">
        <f ca="1">IF(levypage12!$E$31&lt;&gt;0,levypage12!$E$31,"  ")</f>
        <v xml:space="preserve">  </v>
      </c>
      <c r="E26" s="46" t="str">
        <f ca="1">IF(inputOth!D26&gt;0,inputOth!D26,"  ")</f>
        <v xml:space="preserve">  </v>
      </c>
      <c r="F26" s="15" t="str">
        <f ca="1">IF(levypage12!$G$31&lt;&gt;0,levypage12!$G$31,"  ")</f>
        <v xml:space="preserve">  </v>
      </c>
      <c r="G26" s="15" t="str">
        <f ca="1">IF(levypage12!$G$37&lt;&gt;0,levypage12!$G$37,"  ")</f>
        <v xml:space="preserve">  </v>
      </c>
      <c r="H26" s="97" t="str">
        <f ca="1">IF(levypage12!G37&gt;0,ROUND(G26/$F$39*1000,3)," ")</f>
        <v xml:space="preserve"> </v>
      </c>
    </row>
    <row r="27" spans="1:9" hidden="1">
      <c r="A27" s="15" t="str">
        <f ca="1">IF(inputPrYr!$B26&gt;"  ",inputPrYr!$B26,"  ")</f>
        <v xml:space="preserve">  </v>
      </c>
      <c r="B27" s="15" t="str">
        <f ca="1">IF(levypage12!$C$66&lt;&gt;0,levypage12!$C$66,"  ")</f>
        <v xml:space="preserve">  </v>
      </c>
      <c r="C27" s="46" t="str">
        <f ca="1">IF(inputPrYr!D55&gt;0,inputPrYr!D55,"  ")</f>
        <v xml:space="preserve">  </v>
      </c>
      <c r="D27" s="15" t="str">
        <f ca="1">IF(levypage12!$E$66&lt;&gt;0,levypage12!$E$66,"  ")</f>
        <v xml:space="preserve">  </v>
      </c>
      <c r="E27" s="46" t="str">
        <f ca="1">IF(inputOth!D27&gt;0,inputOth!D27,"  ")</f>
        <v xml:space="preserve">  </v>
      </c>
      <c r="F27" s="15" t="str">
        <f ca="1">IF(levypage12!$G$66&lt;&gt;0,levypage12!$G$66,"  ")</f>
        <v xml:space="preserve">  </v>
      </c>
      <c r="G27" s="15" t="str">
        <f ca="1">IF(levypage12!$G$72&lt;&gt;0,levypage12!$G$72,"  ")</f>
        <v xml:space="preserve">  </v>
      </c>
      <c r="H27" s="97" t="str">
        <f ca="1">IF(levypage12!G72&gt;0,ROUND(G27/$F$39*1000,3)," ")</f>
        <v xml:space="preserve"> </v>
      </c>
    </row>
    <row r="28" spans="1:9" hidden="1">
      <c r="A28" s="15" t="str">
        <f ca="1">IF(inputPrYr!$B30&gt;"  ",inputPrYr!$B30,"  ")</f>
        <v xml:space="preserve">  </v>
      </c>
      <c r="B28" s="15" t="str">
        <f ca="1">IF(nolevypage13!$C$28&lt;&gt;0,nolevypage13!$C$28,"  ")</f>
        <v xml:space="preserve">  </v>
      </c>
      <c r="C28" s="46"/>
      <c r="D28" s="15" t="str">
        <f ca="1">IF(nolevypage13!$D$28&lt;&gt;0,nolevypage13!$D$28,"  ")</f>
        <v xml:space="preserve">  </v>
      </c>
      <c r="E28" s="46"/>
      <c r="F28" s="15" t="str">
        <f ca="1">IF(nolevypage13!$E$28&lt;&gt;0,nolevypage13!$E$28,"  ")</f>
        <v xml:space="preserve">  </v>
      </c>
      <c r="G28" s="15"/>
      <c r="H28" s="46"/>
    </row>
    <row r="29" spans="1:9" hidden="1">
      <c r="A29" s="15" t="str">
        <f ca="1">IF(inputPrYr!$B31&gt;"  ",inputPrYr!$B31,"  ")</f>
        <v xml:space="preserve">  </v>
      </c>
      <c r="B29" s="15" t="str">
        <f ca="1">IF(nolevypage13!$C$59&lt;&gt;0,nolevypage13!$C$59,"  ")</f>
        <v xml:space="preserve">  </v>
      </c>
      <c r="C29" s="46"/>
      <c r="D29" s="15" t="str">
        <f ca="1">IF(nolevypage13!$D$59&lt;&gt;0,nolevypage13!$D$59,"  ")</f>
        <v xml:space="preserve">  </v>
      </c>
      <c r="E29" s="46"/>
      <c r="F29" s="15" t="str">
        <f ca="1">IF(nolevypage13!$E$59&lt;&gt;0,nolevypage13!$E$59,"  ")</f>
        <v xml:space="preserve">  </v>
      </c>
      <c r="G29" s="15"/>
      <c r="H29" s="46"/>
    </row>
    <row r="30" spans="1:9" hidden="1">
      <c r="A30" s="15" t="str">
        <f ca="1">IF(inputPrYr!$B32&gt;"  ",inputPrYr!$B32,"  ")</f>
        <v xml:space="preserve">  </v>
      </c>
      <c r="B30" s="15" t="str">
        <f ca="1">IF(nolevypage14!$C$28&lt;&gt;0,nolevypage14!$C$28,"  ")</f>
        <v xml:space="preserve">  </v>
      </c>
      <c r="C30" s="46"/>
      <c r="D30" s="15" t="str">
        <f ca="1">IF(nolevypage14!$D$28&lt;&gt;0,nolevypage14!$D$28,"  ")</f>
        <v xml:space="preserve">  </v>
      </c>
      <c r="E30" s="46"/>
      <c r="F30" s="15" t="str">
        <f ca="1">IF(nolevypage14!$E$28&lt;&gt;0,nolevypage14!$E$28,"  ")</f>
        <v xml:space="preserve">  </v>
      </c>
      <c r="G30" s="15"/>
      <c r="H30" s="46"/>
    </row>
    <row r="31" spans="1:9" hidden="1">
      <c r="A31" s="15" t="str">
        <f ca="1">IF(inputPrYr!$B33&gt;"  ",inputPrYr!$B33,"  ")</f>
        <v xml:space="preserve">  </v>
      </c>
      <c r="B31" s="15" t="str">
        <f ca="1">IF(nolevypage14!$C$59&lt;&gt;0,nolevypage14!$C$59,"  ")</f>
        <v xml:space="preserve">  </v>
      </c>
      <c r="C31" s="46"/>
      <c r="D31" s="15" t="str">
        <f ca="1">IF(nolevypage14!$D$59&lt;&gt;0,nolevypage14!$D$59,"  ")</f>
        <v xml:space="preserve">  </v>
      </c>
      <c r="E31" s="46"/>
      <c r="F31" s="15" t="str">
        <f ca="1">IF(nolevypage14!$E$59&lt;&gt;0,nolevypage14!$E$59,"  ")</f>
        <v xml:space="preserve">  </v>
      </c>
      <c r="G31" s="15"/>
      <c r="H31" s="46"/>
    </row>
    <row r="32" spans="1:9" hidden="1">
      <c r="A32" s="15" t="str">
        <f ca="1">IF((inputPrYr!$B37&gt;"  "),(nonbud!$A3),"  ")</f>
        <v xml:space="preserve">  </v>
      </c>
      <c r="B32" s="407" t="str">
        <f ca="1">IF((nonbud!$K$28)&lt;&gt;0,(nonbud!$K$28),"  ")</f>
        <v xml:space="preserve">  </v>
      </c>
      <c r="C32" s="46"/>
      <c r="D32" s="15"/>
      <c r="E32" s="46"/>
      <c r="F32" s="15"/>
      <c r="G32" s="15"/>
      <c r="H32" s="46"/>
    </row>
    <row r="33" spans="1:8">
      <c r="A33" s="31" t="s">
        <v>656</v>
      </c>
      <c r="B33" s="15" t="str">
        <f ca="1">IF(road!B63&lt;&gt;0,road!B63,"  ")</f>
        <v xml:space="preserve">  </v>
      </c>
      <c r="C33" s="32"/>
      <c r="D33" s="32"/>
      <c r="E33" s="32"/>
      <c r="F33" s="32"/>
      <c r="G33" s="32"/>
      <c r="H33" s="32"/>
    </row>
    <row r="34" spans="1:8">
      <c r="A34" s="31" t="s">
        <v>657</v>
      </c>
      <c r="B34" s="98">
        <f t="shared" ref="B34:H34" si="0">SUM(B17:B33)</f>
        <v>37774</v>
      </c>
      <c r="C34" s="97">
        <f t="shared" si="0"/>
        <v>30.733000000000001</v>
      </c>
      <c r="D34" s="98">
        <f t="shared" si="0"/>
        <v>56340</v>
      </c>
      <c r="E34" s="97">
        <f t="shared" si="0"/>
        <v>24.988</v>
      </c>
      <c r="F34" s="98">
        <f t="shared" si="0"/>
        <v>57090</v>
      </c>
      <c r="G34" s="98">
        <f t="shared" si="0"/>
        <v>44340</v>
      </c>
      <c r="H34" s="97">
        <f t="shared" si="0"/>
        <v>24.018000000000001</v>
      </c>
    </row>
    <row r="35" spans="1:8">
      <c r="A35" s="31" t="s">
        <v>380</v>
      </c>
      <c r="B35" s="15">
        <f ca="1">transfer!C29</f>
        <v>0</v>
      </c>
      <c r="C35" s="16"/>
      <c r="D35" s="15">
        <f ca="1">transfer!D29</f>
        <v>0</v>
      </c>
      <c r="E35" s="28"/>
      <c r="F35" s="15">
        <f ca="1">transfer!E29</f>
        <v>0</v>
      </c>
      <c r="G35" s="16"/>
      <c r="H35" s="16"/>
    </row>
    <row r="36" spans="1:8">
      <c r="A36" s="31" t="s">
        <v>381</v>
      </c>
      <c r="B36" s="98">
        <f>B34-B35</f>
        <v>37774</v>
      </c>
      <c r="C36" s="16"/>
      <c r="D36" s="98">
        <f>D34-D35</f>
        <v>56340</v>
      </c>
      <c r="E36" s="16"/>
      <c r="F36" s="98">
        <f>F34-F35</f>
        <v>57090</v>
      </c>
      <c r="G36" s="16"/>
      <c r="H36" s="16"/>
    </row>
    <row r="37" spans="1:8">
      <c r="A37" s="31" t="s">
        <v>382</v>
      </c>
      <c r="B37" s="15">
        <f ca="1">inputPrYr!E58</f>
        <v>37879</v>
      </c>
      <c r="C37" s="28"/>
      <c r="D37" s="15">
        <f ca="1">inputPrYr!E27</f>
        <v>43397</v>
      </c>
      <c r="E37" s="16"/>
      <c r="F37" s="50" t="s">
        <v>658</v>
      </c>
      <c r="G37" s="16"/>
      <c r="H37" s="16"/>
    </row>
    <row r="38" spans="1:8">
      <c r="A38" s="18" t="s">
        <v>383</v>
      </c>
      <c r="B38" s="16"/>
      <c r="C38" s="28"/>
      <c r="D38" s="16"/>
      <c r="E38" s="28"/>
      <c r="F38" s="16"/>
      <c r="G38" s="16"/>
      <c r="H38" s="16"/>
    </row>
    <row r="39" spans="1:8">
      <c r="A39" s="31" t="s">
        <v>384</v>
      </c>
      <c r="B39" s="15">
        <f ca="1">inputPrYr!E59</f>
        <v>1232505</v>
      </c>
      <c r="C39" s="16"/>
      <c r="D39" s="15">
        <f ca="1">inputOth!E30</f>
        <v>1736726</v>
      </c>
      <c r="E39" s="16"/>
      <c r="F39" s="15">
        <f ca="1">inputOth!E7</f>
        <v>1846133</v>
      </c>
      <c r="G39" s="16"/>
      <c r="H39" s="16"/>
    </row>
    <row r="40" spans="1:8">
      <c r="A40" s="18" t="s">
        <v>385</v>
      </c>
      <c r="B40" s="16"/>
      <c r="C40" s="16"/>
      <c r="D40" s="16"/>
      <c r="E40" s="16"/>
      <c r="F40" s="16"/>
      <c r="G40" s="16"/>
      <c r="H40" s="16"/>
    </row>
    <row r="41" spans="1:8">
      <c r="A41" s="18" t="s">
        <v>386</v>
      </c>
      <c r="B41" s="47">
        <f ca="1">H1-3</f>
        <v>2010</v>
      </c>
      <c r="C41" s="16"/>
      <c r="D41" s="47">
        <f ca="1">H1-2</f>
        <v>2011</v>
      </c>
      <c r="E41" s="16"/>
      <c r="F41" s="47">
        <f>H1-1</f>
        <v>2012</v>
      </c>
      <c r="G41" s="16"/>
      <c r="H41" s="16"/>
    </row>
    <row r="42" spans="1:8">
      <c r="A42" s="18" t="s">
        <v>387</v>
      </c>
      <c r="B42" s="68">
        <f ca="1">inputPrYr!D63</f>
        <v>0</v>
      </c>
      <c r="C42" s="76"/>
      <c r="D42" s="68">
        <f ca="1">inputPrYr!E63</f>
        <v>0</v>
      </c>
      <c r="E42" s="76"/>
      <c r="F42" s="68">
        <f ca="1">debt!E11</f>
        <v>0</v>
      </c>
      <c r="G42" s="16"/>
      <c r="H42" s="16"/>
    </row>
    <row r="43" spans="1:8">
      <c r="A43" s="18" t="s">
        <v>356</v>
      </c>
      <c r="B43" s="68">
        <f ca="1">inputPrYr!D64</f>
        <v>0</v>
      </c>
      <c r="C43" s="76"/>
      <c r="D43" s="68">
        <f ca="1">inputPrYr!E64</f>
        <v>0</v>
      </c>
      <c r="E43" s="76"/>
      <c r="F43" s="68">
        <f ca="1">debt!E15</f>
        <v>0</v>
      </c>
      <c r="G43" s="16"/>
      <c r="H43" s="16"/>
    </row>
    <row r="44" spans="1:8">
      <c r="A44" s="18" t="s">
        <v>388</v>
      </c>
      <c r="B44" s="68">
        <f ca="1">inputPrYr!D65</f>
        <v>0</v>
      </c>
      <c r="C44" s="76"/>
      <c r="D44" s="68">
        <f ca="1">inputPrYr!E65</f>
        <v>0</v>
      </c>
      <c r="E44" s="76"/>
      <c r="F44" s="68">
        <f ca="1">debt!F36</f>
        <v>0</v>
      </c>
      <c r="G44" s="16"/>
      <c r="H44" s="16"/>
    </row>
    <row r="45" spans="1:8" ht="16.5" thickBot="1">
      <c r="A45" s="18" t="s">
        <v>389</v>
      </c>
      <c r="B45" s="102">
        <f>SUM(B42:B44)</f>
        <v>0</v>
      </c>
      <c r="C45" s="76"/>
      <c r="D45" s="102">
        <f>SUM(D42:D44)</f>
        <v>0</v>
      </c>
      <c r="E45" s="76"/>
      <c r="F45" s="102">
        <f>SUM(F42:F44)</f>
        <v>0</v>
      </c>
      <c r="G45" s="16"/>
      <c r="H45" s="16"/>
    </row>
    <row r="46" spans="1:8" ht="16.5" thickTop="1">
      <c r="A46" s="18" t="s">
        <v>390</v>
      </c>
      <c r="B46" s="16"/>
      <c r="C46" s="16"/>
      <c r="D46" s="16"/>
      <c r="E46" s="16"/>
      <c r="F46" s="16"/>
      <c r="G46" s="16"/>
      <c r="H46" s="16"/>
    </row>
    <row r="47" spans="1:8">
      <c r="A47" s="16"/>
      <c r="B47" s="16"/>
      <c r="C47" s="16"/>
      <c r="D47" s="16"/>
      <c r="E47" s="16"/>
      <c r="F47" s="16"/>
      <c r="G47" s="16"/>
      <c r="H47" s="16"/>
    </row>
    <row r="48" spans="1:8">
      <c r="A48" s="17"/>
      <c r="B48" s="17"/>
      <c r="C48" s="16"/>
      <c r="D48" s="16"/>
      <c r="E48" s="16"/>
      <c r="F48" s="16"/>
      <c r="G48" s="16"/>
      <c r="H48" s="16"/>
    </row>
    <row r="49" spans="1:8">
      <c r="A49" s="37" t="s">
        <v>391</v>
      </c>
      <c r="B49" s="25"/>
      <c r="C49" s="16"/>
      <c r="D49" s="16"/>
      <c r="E49" s="16"/>
      <c r="F49" s="16"/>
      <c r="G49" s="16"/>
      <c r="H49" s="16"/>
    </row>
    <row r="50" spans="1:8">
      <c r="A50" s="16"/>
      <c r="B50" s="16"/>
      <c r="C50" s="16"/>
      <c r="D50" s="16"/>
      <c r="E50" s="16"/>
      <c r="F50" s="16"/>
      <c r="G50" s="16"/>
      <c r="H50" s="16"/>
    </row>
    <row r="51" spans="1:8">
      <c r="A51" s="16"/>
      <c r="B51" s="24" t="s">
        <v>344</v>
      </c>
      <c r="C51" s="129"/>
      <c r="D51" s="16"/>
      <c r="E51" s="16"/>
      <c r="F51" s="16"/>
      <c r="G51" s="16"/>
      <c r="H51" s="16"/>
    </row>
    <row r="52" spans="1:8">
      <c r="A52" s="1"/>
      <c r="B52" s="1"/>
      <c r="C52" s="1"/>
    </row>
    <row r="54" spans="1:8">
      <c r="A54" s="1"/>
      <c r="B54" s="1"/>
      <c r="C54" s="1"/>
      <c r="D54" s="1"/>
      <c r="E54" s="1"/>
      <c r="F54" s="1"/>
      <c r="G54" s="1"/>
    </row>
    <row r="55" spans="1:8">
      <c r="H55" s="1"/>
    </row>
    <row r="76" spans="1:6">
      <c r="A76" s="1"/>
      <c r="B76" s="1"/>
      <c r="C76" s="1"/>
      <c r="D76" s="1"/>
      <c r="E76" s="1"/>
      <c r="F76" s="1"/>
    </row>
    <row r="83" spans="1:8">
      <c r="A83" s="1"/>
      <c r="B83" s="1"/>
      <c r="C83" s="1"/>
      <c r="D83" s="1"/>
      <c r="E83" s="1"/>
      <c r="F83" s="1"/>
      <c r="G83" s="1"/>
    </row>
    <row r="84" spans="1:8">
      <c r="H84" s="1"/>
    </row>
    <row r="89" spans="1:8">
      <c r="A89" s="1"/>
      <c r="B89" s="1"/>
      <c r="C89" s="1"/>
      <c r="D89" s="1"/>
      <c r="E89" s="1"/>
      <c r="F89" s="1"/>
      <c r="G89" s="1"/>
    </row>
    <row r="90" spans="1:8">
      <c r="H90" s="1"/>
    </row>
    <row r="110" spans="1:7">
      <c r="A110" s="1"/>
      <c r="B110" s="1"/>
      <c r="C110" s="1"/>
      <c r="D110" s="1"/>
      <c r="E110" s="1"/>
      <c r="F110" s="1"/>
      <c r="G110" s="1"/>
    </row>
  </sheetData>
  <sheetProtection sheet="1" objects="1" scenarios="1"/>
  <mergeCells count="5">
    <mergeCell ref="A3:H3"/>
    <mergeCell ref="G14:G16"/>
    <mergeCell ref="A6:H6"/>
    <mergeCell ref="A5:H5"/>
    <mergeCell ref="A4:H4"/>
  </mergeCells>
  <phoneticPr fontId="0" type="noConversion"/>
  <pageMargins left="0.9" right="0.9" top="0.96" bottom="0.5" header="0.41" footer="0.3"/>
  <pageSetup scale="67" orientation="portrait" blackAndWhite="1" horizontalDpi="4294967292" verticalDpi="96" r:id="rId1"/>
  <headerFooter alignWithMargins="0">
    <oddHeader xml:space="preserve">&amp;RState of Kansas
Township
</oddHeader>
    <oddFooter>&amp;Lrevised 12/08/09</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G66"/>
  <sheetViews>
    <sheetView tabSelected="1" topLeftCell="A28" zoomScale="90" workbookViewId="0">
      <selection activeCell="E67" sqref="E67"/>
    </sheetView>
  </sheetViews>
  <sheetFormatPr defaultRowHeight="15.75"/>
  <cols>
    <col min="1" max="1" width="20.69921875" style="187" customWidth="1"/>
    <col min="2" max="2" width="9.69921875" style="187" customWidth="1"/>
    <col min="3" max="3" width="5.69921875" style="187" customWidth="1"/>
    <col min="4" max="4" width="15.69921875" style="187" customWidth="1"/>
    <col min="5" max="5" width="12.69921875" style="187" customWidth="1"/>
    <col min="6" max="6" width="10.69921875" style="187" customWidth="1"/>
    <col min="7" max="16384" width="8.796875" style="187"/>
  </cols>
  <sheetData>
    <row r="1" spans="1:7" s="133" customFormat="1">
      <c r="A1" s="509" t="s">
        <v>410</v>
      </c>
      <c r="B1" s="509"/>
      <c r="C1" s="509"/>
      <c r="D1" s="509"/>
      <c r="E1" s="509"/>
      <c r="F1" s="509"/>
      <c r="G1" s="133">
        <f ca="1">inputPrYr!D5</f>
        <v>2013</v>
      </c>
    </row>
    <row r="2" spans="1:7" s="133" customFormat="1">
      <c r="B2" s="134"/>
      <c r="C2" s="134"/>
      <c r="D2" s="134"/>
      <c r="E2" s="134"/>
      <c r="F2" s="135"/>
    </row>
    <row r="3" spans="1:7" s="133" customFormat="1">
      <c r="A3" s="520" t="str">
        <f ca="1">CONCATENATE("To the Clerk of ",inputPrYr!D3,", State of Kansas")</f>
        <v>To the Clerk of Russell County, State of Kansas</v>
      </c>
      <c r="B3" s="519"/>
      <c r="C3" s="519"/>
      <c r="D3" s="519"/>
      <c r="E3" s="519"/>
      <c r="F3" s="519"/>
      <c r="G3" s="519"/>
    </row>
    <row r="4" spans="1:7" s="133" customFormat="1">
      <c r="A4" s="137" t="s">
        <v>497</v>
      </c>
      <c r="B4" s="134"/>
      <c r="C4" s="134"/>
      <c r="D4" s="134"/>
      <c r="E4" s="134"/>
      <c r="F4" s="134"/>
    </row>
    <row r="5" spans="1:7" s="133" customFormat="1">
      <c r="C5" s="138" t="str">
        <f ca="1">inputPrYr!D2</f>
        <v>Winterset Township</v>
      </c>
    </row>
    <row r="6" spans="1:7" s="133" customFormat="1">
      <c r="A6" s="518" t="s">
        <v>495</v>
      </c>
      <c r="B6" s="519"/>
      <c r="C6" s="519"/>
      <c r="D6" s="519"/>
      <c r="E6" s="519"/>
      <c r="F6" s="519"/>
    </row>
    <row r="7" spans="1:7" s="133" customFormat="1" ht="15.75" customHeight="1">
      <c r="A7" s="520" t="s">
        <v>496</v>
      </c>
      <c r="B7" s="521"/>
      <c r="C7" s="521"/>
      <c r="D7" s="521"/>
      <c r="E7" s="521"/>
      <c r="F7" s="521"/>
    </row>
    <row r="8" spans="1:7" s="133" customFormat="1" ht="15.75" customHeight="1">
      <c r="A8" s="137" t="str">
        <f>CONCATENATE("maximum expenditures for the various funds for the year ",G1,"; and (3) the")</f>
        <v>maximum expenditures for the various funds for the year 2013; and (3) the</v>
      </c>
      <c r="B8" s="134"/>
      <c r="C8" s="134"/>
      <c r="D8" s="134"/>
      <c r="E8" s="134"/>
      <c r="F8" s="134"/>
    </row>
    <row r="9" spans="1:7" s="133" customFormat="1" ht="15.75" customHeight="1">
      <c r="A9" s="137" t="str">
        <f>CONCATENATE("Amount(s) of ",G1-1," Ad Valorem Tax are within statutory limitations for the ",G1," Budget.")</f>
        <v>Amount(s) of 2012 Ad Valorem Tax are within statutory limitations for the 2013 Budget.</v>
      </c>
      <c r="B9" s="134"/>
      <c r="C9" s="134"/>
      <c r="D9" s="134"/>
      <c r="E9" s="134"/>
      <c r="F9" s="134"/>
    </row>
    <row r="10" spans="1:7" s="133" customFormat="1" ht="15.75" customHeight="1">
      <c r="D10" s="139"/>
      <c r="E10" s="139"/>
      <c r="F10" s="139"/>
    </row>
    <row r="11" spans="1:7" s="133" customFormat="1">
      <c r="C11" s="140"/>
      <c r="D11" s="515" t="str">
        <f>CONCATENATE("",G1," Adopted Budget")</f>
        <v>2013 Adopted Budget</v>
      </c>
      <c r="E11" s="516"/>
      <c r="F11" s="517"/>
    </row>
    <row r="12" spans="1:7" s="133" customFormat="1">
      <c r="A12" s="141"/>
      <c r="C12" s="139"/>
      <c r="D12" s="142" t="s">
        <v>646</v>
      </c>
      <c r="E12" s="510" t="str">
        <f>CONCATENATE("Amount of ",G1-1," Ad Valorem Tax")</f>
        <v>Amount of 2012 Ad Valorem Tax</v>
      </c>
      <c r="F12" s="143" t="s">
        <v>647</v>
      </c>
    </row>
    <row r="13" spans="1:7" s="133" customFormat="1">
      <c r="C13" s="143" t="s">
        <v>648</v>
      </c>
      <c r="D13" s="144"/>
      <c r="E13" s="511"/>
      <c r="F13" s="145" t="s">
        <v>649</v>
      </c>
    </row>
    <row r="14" spans="1:7" s="133" customFormat="1">
      <c r="A14" s="146" t="s">
        <v>650</v>
      </c>
      <c r="B14" s="147"/>
      <c r="C14" s="148" t="s">
        <v>651</v>
      </c>
      <c r="D14" s="148" t="s">
        <v>652</v>
      </c>
      <c r="E14" s="512"/>
      <c r="F14" s="148" t="s">
        <v>653</v>
      </c>
    </row>
    <row r="15" spans="1:7" s="133" customFormat="1">
      <c r="A15" s="149" t="str">
        <f>CONCATENATE("Computation to Determine Limit for ",G1,"")</f>
        <v>Computation to Determine Limit for 2013</v>
      </c>
      <c r="B15" s="150"/>
      <c r="C15" s="143">
        <v>2</v>
      </c>
      <c r="D15" s="140"/>
      <c r="E15" s="140"/>
      <c r="F15" s="151"/>
    </row>
    <row r="16" spans="1:7" s="133" customFormat="1">
      <c r="A16" s="149" t="s">
        <v>563</v>
      </c>
      <c r="B16" s="150"/>
      <c r="C16" s="152">
        <v>3</v>
      </c>
      <c r="D16" s="140"/>
      <c r="E16" s="140"/>
      <c r="F16" s="153"/>
    </row>
    <row r="17" spans="1:6" s="133" customFormat="1">
      <c r="A17" s="154" t="s">
        <v>517</v>
      </c>
      <c r="B17" s="150"/>
      <c r="C17" s="152">
        <v>4</v>
      </c>
      <c r="D17" s="140"/>
      <c r="E17" s="140"/>
      <c r="F17" s="153"/>
    </row>
    <row r="18" spans="1:6" s="133" customFormat="1">
      <c r="A18" s="154" t="s">
        <v>486</v>
      </c>
      <c r="B18" s="150"/>
      <c r="C18" s="152">
        <v>5</v>
      </c>
      <c r="D18" s="140"/>
      <c r="E18" s="140"/>
      <c r="F18" s="153"/>
    </row>
    <row r="19" spans="1:6" s="133" customFormat="1">
      <c r="A19" s="155" t="s">
        <v>654</v>
      </c>
      <c r="B19" s="156" t="s">
        <v>655</v>
      </c>
      <c r="C19" s="157"/>
      <c r="F19" s="158"/>
    </row>
    <row r="20" spans="1:6" s="133" customFormat="1">
      <c r="A20" s="159" t="str">
        <f ca="1">inputPrYr!B16</f>
        <v>General</v>
      </c>
      <c r="B20" s="160" t="str">
        <f ca="1">inputPrYr!C16</f>
        <v>79-1962</v>
      </c>
      <c r="C20" s="161" t="str">
        <f ca="1">IF(gen!$B$60&gt;0,gen!$B$60,"  ")</f>
        <v xml:space="preserve">  </v>
      </c>
      <c r="D20" s="152">
        <f ca="1">IF(gen!$G$50&lt;&gt;0,gen!$G$50,"  ")</f>
        <v>57090</v>
      </c>
      <c r="E20" s="152">
        <f ca="1">IF(gen!$G$56&lt;&gt;0,gen!$G$56,0)</f>
        <v>44340</v>
      </c>
      <c r="F20" s="162" t="str">
        <f ca="1">IF(AND(gen!G56=0,$B$42&gt;=0)," ",IF(AND(E20&gt;0,$B$42=0)," ",IF(AND(E20&gt;0,$B$42&gt;0),ROUND(E20/$B$42*1000,3))))</f>
        <v xml:space="preserve"> </v>
      </c>
    </row>
    <row r="21" spans="1:6" s="133" customFormat="1">
      <c r="A21" s="159" t="s">
        <v>669</v>
      </c>
      <c r="B21" s="160" t="str">
        <f ca="1">inputPrYr!C17</f>
        <v>10-113</v>
      </c>
      <c r="C21" s="161" t="str">
        <f ca="1">IF(DebtService!$C$61&gt;0,DebtService!$C$61,"  ")</f>
        <v xml:space="preserve">  </v>
      </c>
      <c r="D21" s="152" t="str">
        <f ca="1">IF(DebtService!$G$53&lt;&gt;0,DebtService!$G$53,"  ")</f>
        <v xml:space="preserve">  </v>
      </c>
      <c r="E21" s="152" t="str">
        <f ca="1">IF(DebtService!$G$59&lt;&gt;0,DebtService!$G$59,"  ")</f>
        <v xml:space="preserve">  </v>
      </c>
      <c r="F21" s="162" t="str">
        <f ca="1">IF(AND(DebtService!G53=0,$B$42&gt;=0)," ",IF(AND(E21&gt;0,$B$42=0)," ",IF(AND(E21&gt;0,$B$42&gt;0),ROUND(E21/$B$42*1000,3))))</f>
        <v xml:space="preserve"> </v>
      </c>
    </row>
    <row r="22" spans="1:6" s="133" customFormat="1">
      <c r="A22" s="159" t="str">
        <f ca="1">IF(inputPrYr!$B18&gt;"  ",inputPrYr!$B18,"  ")</f>
        <v>Road</v>
      </c>
      <c r="B22" s="160" t="str">
        <f ca="1">IF(inputPrYr!C18&gt;0,inputPrYr!C18,"  ")</f>
        <v>68-518c</v>
      </c>
      <c r="C22" s="161" t="str">
        <f ca="1">IF(road!$B$66&gt;0,road!$B$66,"  ")</f>
        <v xml:space="preserve">  </v>
      </c>
      <c r="D22" s="152" t="str">
        <f ca="1">IF(road!$G$43&lt;&gt;0,road!$G$43,"  ")</f>
        <v xml:space="preserve">  </v>
      </c>
      <c r="E22" s="152" t="str">
        <f ca="1">IF(road!$G$49&lt;&gt;0,road!$G$49,"  ")</f>
        <v xml:space="preserve">  </v>
      </c>
      <c r="F22" s="162" t="str">
        <f ca="1">IF(AND(road!G49=0,$B$42&gt;=0)," ",IF(AND(E22&gt;0,$B$42=0)," ",IF(AND(E22&gt;0,$B$42&gt;0),ROUND(E22/$B$42*1000,3))))</f>
        <v xml:space="preserve"> </v>
      </c>
    </row>
    <row r="23" spans="1:6" s="133" customFormat="1">
      <c r="A23" s="159" t="str">
        <f ca="1">IF(inputPrYr!$B19&gt;"  ",inputPrYr!$B19,"  ")</f>
        <v xml:space="preserve">  </v>
      </c>
      <c r="B23" s="160" t="str">
        <f ca="1">IF(inputPrYr!C19&gt;0,inputPrYr!C19,"  ")</f>
        <v xml:space="preserve">  </v>
      </c>
      <c r="C23" s="161" t="str">
        <f ca="1">IF(levypage9!$B$73&gt;0,levypage9!$B$73,"  ")</f>
        <v xml:space="preserve">  </v>
      </c>
      <c r="D23" s="152" t="str">
        <f ca="1">IF(levypage9!$G$31&lt;&gt;0,levypage9!$G$31,"  ")</f>
        <v xml:space="preserve">  </v>
      </c>
      <c r="E23" s="152" t="str">
        <f ca="1">IF(levypage9!$G$37&lt;&gt;0,levypage9!$G$37,"  ")</f>
        <v xml:space="preserve">  </v>
      </c>
      <c r="F23" s="162" t="str">
        <f ca="1">IF(AND(levypage9!G37=0,$B$42&gt;=0)," ",IF(AND(E23&gt;0,$B$42=0)," ",IF(AND(E23&gt;0,$B$42&gt;0),ROUND(E23/$B$42*1000,3))))</f>
        <v xml:space="preserve"> </v>
      </c>
    </row>
    <row r="24" spans="1:6" s="133" customFormat="1">
      <c r="A24" s="159" t="str">
        <f ca="1">IF(inputPrYr!$B20&gt;"  ",inputPrYr!$B20,"  ")</f>
        <v xml:space="preserve">  </v>
      </c>
      <c r="B24" s="160" t="str">
        <f ca="1">IF(inputPrYr!C20&gt;0,inputPrYr!C20,"  ")</f>
        <v xml:space="preserve">  </v>
      </c>
      <c r="C24" s="161" t="str">
        <f ca="1">IF(levypage9!$B$73&gt;0,levypage9!$B$73,"  ")</f>
        <v xml:space="preserve">  </v>
      </c>
      <c r="D24" s="152" t="str">
        <f ca="1">IF(levypage9!$G$66&lt;&gt;0,levypage9!$G$66,"  ")</f>
        <v xml:space="preserve">  </v>
      </c>
      <c r="E24" s="152" t="str">
        <f ca="1">IF(levypage9!$G$72&lt;&gt;0,levypage9!$G$72,"  ")</f>
        <v xml:space="preserve">  </v>
      </c>
      <c r="F24" s="162" t="str">
        <f ca="1">IF(AND(levypage9!G72=0,$B$42&gt;=0)," ",IF(AND(E24&gt;0,$B$42=0)," ",IF(AND(E24&gt;0,$B$42&gt;0),ROUND(E24/$B$42*1000,3))))</f>
        <v xml:space="preserve"> </v>
      </c>
    </row>
    <row r="25" spans="1:6" s="133" customFormat="1">
      <c r="A25" s="159" t="str">
        <f ca="1">IF(inputPrYr!$B21&gt;"  ",inputPrYr!$B21,"  ")</f>
        <v xml:space="preserve">  </v>
      </c>
      <c r="B25" s="160" t="str">
        <f ca="1">IF(inputPrYr!C21&gt;0,inputPrYr!C21,"  ")</f>
        <v xml:space="preserve">  </v>
      </c>
      <c r="C25" s="161" t="str">
        <f ca="1">IF(levypage10!$B$73&gt;0,levypage10!$B$73,"  ")</f>
        <v xml:space="preserve">  </v>
      </c>
      <c r="D25" s="152" t="str">
        <f ca="1">IF(levypage10!$G$31&lt;&gt;0,levypage10!$G$31,"  ")</f>
        <v xml:space="preserve">  </v>
      </c>
      <c r="E25" s="152" t="str">
        <f ca="1">IF(levypage10!$G$37&lt;&gt;0,levypage10!$G$37,"  ")</f>
        <v xml:space="preserve">  </v>
      </c>
      <c r="F25" s="162" t="str">
        <f ca="1">IF(AND(levypage10!$G$37=0,$B$42&gt;=0)," ",IF(AND(E25&gt;0,$B$42=0)," ",IF(AND(E25&gt;0,$B$42&gt;0),ROUND(E25/$B$42*1000,3))))</f>
        <v xml:space="preserve"> </v>
      </c>
    </row>
    <row r="26" spans="1:6" s="133" customFormat="1">
      <c r="A26" s="159" t="str">
        <f ca="1">IF(inputPrYr!$B22&gt;"  ",inputPrYr!$B22,"  ")</f>
        <v xml:space="preserve">  </v>
      </c>
      <c r="B26" s="160" t="str">
        <f ca="1">IF(inputPrYr!C22&gt;0,inputPrYr!C22,"  ")</f>
        <v xml:space="preserve">  </v>
      </c>
      <c r="C26" s="161" t="str">
        <f ca="1">IF(levypage10!$B$73&gt;0,levypage10!$B$73,"  ")</f>
        <v xml:space="preserve">  </v>
      </c>
      <c r="D26" s="152" t="str">
        <f ca="1">IF(levypage10!$G$66&lt;&gt;0,levypage10!$G$66,"  ")</f>
        <v xml:space="preserve">  </v>
      </c>
      <c r="E26" s="152" t="str">
        <f ca="1">IF(levypage10!$G$72&lt;&gt;0,levypage10!$G$72,"  ")</f>
        <v xml:space="preserve">  </v>
      </c>
      <c r="F26" s="162" t="str">
        <f ca="1">IF(AND(levypage10!$G$72=0,$B$42&gt;=0)," ",IF(AND(E26&gt;0,$B$42=0)," ",IF(AND(E26&gt;0,$B$42&gt;0),ROUND(E26/$B$42*1000,3))))</f>
        <v xml:space="preserve"> </v>
      </c>
    </row>
    <row r="27" spans="1:6" s="133" customFormat="1">
      <c r="A27" s="159" t="str">
        <f ca="1">IF(inputPrYr!$B23&gt;"  ",inputPrYr!$B23,"  ")</f>
        <v xml:space="preserve">  </v>
      </c>
      <c r="B27" s="160" t="str">
        <f ca="1">IF(inputPrYr!C23&gt;0,inputPrYr!C23,"  ")</f>
        <v xml:space="preserve">  </v>
      </c>
      <c r="C27" s="161" t="str">
        <f ca="1">IF(levypage11!$B$73&gt;0,levypage11!$B$73,"  ")</f>
        <v xml:space="preserve">  </v>
      </c>
      <c r="D27" s="152" t="str">
        <f ca="1">IF(levypage11!$G$31&lt;&gt;0,levypage11!$G$31,"  ")</f>
        <v xml:space="preserve">  </v>
      </c>
      <c r="E27" s="152" t="str">
        <f ca="1">IF(levypage11!$G$37&lt;&gt;0,levypage11!$G$37,"  ")</f>
        <v xml:space="preserve">  </v>
      </c>
      <c r="F27" s="162" t="str">
        <f ca="1">IF(AND(levypage11!$G$37=0,$B$42&gt;=0)," ",IF(AND(E27&gt;0,$B$42=0)," ",IF(AND(E27&gt;0,$B$42&gt;0),ROUND(E27/$B$42*1000,3))))</f>
        <v xml:space="preserve"> </v>
      </c>
    </row>
    <row r="28" spans="1:6" s="133" customFormat="1">
      <c r="A28" s="159" t="str">
        <f ca="1">IF(inputPrYr!$B24&gt;"  ",inputPrYr!$B24,"  ")</f>
        <v xml:space="preserve">  </v>
      </c>
      <c r="B28" s="160" t="str">
        <f ca="1">IF(inputPrYr!C24&gt;0,inputPrYr!C24,"  ")</f>
        <v xml:space="preserve">  </v>
      </c>
      <c r="C28" s="161" t="str">
        <f ca="1">IF(levypage11!$B$73&gt;0,levypage11!$B$73,"  ")</f>
        <v xml:space="preserve">  </v>
      </c>
      <c r="D28" s="152" t="str">
        <f ca="1">IF(levypage11!$G$66&lt;&gt;0,levypage11!$G$66,"  ")</f>
        <v xml:space="preserve">  </v>
      </c>
      <c r="E28" s="152" t="str">
        <f ca="1">IF(levypage11!$G$72&lt;&gt;0,levypage11!$G$72,"  ")</f>
        <v xml:space="preserve">  </v>
      </c>
      <c r="F28" s="162" t="str">
        <f ca="1">IF(AND(levypage11!$G$72=0,$B$42&gt;=0)," ",IF(AND(E28&gt;0,$B$42=0)," ",IF(AND(E28&gt;0,$B$42&gt;0),ROUND(E28/$B$42*1000,3))))</f>
        <v xml:space="preserve"> </v>
      </c>
    </row>
    <row r="29" spans="1:6" s="133" customFormat="1">
      <c r="A29" s="159" t="str">
        <f ca="1">IF(inputPrYr!$B25&gt;"  ",inputPrYr!$B25,"  ")</f>
        <v xml:space="preserve">  </v>
      </c>
      <c r="B29" s="160" t="str">
        <f ca="1">IF(inputPrYr!C25&gt;0,inputPrYr!C25,"  ")</f>
        <v xml:space="preserve">  </v>
      </c>
      <c r="C29" s="161" t="str">
        <f ca="1">IF(levypage12!$B$73&gt;0,levypage12!$B$73,"  ")</f>
        <v xml:space="preserve">  </v>
      </c>
      <c r="D29" s="152" t="str">
        <f ca="1">IF(levypage12!$G$31&lt;&gt;0,levypage12!$G$31,"  ")</f>
        <v xml:space="preserve">  </v>
      </c>
      <c r="E29" s="152" t="str">
        <f ca="1">IF(levypage12!$G$37&lt;&gt;0,levypage12!$G$37,"  ")</f>
        <v xml:space="preserve">  </v>
      </c>
      <c r="F29" s="162" t="str">
        <f ca="1">IF(AND(levypage12!$G$37=0,$B$42&gt;=0)," ",IF(AND(E29&gt;0,$B$42=0)," ",IF(AND(E29&gt;0,$B$42&gt;0),ROUND(E29/$B$42*1000,3))))</f>
        <v xml:space="preserve"> </v>
      </c>
    </row>
    <row r="30" spans="1:6" s="133" customFormat="1">
      <c r="A30" s="159" t="str">
        <f ca="1">IF(inputPrYr!$B26&gt;"  ",inputPrYr!$B26,"  ")</f>
        <v xml:space="preserve">  </v>
      </c>
      <c r="B30" s="160" t="str">
        <f ca="1">IF(inputPrYr!C26&gt;0,inputPrYr!C26,"  ")</f>
        <v xml:space="preserve">  </v>
      </c>
      <c r="C30" s="161" t="str">
        <f ca="1">IF(levypage12!$B$73&gt;0,levypage12!$B$73,"  ")</f>
        <v xml:space="preserve">  </v>
      </c>
      <c r="D30" s="152" t="str">
        <f ca="1">IF(levypage12!$G$66&lt;&gt;0,levypage12!$G$66,"  ")</f>
        <v xml:space="preserve">  </v>
      </c>
      <c r="E30" s="152" t="str">
        <f ca="1">IF(levypage12!$G$72&lt;&gt;0,levypage12!$G$72,"  ")</f>
        <v xml:space="preserve">  </v>
      </c>
      <c r="F30" s="162" t="str">
        <f ca="1">IF(AND(levypage12!$G$72=0,$B$42&gt;=0)," ",IF(AND(E30&gt;0,$B$42=0)," ",IF(AND(E30&gt;0,$B$42&gt;0),ROUND(E30/$B$42*1000,3))))</f>
        <v xml:space="preserve"> </v>
      </c>
    </row>
    <row r="31" spans="1:6" s="133" customFormat="1">
      <c r="A31" s="163" t="str">
        <f ca="1">IF(inputPrYr!$B30&gt;"  ",inputPrYr!$B30,"  ")</f>
        <v xml:space="preserve">  </v>
      </c>
      <c r="B31" s="164"/>
      <c r="C31" s="165" t="str">
        <f ca="1">IF(nolevypage13!$C$65&gt;0,nolevypage13!$C$65,"  ")</f>
        <v xml:space="preserve">  </v>
      </c>
      <c r="D31" s="152" t="str">
        <f ca="1">IF(nolevypage13!$E$28&lt;&gt;0,nolevypage13!$E$28,"  ")</f>
        <v xml:space="preserve">  </v>
      </c>
      <c r="E31" s="152"/>
      <c r="F31" s="162"/>
    </row>
    <row r="32" spans="1:6" s="133" customFormat="1">
      <c r="A32" s="166" t="str">
        <f ca="1">IF(inputPrYr!$B31&gt;"  ",inputPrYr!$B31,"  ")</f>
        <v xml:space="preserve">  </v>
      </c>
      <c r="B32" s="167"/>
      <c r="C32" s="165" t="str">
        <f ca="1">IF(nolevypage13!$C$65&gt;0,nolevypage13!$C$65,"  ")</f>
        <v xml:space="preserve">  </v>
      </c>
      <c r="D32" s="152" t="str">
        <f ca="1">IF(nolevypage13!$E$59&lt;&gt;0,nolevypage13!$E$59,"  ")</f>
        <v xml:space="preserve">  </v>
      </c>
      <c r="E32" s="152"/>
      <c r="F32" s="162"/>
    </row>
    <row r="33" spans="1:6" s="133" customFormat="1">
      <c r="A33" s="163" t="str">
        <f ca="1">IF(inputPrYr!$B32&gt;"  ",inputPrYr!$B32,"  ")</f>
        <v xml:space="preserve">  </v>
      </c>
      <c r="B33" s="167"/>
      <c r="C33" s="165" t="str">
        <f ca="1">IF(nolevypage14!$C$65&gt;0,nolevypage14!$C$65,"  ")</f>
        <v xml:space="preserve">  </v>
      </c>
      <c r="D33" s="152" t="str">
        <f ca="1">IF(nolevypage14!$E$28&lt;&gt;0,nolevypage14!$E$28,"  ")</f>
        <v xml:space="preserve">  </v>
      </c>
      <c r="E33" s="152"/>
      <c r="F33" s="162"/>
    </row>
    <row r="34" spans="1:6" s="133" customFormat="1">
      <c r="A34" s="166" t="str">
        <f ca="1">IF(inputPrYr!$B33&gt;"  ",inputPrYr!$B33,"  ")</f>
        <v xml:space="preserve">  </v>
      </c>
      <c r="B34" s="167"/>
      <c r="C34" s="165" t="str">
        <f ca="1">IF(nolevypage14!$C$65&gt;0,nolevypage14!$C$65,"  ")</f>
        <v xml:space="preserve">  </v>
      </c>
      <c r="D34" s="152" t="str">
        <f ca="1">IF(nolevypage14!$E$59&lt;&gt;0,nolevypage14!$E$59,"  ")</f>
        <v xml:space="preserve">  </v>
      </c>
      <c r="E34" s="152"/>
      <c r="F34" s="162"/>
    </row>
    <row r="35" spans="1:6" s="133" customFormat="1">
      <c r="A35" s="163" t="str">
        <f ca="1">IF((inputPrYr!$B37&gt;"  "),(nonbud!$A3),"  ")</f>
        <v xml:space="preserve">  </v>
      </c>
      <c r="B35" s="167"/>
      <c r="C35" s="165" t="str">
        <f ca="1">IF(nonbud!$F$33&gt;0,nonbud!$F$33,"  ")</f>
        <v xml:space="preserve">  </v>
      </c>
      <c r="D35" s="152"/>
      <c r="E35" s="152"/>
      <c r="F35" s="162"/>
    </row>
    <row r="36" spans="1:6" s="133" customFormat="1">
      <c r="A36" s="149" t="s">
        <v>656</v>
      </c>
      <c r="B36" s="164"/>
      <c r="C36" s="165" t="str">
        <f ca="1">IF(road!$B$66&gt;0,road!$B$66,"  ")</f>
        <v xml:space="preserve">  </v>
      </c>
      <c r="D36" s="157"/>
      <c r="E36" s="157"/>
      <c r="F36" s="162"/>
    </row>
    <row r="37" spans="1:6" s="133" customFormat="1" ht="16.5" thickBot="1">
      <c r="A37" s="168" t="s">
        <v>657</v>
      </c>
      <c r="B37" s="169"/>
      <c r="C37" s="170" t="s">
        <v>658</v>
      </c>
      <c r="D37" s="171">
        <f>SUM(D20:D30)</f>
        <v>57090</v>
      </c>
      <c r="E37" s="171">
        <f>SUM(E20:E30)</f>
        <v>44340</v>
      </c>
      <c r="F37" s="172" t="str">
        <f>IF(SUM(F20:F30)&gt;0,SUM(F20:F30),"")</f>
        <v/>
      </c>
    </row>
    <row r="38" spans="1:6" s="133" customFormat="1" ht="16.5" thickTop="1">
      <c r="A38" s="149" t="s">
        <v>516</v>
      </c>
      <c r="B38" s="158"/>
      <c r="C38" s="165">
        <f ca="1">summ!C51</f>
        <v>0</v>
      </c>
    </row>
    <row r="39" spans="1:6" s="133" customFormat="1">
      <c r="A39" s="149" t="s">
        <v>577</v>
      </c>
      <c r="B39" s="150"/>
      <c r="C39" s="165" t="str">
        <f ca="1">IF(nhood!C40&gt;0,nhood!C40,"")</f>
        <v/>
      </c>
      <c r="D39" s="173" t="s">
        <v>503</v>
      </c>
      <c r="E39" s="174" t="str">
        <f ca="1">IF(E37&gt;computation!J34,"Yes","No")</f>
        <v>No</v>
      </c>
    </row>
    <row r="40" spans="1:6" s="133" customFormat="1">
      <c r="A40" s="149" t="s">
        <v>502</v>
      </c>
      <c r="B40" s="150"/>
      <c r="C40" s="165" t="str">
        <f ca="1">IF(Resolution!D50&gt;0,Resolution!D50,"")</f>
        <v/>
      </c>
      <c r="D40" s="175"/>
      <c r="E40" s="176"/>
    </row>
    <row r="41" spans="1:6" s="133" customFormat="1">
      <c r="A41" s="177" t="s">
        <v>441</v>
      </c>
      <c r="B41" s="522" t="s">
        <v>469</v>
      </c>
      <c r="C41" s="523"/>
      <c r="D41" s="178"/>
      <c r="F41" s="141" t="s">
        <v>659</v>
      </c>
    </row>
    <row r="42" spans="1:6" s="133" customFormat="1">
      <c r="A42" s="179" t="s">
        <v>442</v>
      </c>
      <c r="B42" s="524"/>
      <c r="C42" s="525"/>
      <c r="D42" s="180"/>
      <c r="F42" s="141"/>
    </row>
    <row r="43" spans="1:6" s="133" customFormat="1">
      <c r="A43" s="181"/>
      <c r="B43" s="526" t="s">
        <v>468</v>
      </c>
      <c r="C43" s="527"/>
      <c r="D43" s="178"/>
      <c r="F43" s="141"/>
    </row>
    <row r="44" spans="1:6" s="133" customFormat="1">
      <c r="A44" s="181" t="s">
        <v>660</v>
      </c>
      <c r="D44" s="140"/>
      <c r="F44" s="141"/>
    </row>
    <row r="45" spans="1:6" s="133" customFormat="1">
      <c r="A45" s="184" t="s">
        <v>554</v>
      </c>
      <c r="D45" s="178"/>
      <c r="E45" s="140"/>
      <c r="F45" s="140"/>
    </row>
    <row r="46" spans="1:6" s="133" customFormat="1">
      <c r="A46" s="185"/>
      <c r="B46" s="139"/>
    </row>
    <row r="47" spans="1:6" s="133" customFormat="1">
      <c r="A47" s="181" t="s">
        <v>490</v>
      </c>
      <c r="D47" s="147"/>
      <c r="E47" s="147"/>
      <c r="F47" s="147"/>
    </row>
    <row r="48" spans="1:6" s="133" customFormat="1">
      <c r="A48" s="184" t="s">
        <v>555</v>
      </c>
      <c r="C48" s="141"/>
    </row>
    <row r="49" spans="1:7" s="133" customFormat="1">
      <c r="A49" s="185" t="s">
        <v>556</v>
      </c>
      <c r="B49" s="141"/>
      <c r="D49" s="147"/>
      <c r="E49" s="183"/>
      <c r="F49" s="183"/>
    </row>
    <row r="50" spans="1:7">
      <c r="A50" s="185" t="s">
        <v>557</v>
      </c>
      <c r="B50" s="139"/>
      <c r="C50" s="133"/>
      <c r="D50" s="133"/>
      <c r="E50" s="133"/>
      <c r="F50" s="133"/>
      <c r="G50" s="186"/>
    </row>
    <row r="51" spans="1:7">
      <c r="A51" s="185"/>
      <c r="B51" s="139"/>
      <c r="C51" s="133"/>
      <c r="D51" s="147"/>
      <c r="E51" s="183"/>
      <c r="F51" s="183"/>
      <c r="G51" s="186"/>
    </row>
    <row r="52" spans="1:7">
      <c r="A52" s="139"/>
      <c r="B52" s="133"/>
      <c r="C52" s="133"/>
      <c r="D52" s="133"/>
      <c r="E52" s="133"/>
      <c r="F52" s="133"/>
      <c r="G52" s="186"/>
    </row>
    <row r="53" spans="1:7">
      <c r="A53" s="141" t="s">
        <v>494</v>
      </c>
      <c r="B53" s="190">
        <f>G1-1</f>
        <v>2012</v>
      </c>
      <c r="C53" s="133"/>
      <c r="D53" s="147"/>
      <c r="E53" s="183"/>
      <c r="F53" s="183"/>
      <c r="G53" s="186"/>
    </row>
    <row r="54" spans="1:7">
      <c r="A54" s="133"/>
      <c r="B54" s="133"/>
      <c r="C54" s="133"/>
      <c r="D54" s="133"/>
      <c r="E54" s="141"/>
      <c r="F54" s="133"/>
      <c r="G54" s="186"/>
    </row>
    <row r="55" spans="1:7">
      <c r="A55" s="183"/>
      <c r="B55" s="133"/>
      <c r="C55" s="133"/>
      <c r="D55" s="147"/>
      <c r="E55" s="147"/>
      <c r="F55" s="147"/>
      <c r="G55" s="186"/>
    </row>
    <row r="56" spans="1:7">
      <c r="A56" s="136" t="s">
        <v>662</v>
      </c>
      <c r="B56" s="133"/>
      <c r="C56" s="133"/>
      <c r="D56" s="133"/>
      <c r="E56" s="513" t="s">
        <v>661</v>
      </c>
      <c r="F56" s="514"/>
    </row>
    <row r="57" spans="1:7">
      <c r="A57" s="133"/>
      <c r="B57" s="133"/>
      <c r="C57" s="133"/>
      <c r="D57" s="133"/>
      <c r="E57" s="133"/>
      <c r="F57" s="133"/>
    </row>
    <row r="58" spans="1:7">
      <c r="A58" s="133"/>
      <c r="B58" s="133"/>
      <c r="C58" s="133"/>
      <c r="D58" s="133"/>
      <c r="E58" s="133"/>
      <c r="F58" s="133"/>
    </row>
    <row r="59" spans="1:7">
      <c r="A59" s="133"/>
      <c r="B59" s="133"/>
      <c r="C59" s="133"/>
      <c r="D59" s="133"/>
      <c r="E59" s="133"/>
      <c r="F59" s="133"/>
    </row>
    <row r="60" spans="1:7">
      <c r="A60" s="189" t="s">
        <v>334</v>
      </c>
      <c r="B60" s="188"/>
      <c r="C60" s="188"/>
      <c r="D60" s="188"/>
      <c r="E60" s="188"/>
      <c r="F60" s="133"/>
    </row>
    <row r="61" spans="1:7">
      <c r="A61" s="189" t="s">
        <v>335</v>
      </c>
      <c r="B61" s="188"/>
      <c r="C61" s="188"/>
      <c r="D61" s="188"/>
      <c r="E61" s="188"/>
      <c r="F61" s="133"/>
    </row>
    <row r="62" spans="1:7">
      <c r="A62" s="189"/>
      <c r="B62" s="188"/>
      <c r="C62" s="188"/>
      <c r="D62" s="188"/>
      <c r="E62" s="188"/>
      <c r="F62" s="133"/>
    </row>
    <row r="63" spans="1:7">
      <c r="A63" s="133"/>
      <c r="B63" s="133"/>
      <c r="C63" s="133"/>
      <c r="D63" s="133"/>
      <c r="E63" s="133"/>
      <c r="F63" s="133"/>
    </row>
    <row r="64" spans="1:7">
      <c r="A64" s="141" t="str">
        <f>CONCATENATE("Salaries and Wages:  Please report here the total amount of salaries and wages paid in ",G1-2," by the township")</f>
        <v>Salaries and Wages:  Please report here the total amount of salaries and wages paid in 2011 by the township</v>
      </c>
      <c r="B64" s="133"/>
      <c r="C64" s="133"/>
      <c r="D64" s="133"/>
      <c r="E64" s="133"/>
      <c r="F64" s="133"/>
    </row>
    <row r="65" spans="1:6">
      <c r="A65" s="141" t="str">
        <f>CONCATENATE("to all employees, full and part-time.  This figure may be taken from the ",G1-2," W-3 form that your township filed")</f>
        <v>to all employees, full and part-time.  This figure may be taken from the 2011 W-3 form that your township filed</v>
      </c>
      <c r="B65" s="133"/>
      <c r="C65" s="133"/>
      <c r="D65" s="133"/>
      <c r="E65" s="133"/>
      <c r="F65" s="133"/>
    </row>
    <row r="66" spans="1:6">
      <c r="A66" s="141" t="s">
        <v>336</v>
      </c>
      <c r="B66" s="133"/>
      <c r="C66" s="133"/>
      <c r="D66" s="191" t="s">
        <v>337</v>
      </c>
      <c r="E66" s="192">
        <v>6725</v>
      </c>
      <c r="F66" s="133"/>
    </row>
  </sheetData>
  <sheetProtection sheet="1"/>
  <mergeCells count="10">
    <mergeCell ref="A1:F1"/>
    <mergeCell ref="E12:E14"/>
    <mergeCell ref="E56:F56"/>
    <mergeCell ref="D11:F11"/>
    <mergeCell ref="A6:F6"/>
    <mergeCell ref="A7:F7"/>
    <mergeCell ref="A3:G3"/>
    <mergeCell ref="B41:C41"/>
    <mergeCell ref="B42:C42"/>
    <mergeCell ref="B43:C43"/>
  </mergeCells>
  <phoneticPr fontId="0" type="noConversion"/>
  <conditionalFormatting sqref="E20">
    <cfRule type="cellIs" dxfId="165" priority="1" stopIfTrue="1" operator="equal">
      <formula>0</formula>
    </cfRule>
  </conditionalFormatting>
  <pageMargins left="0.4" right="0.4" top="0.83" bottom="0.85" header="0.3" footer="0.6"/>
  <pageSetup scale="73" orientation="portrait" blackAndWhite="1" horizontalDpi="4294967292" verticalDpi="96" r:id="rId1"/>
  <headerFooter alignWithMargins="0">
    <oddHeader xml:space="preserve">&amp;RState of Kansas
Township
</oddHeader>
    <oddFooter>&amp;Lrevised 8/25/09&amp;CPage No. 1</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J37"/>
  <sheetViews>
    <sheetView zoomScale="80" workbookViewId="0">
      <selection activeCell="J2" sqref="J2"/>
    </sheetView>
  </sheetViews>
  <sheetFormatPr defaultRowHeight="15.75"/>
  <cols>
    <col min="1" max="2" width="3" style="187" customWidth="1"/>
    <col min="3" max="3" width="28.19921875" style="187" customWidth="1"/>
    <col min="4" max="4" width="2.09765625" style="187" customWidth="1"/>
    <col min="5" max="5" width="15.69921875" style="187" customWidth="1"/>
    <col min="6" max="6" width="1.796875" style="187" customWidth="1"/>
    <col min="7" max="7" width="15.69921875" style="187" customWidth="1"/>
    <col min="8" max="8" width="1.69921875" style="187" customWidth="1"/>
    <col min="9" max="9" width="1.59765625" style="187" customWidth="1"/>
    <col min="10" max="10" width="15.69921875" style="187" customWidth="1"/>
    <col min="11" max="16384" width="8.796875" style="187"/>
  </cols>
  <sheetData>
    <row r="1" spans="1:10">
      <c r="A1" s="133"/>
      <c r="B1" s="133"/>
      <c r="C1" s="193" t="str">
        <f ca="1">inputPrYr!D2</f>
        <v>Winterset Township</v>
      </c>
      <c r="D1" s="133"/>
      <c r="E1" s="133"/>
      <c r="F1" s="133"/>
      <c r="G1" s="133"/>
      <c r="H1" s="133"/>
      <c r="I1" s="133"/>
      <c r="J1" s="133">
        <f ca="1">inputPrYr!D5</f>
        <v>2013</v>
      </c>
    </row>
    <row r="2" spans="1:10">
      <c r="A2" s="133"/>
      <c r="B2" s="133"/>
      <c r="C2" s="133"/>
      <c r="D2" s="133"/>
      <c r="E2" s="133"/>
      <c r="F2" s="133"/>
      <c r="G2" s="133"/>
      <c r="H2" s="133"/>
      <c r="I2" s="133"/>
      <c r="J2" s="133"/>
    </row>
    <row r="3" spans="1:10">
      <c r="A3" s="529" t="str">
        <f>CONCATENATE("Computation to Determine Limit for ",J1,"")</f>
        <v>Computation to Determine Limit for 2013</v>
      </c>
      <c r="B3" s="509"/>
      <c r="C3" s="509"/>
      <c r="D3" s="509"/>
      <c r="E3" s="509"/>
      <c r="F3" s="509"/>
      <c r="G3" s="509"/>
      <c r="H3" s="509"/>
      <c r="I3" s="509"/>
      <c r="J3" s="509"/>
    </row>
    <row r="4" spans="1:10">
      <c r="A4" s="133"/>
      <c r="B4" s="133"/>
      <c r="C4" s="133"/>
      <c r="D4" s="133"/>
      <c r="E4" s="509"/>
      <c r="F4" s="509"/>
      <c r="G4" s="509"/>
      <c r="H4" s="132"/>
      <c r="I4" s="133"/>
      <c r="J4" s="194" t="s">
        <v>423</v>
      </c>
    </row>
    <row r="5" spans="1:10">
      <c r="A5" s="195" t="s">
        <v>424</v>
      </c>
      <c r="B5" s="133" t="str">
        <f>CONCATENATE("Total Tax Levy Amount in ",J1-1,"")</f>
        <v>Total Tax Levy Amount in 2012</v>
      </c>
      <c r="C5" s="133"/>
      <c r="D5" s="133"/>
      <c r="E5" s="196"/>
      <c r="F5" s="196"/>
      <c r="G5" s="196"/>
      <c r="H5" s="197" t="s">
        <v>350</v>
      </c>
      <c r="I5" s="196" t="s">
        <v>337</v>
      </c>
      <c r="J5" s="198">
        <f ca="1">inputPrYr!E27</f>
        <v>43397</v>
      </c>
    </row>
    <row r="6" spans="1:10">
      <c r="A6" s="195" t="s">
        <v>425</v>
      </c>
      <c r="B6" s="133" t="str">
        <f>CONCATENATE("Debt Service Levy in ",J1-1,"")</f>
        <v>Debt Service Levy in 2012</v>
      </c>
      <c r="C6" s="133"/>
      <c r="D6" s="133"/>
      <c r="E6" s="196"/>
      <c r="F6" s="196"/>
      <c r="G6" s="196"/>
      <c r="H6" s="197" t="s">
        <v>426</v>
      </c>
      <c r="I6" s="196" t="s">
        <v>337</v>
      </c>
      <c r="J6" s="199">
        <f ca="1">inputPrYr!E17</f>
        <v>0</v>
      </c>
    </row>
    <row r="7" spans="1:10">
      <c r="A7" s="195" t="s">
        <v>427</v>
      </c>
      <c r="B7" s="200" t="s">
        <v>451</v>
      </c>
      <c r="C7" s="133"/>
      <c r="D7" s="133"/>
      <c r="E7" s="196"/>
      <c r="F7" s="196"/>
      <c r="G7" s="196"/>
      <c r="H7" s="196"/>
      <c r="I7" s="196" t="s">
        <v>337</v>
      </c>
      <c r="J7" s="201">
        <f>J5-J6</f>
        <v>43397</v>
      </c>
    </row>
    <row r="8" spans="1:10">
      <c r="A8" s="133"/>
      <c r="B8" s="133"/>
      <c r="C8" s="133"/>
      <c r="D8" s="133"/>
      <c r="E8" s="196"/>
      <c r="F8" s="196"/>
      <c r="G8" s="196"/>
      <c r="H8" s="196"/>
      <c r="I8" s="196"/>
      <c r="J8" s="196"/>
    </row>
    <row r="9" spans="1:10">
      <c r="A9" s="133"/>
      <c r="B9" s="200" t="str">
        <f>CONCATENATE("",J1-1," Valuation Information for Valuation Adjustments:")</f>
        <v>2012 Valuation Information for Valuation Adjustments:</v>
      </c>
      <c r="C9" s="133"/>
      <c r="D9" s="133"/>
      <c r="E9" s="196"/>
      <c r="F9" s="196"/>
      <c r="G9" s="196"/>
      <c r="H9" s="196"/>
      <c r="I9" s="196"/>
      <c r="J9" s="196"/>
    </row>
    <row r="10" spans="1:10">
      <c r="A10" s="133"/>
      <c r="B10" s="133"/>
      <c r="C10" s="200"/>
      <c r="D10" s="133"/>
      <c r="E10" s="196"/>
      <c r="F10" s="196"/>
      <c r="G10" s="196"/>
      <c r="H10" s="196"/>
      <c r="I10" s="196"/>
      <c r="J10" s="196"/>
    </row>
    <row r="11" spans="1:10">
      <c r="A11" s="195" t="s">
        <v>428</v>
      </c>
      <c r="B11" s="200" t="str">
        <f>CONCATENATE("New Improvements for ",J1-1,":")</f>
        <v>New Improvements for 2012:</v>
      </c>
      <c r="C11" s="133"/>
      <c r="D11" s="133"/>
      <c r="E11" s="197"/>
      <c r="F11" s="197" t="s">
        <v>350</v>
      </c>
      <c r="G11" s="198">
        <f ca="1">inputOth!E8</f>
        <v>31068</v>
      </c>
      <c r="H11" s="202"/>
      <c r="I11" s="196"/>
      <c r="J11" s="196"/>
    </row>
    <row r="12" spans="1:10">
      <c r="A12" s="195"/>
      <c r="B12" s="195"/>
      <c r="C12" s="133"/>
      <c r="D12" s="133"/>
      <c r="E12" s="197"/>
      <c r="F12" s="197"/>
      <c r="G12" s="202"/>
      <c r="H12" s="202"/>
      <c r="I12" s="196"/>
      <c r="J12" s="196"/>
    </row>
    <row r="13" spans="1:10">
      <c r="A13" s="195" t="s">
        <v>429</v>
      </c>
      <c r="B13" s="200" t="str">
        <f>CONCATENATE("Increase in Personal Property for ",J1-1,":")</f>
        <v>Increase in Personal Property for 2012:</v>
      </c>
      <c r="C13" s="133"/>
      <c r="D13" s="133"/>
      <c r="E13" s="197"/>
      <c r="F13" s="197"/>
      <c r="G13" s="202"/>
      <c r="H13" s="202"/>
      <c r="I13" s="196"/>
      <c r="J13" s="196"/>
    </row>
    <row r="14" spans="1:10">
      <c r="A14" s="133"/>
      <c r="B14" s="133" t="s">
        <v>430</v>
      </c>
      <c r="C14" s="133" t="str">
        <f>CONCATENATE("Personal Property ",J1-1,"")</f>
        <v>Personal Property 2012</v>
      </c>
      <c r="D14" s="195" t="s">
        <v>350</v>
      </c>
      <c r="E14" s="198">
        <f ca="1">inputOth!E9</f>
        <v>40202</v>
      </c>
      <c r="F14" s="197"/>
      <c r="G14" s="196"/>
      <c r="H14" s="196"/>
      <c r="I14" s="202"/>
      <c r="J14" s="196"/>
    </row>
    <row r="15" spans="1:10">
      <c r="A15" s="195"/>
      <c r="B15" s="133" t="s">
        <v>431</v>
      </c>
      <c r="C15" s="133" t="str">
        <f>CONCATENATE("Personal Property ",J1-2,"")</f>
        <v>Personal Property 2011</v>
      </c>
      <c r="D15" s="195" t="s">
        <v>426</v>
      </c>
      <c r="E15" s="201">
        <f ca="1">inputOth!E11</f>
        <v>32252</v>
      </c>
      <c r="F15" s="197"/>
      <c r="G15" s="202"/>
      <c r="H15" s="202"/>
      <c r="I15" s="196"/>
      <c r="J15" s="196"/>
    </row>
    <row r="16" spans="1:10">
      <c r="A16" s="195"/>
      <c r="B16" s="133" t="s">
        <v>432</v>
      </c>
      <c r="C16" s="133" t="s">
        <v>452</v>
      </c>
      <c r="D16" s="133"/>
      <c r="E16" s="196"/>
      <c r="F16" s="196" t="s">
        <v>350</v>
      </c>
      <c r="G16" s="198">
        <f>IF(E14&gt;E15,E14-E15,0)</f>
        <v>7950</v>
      </c>
      <c r="H16" s="202"/>
      <c r="I16" s="196"/>
      <c r="J16" s="196"/>
    </row>
    <row r="17" spans="1:10">
      <c r="A17" s="195"/>
      <c r="B17" s="195"/>
      <c r="C17" s="133"/>
      <c r="D17" s="133"/>
      <c r="E17" s="196"/>
      <c r="F17" s="196"/>
      <c r="G17" s="202" t="s">
        <v>440</v>
      </c>
      <c r="H17" s="202"/>
      <c r="I17" s="196"/>
      <c r="J17" s="196"/>
    </row>
    <row r="18" spans="1:10">
      <c r="A18" s="195" t="s">
        <v>433</v>
      </c>
      <c r="B18" s="200" t="str">
        <f>CONCATENATE("Valuation of Property that Changed in Use during ",J1-1,":")</f>
        <v>Valuation of Property that Changed in Use during 2012:</v>
      </c>
      <c r="C18" s="133"/>
      <c r="D18" s="133"/>
      <c r="E18" s="196"/>
      <c r="F18" s="197" t="s">
        <v>350</v>
      </c>
      <c r="G18" s="198">
        <f ca="1">inputOth!E10</f>
        <v>239</v>
      </c>
      <c r="H18" s="196"/>
      <c r="I18" s="196"/>
      <c r="J18" s="196"/>
    </row>
    <row r="19" spans="1:10">
      <c r="A19" s="133" t="s">
        <v>646</v>
      </c>
      <c r="B19" s="133"/>
      <c r="C19" s="133"/>
      <c r="D19" s="195"/>
      <c r="E19" s="202"/>
      <c r="F19" s="202"/>
      <c r="G19" s="202"/>
      <c r="H19" s="196"/>
      <c r="I19" s="196"/>
      <c r="J19" s="196"/>
    </row>
    <row r="20" spans="1:10">
      <c r="A20" s="195" t="s">
        <v>434</v>
      </c>
      <c r="B20" s="200" t="s">
        <v>453</v>
      </c>
      <c r="C20" s="133"/>
      <c r="D20" s="133"/>
      <c r="E20" s="196"/>
      <c r="F20" s="196"/>
      <c r="G20" s="198">
        <f>G11+G16+G18</f>
        <v>39257</v>
      </c>
      <c r="H20" s="202"/>
      <c r="I20" s="196"/>
      <c r="J20" s="196"/>
    </row>
    <row r="21" spans="1:10">
      <c r="A21" s="195"/>
      <c r="B21" s="195"/>
      <c r="C21" s="200"/>
      <c r="D21" s="133"/>
      <c r="E21" s="196"/>
      <c r="F21" s="196"/>
      <c r="G21" s="202"/>
      <c r="H21" s="202"/>
      <c r="I21" s="196"/>
      <c r="J21" s="196"/>
    </row>
    <row r="22" spans="1:10">
      <c r="A22" s="195" t="s">
        <v>435</v>
      </c>
      <c r="B22" s="133" t="str">
        <f>CONCATENATE("Total Estimated Valuation July 1,",J1-1,"")</f>
        <v>Total Estimated Valuation July 1,2012</v>
      </c>
      <c r="C22" s="133"/>
      <c r="D22" s="133"/>
      <c r="E22" s="198">
        <f ca="1">inputOth!E7</f>
        <v>1846133</v>
      </c>
      <c r="F22" s="196"/>
      <c r="G22" s="196"/>
      <c r="H22" s="196"/>
      <c r="I22" s="197"/>
      <c r="J22" s="196"/>
    </row>
    <row r="23" spans="1:10">
      <c r="A23" s="195"/>
      <c r="B23" s="195"/>
      <c r="C23" s="133"/>
      <c r="D23" s="133"/>
      <c r="E23" s="202"/>
      <c r="F23" s="196"/>
      <c r="G23" s="196"/>
      <c r="H23" s="196"/>
      <c r="I23" s="197"/>
      <c r="J23" s="196"/>
    </row>
    <row r="24" spans="1:10">
      <c r="A24" s="195" t="s">
        <v>436</v>
      </c>
      <c r="B24" s="200" t="s">
        <v>454</v>
      </c>
      <c r="C24" s="133"/>
      <c r="D24" s="133"/>
      <c r="E24" s="196"/>
      <c r="F24" s="196"/>
      <c r="G24" s="198">
        <f>E22-G20</f>
        <v>1806876</v>
      </c>
      <c r="H24" s="202"/>
      <c r="I24" s="197"/>
      <c r="J24" s="196"/>
    </row>
    <row r="25" spans="1:10">
      <c r="A25" s="195"/>
      <c r="B25" s="195"/>
      <c r="C25" s="200"/>
      <c r="D25" s="133"/>
      <c r="E25" s="133"/>
      <c r="F25" s="133"/>
      <c r="G25" s="203"/>
      <c r="H25" s="140"/>
      <c r="I25" s="195"/>
      <c r="J25" s="133"/>
    </row>
    <row r="26" spans="1:10">
      <c r="A26" s="195" t="s">
        <v>437</v>
      </c>
      <c r="B26" s="133" t="s">
        <v>455</v>
      </c>
      <c r="C26" s="133"/>
      <c r="D26" s="133"/>
      <c r="E26" s="133"/>
      <c r="F26" s="133"/>
      <c r="G26" s="204">
        <f>IF(G20&gt;0,G20/G24,0)</f>
        <v>2.1726449407707005E-2</v>
      </c>
      <c r="H26" s="140"/>
      <c r="I26" s="133"/>
      <c r="J26" s="133"/>
    </row>
    <row r="27" spans="1:10">
      <c r="A27" s="195"/>
      <c r="B27" s="195"/>
      <c r="C27" s="133"/>
      <c r="D27" s="133"/>
      <c r="E27" s="133"/>
      <c r="F27" s="133"/>
      <c r="G27" s="140"/>
      <c r="H27" s="140"/>
      <c r="I27" s="133"/>
      <c r="J27" s="133"/>
    </row>
    <row r="28" spans="1:10">
      <c r="A28" s="195" t="s">
        <v>438</v>
      </c>
      <c r="B28" s="133" t="s">
        <v>456</v>
      </c>
      <c r="C28" s="133"/>
      <c r="D28" s="133"/>
      <c r="E28" s="133"/>
      <c r="F28" s="133"/>
      <c r="G28" s="140"/>
      <c r="H28" s="205" t="s">
        <v>350</v>
      </c>
      <c r="I28" s="133" t="s">
        <v>337</v>
      </c>
      <c r="J28" s="198">
        <f>ROUND(G26*J7,0)</f>
        <v>943</v>
      </c>
    </row>
    <row r="29" spans="1:10">
      <c r="A29" s="195"/>
      <c r="B29" s="195"/>
      <c r="C29" s="133"/>
      <c r="D29" s="133"/>
      <c r="E29" s="133"/>
      <c r="F29" s="133"/>
      <c r="G29" s="140"/>
      <c r="H29" s="205"/>
      <c r="I29" s="133"/>
      <c r="J29" s="202"/>
    </row>
    <row r="30" spans="1:10" ht="16.5" thickBot="1">
      <c r="A30" s="195" t="s">
        <v>439</v>
      </c>
      <c r="B30" s="200" t="s">
        <v>460</v>
      </c>
      <c r="C30" s="133"/>
      <c r="D30" s="133"/>
      <c r="E30" s="133"/>
      <c r="F30" s="133"/>
      <c r="G30" s="133"/>
      <c r="H30" s="133"/>
      <c r="I30" s="133" t="s">
        <v>337</v>
      </c>
      <c r="J30" s="206">
        <f>J7+J28</f>
        <v>44340</v>
      </c>
    </row>
    <row r="31" spans="1:10" ht="16.5" thickTop="1">
      <c r="A31" s="133"/>
      <c r="B31" s="133"/>
      <c r="C31" s="133"/>
      <c r="D31" s="133"/>
      <c r="E31" s="133"/>
      <c r="F31" s="133"/>
      <c r="G31" s="133"/>
      <c r="H31" s="133"/>
      <c r="I31" s="133"/>
      <c r="J31" s="133"/>
    </row>
    <row r="32" spans="1:10">
      <c r="A32" s="195" t="s">
        <v>458</v>
      </c>
      <c r="B32" s="200" t="str">
        <f>CONCATENATE("Debt Service Levy in this ",J1,"")</f>
        <v>Debt Service Levy in this 2013</v>
      </c>
      <c r="C32" s="133"/>
      <c r="D32" s="133"/>
      <c r="E32" s="133"/>
      <c r="F32" s="133"/>
      <c r="G32" s="133"/>
      <c r="H32" s="133"/>
      <c r="I32" s="133"/>
      <c r="J32" s="198">
        <f ca="1">DebtService!G59</f>
        <v>0</v>
      </c>
    </row>
    <row r="33" spans="1:10">
      <c r="A33" s="195"/>
      <c r="B33" s="200"/>
      <c r="C33" s="133"/>
      <c r="D33" s="133"/>
      <c r="E33" s="133"/>
      <c r="F33" s="133"/>
      <c r="G33" s="133"/>
      <c r="H33" s="133"/>
      <c r="I33" s="133"/>
      <c r="J33" s="140"/>
    </row>
    <row r="34" spans="1:10" ht="16.5" thickBot="1">
      <c r="A34" s="195" t="s">
        <v>459</v>
      </c>
      <c r="B34" s="200" t="s">
        <v>461</v>
      </c>
      <c r="C34" s="133"/>
      <c r="D34" s="133"/>
      <c r="E34" s="133"/>
      <c r="F34" s="133"/>
      <c r="G34" s="133"/>
      <c r="H34" s="133"/>
      <c r="I34" s="133"/>
      <c r="J34" s="206">
        <f>J30+J32</f>
        <v>44340</v>
      </c>
    </row>
    <row r="35" spans="1:10" ht="16.5" thickTop="1">
      <c r="A35" s="133"/>
      <c r="B35" s="133"/>
      <c r="C35" s="133"/>
      <c r="D35" s="133"/>
      <c r="E35" s="133"/>
      <c r="F35" s="133"/>
      <c r="G35" s="133"/>
      <c r="H35" s="133"/>
      <c r="I35" s="133"/>
      <c r="J35" s="133"/>
    </row>
    <row r="36" spans="1:10" s="207" customFormat="1" ht="18.75">
      <c r="A36" s="528" t="str">
        <f>CONCATENATE("If the ",J1," budget includes tax levies exceeding the total on line 14, you must")</f>
        <v>If the 2013 budget includes tax levies exceeding the total on line 14, you must</v>
      </c>
      <c r="B36" s="528"/>
      <c r="C36" s="528"/>
      <c r="D36" s="528"/>
      <c r="E36" s="528"/>
      <c r="F36" s="528"/>
      <c r="G36" s="528"/>
      <c r="H36" s="528"/>
      <c r="I36" s="528"/>
      <c r="J36" s="528"/>
    </row>
    <row r="37" spans="1:10" s="207" customFormat="1" ht="18.75">
      <c r="A37" s="528" t="s">
        <v>457</v>
      </c>
      <c r="B37" s="528"/>
      <c r="C37" s="528"/>
      <c r="D37" s="528"/>
      <c r="E37" s="528"/>
      <c r="F37" s="528"/>
      <c r="G37" s="528"/>
      <c r="H37" s="528"/>
      <c r="I37" s="528"/>
      <c r="J37" s="528"/>
    </row>
  </sheetData>
  <sheetProtection sheet="1"/>
  <mergeCells count="4">
    <mergeCell ref="A36:J36"/>
    <mergeCell ref="A37:J37"/>
    <mergeCell ref="A3:J3"/>
    <mergeCell ref="E4:G4"/>
  </mergeCells>
  <phoneticPr fontId="0" type="noConversion"/>
  <pageMargins left="0.4" right="0.4" top="0.83" bottom="0.85" header="0.3" footer="0.6"/>
  <pageSetup scale="86" orientation="portrait" blackAndWhite="1" r:id="rId1"/>
  <headerFooter alignWithMargins="0">
    <oddHeader xml:space="preserve">&amp;RState of Kansas
Township
</oddHeader>
    <oddFooter>&amp;Lrevised 8/06/07&amp;CPage No. 2</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H70"/>
  <sheetViews>
    <sheetView topLeftCell="A16" workbookViewId="0">
      <selection activeCell="G24" sqref="G24"/>
    </sheetView>
  </sheetViews>
  <sheetFormatPr defaultRowHeight="15.75"/>
  <cols>
    <col min="1" max="1" width="27.296875" style="239" customWidth="1"/>
    <col min="2" max="2" width="9.5" style="239" customWidth="1"/>
    <col min="3" max="3" width="10.3984375" style="239" customWidth="1"/>
    <col min="4" max="4" width="5.69921875" style="239" customWidth="1"/>
    <col min="5" max="5" width="9.59765625" style="239" customWidth="1"/>
    <col min="6" max="6" width="6.59765625" style="239" customWidth="1"/>
    <col min="7" max="7" width="13.69921875" style="239" customWidth="1"/>
    <col min="8" max="16384" width="8.796875" style="239"/>
  </cols>
  <sheetData>
    <row r="1" spans="1:7">
      <c r="A1" s="193" t="str">
        <f ca="1">inputPrYr!D2</f>
        <v>Winterset Township</v>
      </c>
      <c r="B1" s="133"/>
      <c r="C1" s="133"/>
      <c r="D1" s="133"/>
      <c r="E1" s="133"/>
      <c r="F1" s="133"/>
      <c r="G1" s="208">
        <f ca="1">inputPrYr!D5</f>
        <v>2013</v>
      </c>
    </row>
    <row r="2" spans="1:7">
      <c r="A2" s="200" t="s">
        <v>411</v>
      </c>
      <c r="B2" s="133"/>
      <c r="C2" s="133"/>
      <c r="D2" s="133"/>
      <c r="E2" s="133"/>
      <c r="F2" s="133"/>
      <c r="G2" s="307"/>
    </row>
    <row r="3" spans="1:7">
      <c r="A3" s="133"/>
      <c r="B3" s="140"/>
      <c r="C3" s="147"/>
      <c r="D3" s="147"/>
      <c r="E3" s="147"/>
      <c r="F3" s="147"/>
      <c r="G3" s="308"/>
    </row>
    <row r="4" spans="1:7">
      <c r="A4" s="141" t="s">
        <v>345</v>
      </c>
      <c r="B4" s="140"/>
      <c r="C4" s="550" t="s">
        <v>346</v>
      </c>
      <c r="D4" s="551"/>
      <c r="E4" s="556" t="s">
        <v>347</v>
      </c>
      <c r="F4" s="557"/>
      <c r="G4" s="143" t="s">
        <v>348</v>
      </c>
    </row>
    <row r="5" spans="1:7">
      <c r="A5" s="232" t="str">
        <f ca="1">inputPrYr!B16</f>
        <v>General</v>
      </c>
      <c r="B5" s="309"/>
      <c r="C5" s="552" t="str">
        <f>CONCATENATE("Actual ",$G$1-2,"")</f>
        <v>Actual 2011</v>
      </c>
      <c r="D5" s="553"/>
      <c r="E5" s="552" t="str">
        <f>CONCATENATE("Estimate ",$G$1-1,"")</f>
        <v>Estimate 2012</v>
      </c>
      <c r="F5" s="553"/>
      <c r="G5" s="148" t="str">
        <f>CONCATENATE("Year ",$G$1,"")</f>
        <v>Year 2013</v>
      </c>
    </row>
    <row r="6" spans="1:7">
      <c r="A6" s="149" t="s">
        <v>462</v>
      </c>
      <c r="B6" s="150"/>
      <c r="C6" s="530">
        <v>7804</v>
      </c>
      <c r="D6" s="531"/>
      <c r="E6" s="554">
        <f>C51</f>
        <v>14174</v>
      </c>
      <c r="F6" s="555"/>
      <c r="G6" s="284">
        <f>E51</f>
        <v>7239</v>
      </c>
    </row>
    <row r="7" spans="1:7">
      <c r="A7" s="149" t="s">
        <v>464</v>
      </c>
      <c r="B7" s="150"/>
      <c r="C7" s="554"/>
      <c r="D7" s="555"/>
      <c r="E7" s="554"/>
      <c r="F7" s="555"/>
      <c r="G7" s="313"/>
    </row>
    <row r="8" spans="1:7">
      <c r="A8" s="149" t="s">
        <v>351</v>
      </c>
      <c r="B8" s="150"/>
      <c r="C8" s="530">
        <v>37053</v>
      </c>
      <c r="D8" s="531"/>
      <c r="E8" s="554">
        <f ca="1">inputPrYr!E16</f>
        <v>43397</v>
      </c>
      <c r="F8" s="555"/>
      <c r="G8" s="313" t="s">
        <v>658</v>
      </c>
    </row>
    <row r="9" spans="1:7">
      <c r="A9" s="149" t="s">
        <v>352</v>
      </c>
      <c r="B9" s="150"/>
      <c r="C9" s="530">
        <v>1246</v>
      </c>
      <c r="D9" s="531"/>
      <c r="E9" s="530"/>
      <c r="F9" s="531"/>
      <c r="G9" s="279"/>
    </row>
    <row r="10" spans="1:7">
      <c r="A10" s="149" t="s">
        <v>353</v>
      </c>
      <c r="B10" s="150"/>
      <c r="C10" s="530">
        <v>3341</v>
      </c>
      <c r="D10" s="531"/>
      <c r="E10" s="530">
        <v>3566</v>
      </c>
      <c r="F10" s="531"/>
      <c r="G10" s="284">
        <f ca="1">mvalloc!G11</f>
        <v>2996</v>
      </c>
    </row>
    <row r="11" spans="1:7">
      <c r="A11" s="149" t="s">
        <v>354</v>
      </c>
      <c r="B11" s="150"/>
      <c r="C11" s="530">
        <v>82</v>
      </c>
      <c r="D11" s="531"/>
      <c r="E11" s="530">
        <v>51</v>
      </c>
      <c r="F11" s="531"/>
      <c r="G11" s="284">
        <f ca="1">mvalloc!I11</f>
        <v>57</v>
      </c>
    </row>
    <row r="12" spans="1:7">
      <c r="A12" s="314" t="s">
        <v>409</v>
      </c>
      <c r="B12" s="150"/>
      <c r="C12" s="530">
        <v>455</v>
      </c>
      <c r="D12" s="531"/>
      <c r="E12" s="530">
        <v>500</v>
      </c>
      <c r="F12" s="531"/>
      <c r="G12" s="284">
        <f ca="1">mvalloc!J11</f>
        <v>679</v>
      </c>
    </row>
    <row r="13" spans="1:7">
      <c r="A13" s="314" t="s">
        <v>507</v>
      </c>
      <c r="B13" s="150"/>
      <c r="C13" s="530"/>
      <c r="D13" s="531"/>
      <c r="E13" s="530"/>
      <c r="F13" s="531"/>
      <c r="G13" s="284">
        <f ca="1">inputOth!E36</f>
        <v>0</v>
      </c>
    </row>
    <row r="14" spans="1:7">
      <c r="A14" s="314" t="s">
        <v>508</v>
      </c>
      <c r="B14" s="150"/>
      <c r="C14" s="530"/>
      <c r="D14" s="531"/>
      <c r="E14" s="530"/>
      <c r="F14" s="531"/>
      <c r="G14" s="284">
        <f ca="1">mvalloc!K11</f>
        <v>0</v>
      </c>
    </row>
    <row r="15" spans="1:7">
      <c r="A15" s="314"/>
      <c r="B15" s="150"/>
      <c r="C15" s="530"/>
      <c r="D15" s="531"/>
      <c r="E15" s="530"/>
      <c r="F15" s="531"/>
      <c r="G15" s="315"/>
    </row>
    <row r="16" spans="1:7">
      <c r="A16" s="149" t="s">
        <v>355</v>
      </c>
      <c r="B16" s="150"/>
      <c r="C16" s="530">
        <v>7</v>
      </c>
      <c r="D16" s="531"/>
      <c r="E16" s="530">
        <v>200</v>
      </c>
      <c r="F16" s="531"/>
      <c r="G16" s="284">
        <f ca="1">inputOth!E12</f>
        <v>100</v>
      </c>
    </row>
    <row r="17" spans="1:7">
      <c r="A17" s="316" t="s">
        <v>331</v>
      </c>
      <c r="B17" s="317"/>
      <c r="C17" s="530">
        <v>1922</v>
      </c>
      <c r="D17" s="531"/>
      <c r="E17" s="530">
        <v>1691</v>
      </c>
      <c r="F17" s="531"/>
      <c r="G17" s="279">
        <v>1674</v>
      </c>
    </row>
    <row r="18" spans="1:7">
      <c r="A18" s="316"/>
      <c r="B18" s="317"/>
      <c r="C18" s="530"/>
      <c r="D18" s="531"/>
      <c r="E18" s="530"/>
      <c r="F18" s="531"/>
      <c r="G18" s="279"/>
    </row>
    <row r="19" spans="1:7">
      <c r="A19" s="318" t="s">
        <v>333</v>
      </c>
      <c r="B19" s="317"/>
      <c r="C19" s="530">
        <v>25</v>
      </c>
      <c r="D19" s="531"/>
      <c r="E19" s="530"/>
      <c r="F19" s="531"/>
      <c r="G19" s="279"/>
    </row>
    <row r="20" spans="1:7">
      <c r="A20" s="318"/>
      <c r="B20" s="317"/>
      <c r="C20" s="530"/>
      <c r="D20" s="531"/>
      <c r="E20" s="530"/>
      <c r="F20" s="531"/>
      <c r="G20" s="279"/>
    </row>
    <row r="21" spans="1:7">
      <c r="A21" s="318"/>
      <c r="B21" s="317"/>
      <c r="C21" s="530"/>
      <c r="D21" s="531"/>
      <c r="E21" s="530"/>
      <c r="F21" s="531"/>
      <c r="G21" s="279"/>
    </row>
    <row r="22" spans="1:7">
      <c r="A22" s="316"/>
      <c r="B22" s="317"/>
      <c r="C22" s="530"/>
      <c r="D22" s="531"/>
      <c r="E22" s="530"/>
      <c r="F22" s="531"/>
      <c r="G22" s="279"/>
    </row>
    <row r="23" spans="1:7">
      <c r="A23" s="318" t="s">
        <v>357</v>
      </c>
      <c r="B23" s="317"/>
      <c r="C23" s="530">
        <v>13</v>
      </c>
      <c r="D23" s="531"/>
      <c r="E23" s="530"/>
      <c r="F23" s="531"/>
      <c r="G23" s="279">
        <v>5</v>
      </c>
    </row>
    <row r="24" spans="1:7">
      <c r="A24" s="319" t="s">
        <v>574</v>
      </c>
      <c r="B24" s="320"/>
      <c r="C24" s="530"/>
      <c r="D24" s="531"/>
      <c r="E24" s="530"/>
      <c r="F24" s="531"/>
      <c r="G24" s="311"/>
    </row>
    <row r="25" spans="1:7">
      <c r="A25" s="319" t="s">
        <v>575</v>
      </c>
      <c r="B25" s="320"/>
      <c r="C25" s="536" t="str">
        <f>IF(C26*0.1&lt;C24,"Exceed 10% Rule","")</f>
        <v/>
      </c>
      <c r="D25" s="537"/>
      <c r="E25" s="536" t="str">
        <f>IF(E26*0.1&lt;E24,"Exceed 10% Rule","")</f>
        <v/>
      </c>
      <c r="F25" s="537"/>
      <c r="G25" s="321" t="str">
        <f>IF(G26*0.1+G56&lt;G24,"Exceed 10% Rule","")</f>
        <v/>
      </c>
    </row>
    <row r="26" spans="1:7">
      <c r="A26" s="322" t="s">
        <v>358</v>
      </c>
      <c r="B26" s="150"/>
      <c r="C26" s="561">
        <f>SUM(C8:C24)</f>
        <v>44144</v>
      </c>
      <c r="D26" s="562"/>
      <c r="E26" s="561">
        <f>SUM(E8:E24)</f>
        <v>49405</v>
      </c>
      <c r="F26" s="562"/>
      <c r="G26" s="324">
        <f>SUM(G8:G24)</f>
        <v>5511</v>
      </c>
    </row>
    <row r="27" spans="1:7">
      <c r="A27" s="325" t="s">
        <v>359</v>
      </c>
      <c r="B27" s="150"/>
      <c r="C27" s="561">
        <f>C26+C6</f>
        <v>51948</v>
      </c>
      <c r="D27" s="562"/>
      <c r="E27" s="561">
        <f>E26+E6</f>
        <v>63579</v>
      </c>
      <c r="F27" s="562"/>
      <c r="G27" s="324">
        <f>G26+G6</f>
        <v>12750</v>
      </c>
    </row>
    <row r="28" spans="1:7">
      <c r="A28" s="149" t="s">
        <v>360</v>
      </c>
      <c r="B28" s="150"/>
      <c r="C28" s="554"/>
      <c r="D28" s="555"/>
      <c r="E28" s="554"/>
      <c r="F28" s="555"/>
      <c r="G28" s="284"/>
    </row>
    <row r="29" spans="1:7">
      <c r="A29" s="316"/>
      <c r="B29" s="317"/>
      <c r="C29" s="530"/>
      <c r="D29" s="531"/>
      <c r="E29" s="530"/>
      <c r="F29" s="531"/>
      <c r="G29" s="279"/>
    </row>
    <row r="30" spans="1:7">
      <c r="A30" s="318" t="s">
        <v>445</v>
      </c>
      <c r="B30" s="317"/>
      <c r="C30" s="530">
        <v>1925</v>
      </c>
      <c r="D30" s="531"/>
      <c r="E30" s="530">
        <v>2400</v>
      </c>
      <c r="F30" s="531"/>
      <c r="G30" s="279">
        <v>2400</v>
      </c>
    </row>
    <row r="31" spans="1:7">
      <c r="A31" s="318" t="s">
        <v>470</v>
      </c>
      <c r="B31" s="317"/>
      <c r="C31" s="530">
        <v>4080</v>
      </c>
      <c r="D31" s="531"/>
      <c r="E31" s="530">
        <v>3800</v>
      </c>
      <c r="F31" s="531"/>
      <c r="G31" s="279">
        <v>3800</v>
      </c>
    </row>
    <row r="32" spans="1:7">
      <c r="A32" s="318" t="s">
        <v>446</v>
      </c>
      <c r="B32" s="317"/>
      <c r="C32" s="530">
        <v>380</v>
      </c>
      <c r="D32" s="531"/>
      <c r="E32" s="530">
        <v>1000</v>
      </c>
      <c r="F32" s="531"/>
      <c r="G32" s="279">
        <v>1000</v>
      </c>
    </row>
    <row r="33" spans="1:8">
      <c r="A33" s="318" t="s">
        <v>371</v>
      </c>
      <c r="B33" s="317"/>
      <c r="C33" s="530">
        <v>12575</v>
      </c>
      <c r="D33" s="531"/>
      <c r="E33" s="530">
        <v>18800</v>
      </c>
      <c r="F33" s="531"/>
      <c r="G33" s="279">
        <v>18800</v>
      </c>
    </row>
    <row r="34" spans="1:8">
      <c r="A34" s="316" t="s">
        <v>447</v>
      </c>
      <c r="B34" s="317"/>
      <c r="C34" s="530">
        <v>13932</v>
      </c>
      <c r="D34" s="531"/>
      <c r="E34" s="530">
        <v>16000</v>
      </c>
      <c r="F34" s="531"/>
      <c r="G34" s="279">
        <v>16000</v>
      </c>
    </row>
    <row r="35" spans="1:8">
      <c r="A35" s="316" t="s">
        <v>471</v>
      </c>
      <c r="B35" s="317"/>
      <c r="C35" s="530">
        <v>2540</v>
      </c>
      <c r="D35" s="531"/>
      <c r="E35" s="530">
        <v>1500</v>
      </c>
      <c r="F35" s="531"/>
      <c r="G35" s="279">
        <v>1500</v>
      </c>
    </row>
    <row r="36" spans="1:8">
      <c r="A36" s="318" t="s">
        <v>473</v>
      </c>
      <c r="B36" s="317"/>
      <c r="C36" s="530">
        <v>2342</v>
      </c>
      <c r="D36" s="531"/>
      <c r="E36" s="530">
        <v>4140</v>
      </c>
      <c r="F36" s="531"/>
      <c r="G36" s="279">
        <v>4140</v>
      </c>
    </row>
    <row r="37" spans="1:8">
      <c r="A37" s="318" t="s">
        <v>332</v>
      </c>
      <c r="B37" s="317"/>
      <c r="C37" s="530"/>
      <c r="D37" s="531"/>
      <c r="E37" s="530">
        <v>8700</v>
      </c>
      <c r="F37" s="531"/>
      <c r="G37" s="279">
        <v>9450</v>
      </c>
    </row>
    <row r="38" spans="1:8">
      <c r="A38" s="316"/>
      <c r="B38" s="317"/>
      <c r="C38" s="530"/>
      <c r="D38" s="531"/>
      <c r="E38" s="530"/>
      <c r="F38" s="531"/>
      <c r="G38" s="279" t="s">
        <v>646</v>
      </c>
    </row>
    <row r="39" spans="1:8">
      <c r="A39" s="318"/>
      <c r="B39" s="317"/>
      <c r="C39" s="530"/>
      <c r="D39" s="531"/>
      <c r="E39" s="530"/>
      <c r="F39" s="531"/>
      <c r="G39" s="279"/>
    </row>
    <row r="40" spans="1:8">
      <c r="A40" s="318"/>
      <c r="B40" s="317"/>
      <c r="C40" s="530"/>
      <c r="D40" s="531"/>
      <c r="E40" s="530"/>
      <c r="F40" s="531"/>
      <c r="G40" s="279"/>
    </row>
    <row r="41" spans="1:8">
      <c r="A41" s="316"/>
      <c r="B41" s="317"/>
      <c r="C41" s="530"/>
      <c r="D41" s="531"/>
      <c r="E41" s="530"/>
      <c r="F41" s="531"/>
      <c r="G41" s="279"/>
    </row>
    <row r="42" spans="1:8">
      <c r="A42" s="318"/>
      <c r="B42" s="317"/>
      <c r="C42" s="530"/>
      <c r="D42" s="531"/>
      <c r="E42" s="530"/>
      <c r="F42" s="531"/>
      <c r="G42" s="279"/>
    </row>
    <row r="43" spans="1:8">
      <c r="A43" s="314" t="s">
        <v>636</v>
      </c>
      <c r="B43" s="326"/>
      <c r="C43" s="530"/>
      <c r="D43" s="563"/>
      <c r="E43" s="530"/>
      <c r="F43" s="531"/>
      <c r="G43" s="279"/>
    </row>
    <row r="44" spans="1:8">
      <c r="A44" s="314" t="s">
        <v>632</v>
      </c>
      <c r="B44" s="326"/>
      <c r="C44" s="532" t="str">
        <f>IF(AND($C$43&gt;0,$C$8&gt;0),"Not Authorized","")</f>
        <v/>
      </c>
      <c r="D44" s="533"/>
      <c r="E44" s="532" t="str">
        <f>IF(AND($E$43&gt;0,$E$8&gt;0),"Not Authorized","")</f>
        <v/>
      </c>
      <c r="F44" s="547"/>
      <c r="G44" s="327" t="str">
        <f ca="1">IF(AND(cert!E20&gt;0,$G$43&gt;0),"Not Authorized","")</f>
        <v/>
      </c>
    </row>
    <row r="45" spans="1:8">
      <c r="A45" s="149" t="s">
        <v>637</v>
      </c>
      <c r="B45" s="326"/>
      <c r="C45" s="530"/>
      <c r="D45" s="531"/>
      <c r="E45" s="530"/>
      <c r="F45" s="531"/>
      <c r="G45" s="279"/>
    </row>
    <row r="46" spans="1:8">
      <c r="A46" s="149" t="s">
        <v>615</v>
      </c>
      <c r="B46" s="326"/>
      <c r="C46" s="536" t="str">
        <f>IF(C27*0.25&lt;C45,"Exceeds 25%","")</f>
        <v/>
      </c>
      <c r="D46" s="548" t="str">
        <f>IF(E28*0.25&lt;E46,"Exceeds 25%","")</f>
        <v>Exceeds 25%</v>
      </c>
      <c r="E46" s="536" t="str">
        <f>IF(E27*0.25&lt;E45,"Exceeds 25%","")</f>
        <v/>
      </c>
      <c r="F46" s="549" t="str">
        <f>IF(G28*0.25&lt;G46,"Exceeds 25%","")</f>
        <v>Exceeds 25%</v>
      </c>
      <c r="G46" s="328" t="str">
        <f>IF(G27*0.25+G56&lt;G45,"Exceeds 25%","")</f>
        <v/>
      </c>
      <c r="H46" s="239" t="str">
        <f>IF(I28*0.25&lt;I46,"Exceeds 25%","")</f>
        <v/>
      </c>
    </row>
    <row r="47" spans="1:8">
      <c r="A47" s="314" t="s">
        <v>577</v>
      </c>
      <c r="B47" s="320"/>
      <c r="C47" s="530"/>
      <c r="D47" s="531"/>
      <c r="E47" s="530"/>
      <c r="F47" s="531"/>
      <c r="G47" s="329" t="str">
        <f ca="1">nhood!E6</f>
        <v/>
      </c>
    </row>
    <row r="48" spans="1:8">
      <c r="A48" s="314" t="s">
        <v>574</v>
      </c>
      <c r="B48" s="320"/>
      <c r="C48" s="530"/>
      <c r="D48" s="531"/>
      <c r="E48" s="530"/>
      <c r="F48" s="531"/>
      <c r="G48" s="311"/>
    </row>
    <row r="49" spans="1:8">
      <c r="A49" s="314" t="s">
        <v>576</v>
      </c>
      <c r="B49" s="320"/>
      <c r="C49" s="536" t="str">
        <f>IF(C50*0.1&lt;C48,"Exceed 10% Rule","")</f>
        <v/>
      </c>
      <c r="D49" s="537"/>
      <c r="E49" s="536" t="str">
        <f>IF(E50*0.1&lt;E48,"Exceed 10% Rule","")</f>
        <v/>
      </c>
      <c r="F49" s="537"/>
      <c r="G49" s="321" t="str">
        <f>IF(G50*0.1&lt;G48,"Exceed 10% Rule","")</f>
        <v/>
      </c>
    </row>
    <row r="50" spans="1:8">
      <c r="A50" s="325" t="s">
        <v>361</v>
      </c>
      <c r="B50" s="150"/>
      <c r="C50" s="543">
        <f>SUM(C29:C48)</f>
        <v>37774</v>
      </c>
      <c r="D50" s="544"/>
      <c r="E50" s="543">
        <f>SUM(E29:E48)</f>
        <v>56340</v>
      </c>
      <c r="F50" s="544"/>
      <c r="G50" s="330">
        <f>SUM(G29:G43,G45,G47:G48)</f>
        <v>57090</v>
      </c>
    </row>
    <row r="51" spans="1:8">
      <c r="A51" s="149" t="s">
        <v>463</v>
      </c>
      <c r="B51" s="150"/>
      <c r="C51" s="545">
        <f>C27-C50</f>
        <v>14174</v>
      </c>
      <c r="D51" s="546"/>
      <c r="E51" s="545">
        <f>SUM(E27-E50)</f>
        <v>7239</v>
      </c>
      <c r="F51" s="546"/>
      <c r="G51" s="313" t="s">
        <v>658</v>
      </c>
    </row>
    <row r="52" spans="1:8">
      <c r="A52" s="191" t="str">
        <f>CONCATENATE("",G1-2,"/",G1-1," Budget Authority Amount:")</f>
        <v>2011/2012 Budget Authority Amount:</v>
      </c>
      <c r="B52" s="332">
        <f ca="1">inputOth!B48</f>
        <v>43290</v>
      </c>
      <c r="C52" s="136">
        <f ca="1">inputPrYr!D16</f>
        <v>57090</v>
      </c>
      <c r="D52" s="538" t="s">
        <v>610</v>
      </c>
      <c r="E52" s="539"/>
      <c r="F52" s="540"/>
      <c r="G52" s="279"/>
      <c r="H52" s="333" t="str">
        <f>IF(G50/0.95-G50&lt;G52,"Exceeds 5%","")</f>
        <v/>
      </c>
    </row>
    <row r="53" spans="1:8">
      <c r="A53" s="191"/>
      <c r="B53" s="334" t="str">
        <f>IF(C50&gt;B52,"See Tab A","")</f>
        <v/>
      </c>
      <c r="C53" s="334" t="str">
        <f>IF(E50&gt;C52,"See Tab C","")</f>
        <v/>
      </c>
      <c r="D53" s="133"/>
      <c r="E53" s="541" t="s">
        <v>611</v>
      </c>
      <c r="F53" s="542"/>
      <c r="G53" s="284">
        <f>G50+G52</f>
        <v>57090</v>
      </c>
    </row>
    <row r="54" spans="1:8">
      <c r="A54" s="191"/>
      <c r="B54" s="334" t="str">
        <f>IF(C51&lt;0,"See Tab B","")</f>
        <v/>
      </c>
      <c r="C54" s="442" t="str">
        <f>IF(E51&lt;0,"See Tab D","")</f>
        <v/>
      </c>
      <c r="D54" s="133"/>
      <c r="E54" s="541" t="s">
        <v>363</v>
      </c>
      <c r="F54" s="542"/>
      <c r="G54" s="329">
        <f>IF(G53-G27&gt;0,G53-G27,0)</f>
        <v>44340</v>
      </c>
    </row>
    <row r="55" spans="1:8">
      <c r="A55" s="209"/>
      <c r="B55" s="209"/>
      <c r="C55" s="209"/>
      <c r="D55" s="534" t="s">
        <v>612</v>
      </c>
      <c r="E55" s="535"/>
      <c r="F55" s="335">
        <f ca="1">inputOth!$E$42</f>
        <v>0</v>
      </c>
      <c r="G55" s="284">
        <f>ROUND(IF(F55&gt;0,(G54*F55),0),0)</f>
        <v>0</v>
      </c>
    </row>
    <row r="56" spans="1:8">
      <c r="A56" s="133"/>
      <c r="B56" s="133"/>
      <c r="C56" s="558" t="str">
        <f>CONCATENATE("Amount of  ",$G$1-1," Ad Valorem Tax")</f>
        <v>Amount of  2012 Ad Valorem Tax</v>
      </c>
      <c r="D56" s="559"/>
      <c r="E56" s="559"/>
      <c r="F56" s="560"/>
      <c r="G56" s="329">
        <f>G54+G55</f>
        <v>44340</v>
      </c>
    </row>
    <row r="57" spans="1:8">
      <c r="A57" s="133"/>
      <c r="B57" s="133"/>
      <c r="C57" s="133"/>
      <c r="D57" s="133"/>
      <c r="E57" s="133"/>
      <c r="F57" s="133"/>
      <c r="G57" s="133"/>
    </row>
    <row r="58" spans="1:8" s="336" customFormat="1">
      <c r="A58" s="140"/>
      <c r="B58" s="140"/>
      <c r="C58" s="140"/>
      <c r="D58" s="140"/>
      <c r="E58" s="202"/>
      <c r="F58" s="202"/>
      <c r="G58" s="140"/>
    </row>
    <row r="59" spans="1:8" s="337" customFormat="1">
      <c r="A59" s="133"/>
      <c r="B59" s="133"/>
      <c r="C59" s="133"/>
      <c r="D59" s="133"/>
      <c r="E59" s="196"/>
      <c r="F59" s="196"/>
      <c r="G59" s="133"/>
    </row>
    <row r="60" spans="1:8">
      <c r="A60" s="209" t="s">
        <v>344</v>
      </c>
      <c r="B60" s="338"/>
      <c r="C60" s="133"/>
      <c r="D60" s="133"/>
      <c r="E60" s="133"/>
      <c r="F60" s="133"/>
      <c r="G60" s="196"/>
    </row>
    <row r="62" spans="1:8">
      <c r="A62" s="182"/>
    </row>
    <row r="65" spans="3:7">
      <c r="G65" s="339"/>
    </row>
    <row r="67" spans="3:7">
      <c r="G67" s="339"/>
    </row>
    <row r="69" spans="3:7">
      <c r="C69" s="340"/>
    </row>
    <row r="70" spans="3:7">
      <c r="C70" s="339"/>
      <c r="G70" s="339"/>
    </row>
  </sheetData>
  <mergeCells count="101">
    <mergeCell ref="C38:D38"/>
    <mergeCell ref="C39:D39"/>
    <mergeCell ref="C42:D42"/>
    <mergeCell ref="C43:D43"/>
    <mergeCell ref="E43:F43"/>
    <mergeCell ref="E41:F41"/>
    <mergeCell ref="C41:D41"/>
    <mergeCell ref="C40:D40"/>
    <mergeCell ref="C28:D28"/>
    <mergeCell ref="E35:F35"/>
    <mergeCell ref="E36:F36"/>
    <mergeCell ref="E37:F37"/>
    <mergeCell ref="C35:D35"/>
    <mergeCell ref="C36:D36"/>
    <mergeCell ref="C19:D19"/>
    <mergeCell ref="C15:D15"/>
    <mergeCell ref="E38:F38"/>
    <mergeCell ref="E39:F39"/>
    <mergeCell ref="E40:F40"/>
    <mergeCell ref="E42:F42"/>
    <mergeCell ref="C37:D37"/>
    <mergeCell ref="C32:D32"/>
    <mergeCell ref="C33:D33"/>
    <mergeCell ref="E33:F33"/>
    <mergeCell ref="C30:D30"/>
    <mergeCell ref="C31:D31"/>
    <mergeCell ref="C27:D27"/>
    <mergeCell ref="C9:D9"/>
    <mergeCell ref="C10:D10"/>
    <mergeCell ref="C11:D11"/>
    <mergeCell ref="C12:D12"/>
    <mergeCell ref="C16:D16"/>
    <mergeCell ref="C17:D17"/>
    <mergeCell ref="C18:D18"/>
    <mergeCell ref="C26:D26"/>
    <mergeCell ref="E21:F21"/>
    <mergeCell ref="E22:F22"/>
    <mergeCell ref="E34:F34"/>
    <mergeCell ref="C29:D29"/>
    <mergeCell ref="E29:F29"/>
    <mergeCell ref="E30:F30"/>
    <mergeCell ref="E31:F31"/>
    <mergeCell ref="E32:F32"/>
    <mergeCell ref="C34:D34"/>
    <mergeCell ref="C21:D21"/>
    <mergeCell ref="E19:F19"/>
    <mergeCell ref="E20:F20"/>
    <mergeCell ref="C56:F56"/>
    <mergeCell ref="C7:D7"/>
    <mergeCell ref="E26:F26"/>
    <mergeCell ref="E27:F27"/>
    <mergeCell ref="E28:F28"/>
    <mergeCell ref="E8:F8"/>
    <mergeCell ref="C25:D25"/>
    <mergeCell ref="C8:D8"/>
    <mergeCell ref="E23:F23"/>
    <mergeCell ref="E24:F24"/>
    <mergeCell ref="E25:F25"/>
    <mergeCell ref="C24:D24"/>
    <mergeCell ref="C23:D23"/>
    <mergeCell ref="E9:F9"/>
    <mergeCell ref="E16:F16"/>
    <mergeCell ref="C13:D13"/>
    <mergeCell ref="C14:D14"/>
    <mergeCell ref="C4:D4"/>
    <mergeCell ref="C5:D5"/>
    <mergeCell ref="E7:F7"/>
    <mergeCell ref="E6:F6"/>
    <mergeCell ref="E4:F4"/>
    <mergeCell ref="E5:F5"/>
    <mergeCell ref="C6:D6"/>
    <mergeCell ref="C22:D22"/>
    <mergeCell ref="E10:F10"/>
    <mergeCell ref="E11:F11"/>
    <mergeCell ref="E12:F12"/>
    <mergeCell ref="E13:F13"/>
    <mergeCell ref="E18:F18"/>
    <mergeCell ref="E14:F14"/>
    <mergeCell ref="E15:F15"/>
    <mergeCell ref="E17:F17"/>
    <mergeCell ref="C20:D20"/>
    <mergeCell ref="C50:D50"/>
    <mergeCell ref="C51:D51"/>
    <mergeCell ref="E47:F47"/>
    <mergeCell ref="E44:F44"/>
    <mergeCell ref="E54:F54"/>
    <mergeCell ref="E50:F50"/>
    <mergeCell ref="E51:F51"/>
    <mergeCell ref="E45:F45"/>
    <mergeCell ref="C46:D46"/>
    <mergeCell ref="E46:F46"/>
    <mergeCell ref="C45:D45"/>
    <mergeCell ref="C44:D44"/>
    <mergeCell ref="D55:E55"/>
    <mergeCell ref="C47:D47"/>
    <mergeCell ref="C48:D48"/>
    <mergeCell ref="C49:D49"/>
    <mergeCell ref="E48:F48"/>
    <mergeCell ref="E49:F49"/>
    <mergeCell ref="D52:F52"/>
    <mergeCell ref="E53:F53"/>
  </mergeCells>
  <phoneticPr fontId="0" type="noConversion"/>
  <conditionalFormatting sqref="G52">
    <cfRule type="cellIs" dxfId="164" priority="4" stopIfTrue="1" operator="greaterThan">
      <formula>$G$50/0.95-$G$50</formula>
    </cfRule>
  </conditionalFormatting>
  <conditionalFormatting sqref="C48:D48">
    <cfRule type="cellIs" dxfId="163" priority="5" stopIfTrue="1" operator="greaterThan">
      <formula>$C$50*0.1</formula>
    </cfRule>
  </conditionalFormatting>
  <conditionalFormatting sqref="E48:F48">
    <cfRule type="cellIs" dxfId="162" priority="6" stopIfTrue="1" operator="greaterThan">
      <formula>$E$50*0.1</formula>
    </cfRule>
  </conditionalFormatting>
  <conditionalFormatting sqref="G48">
    <cfRule type="cellIs" dxfId="161" priority="7" stopIfTrue="1" operator="greaterThan">
      <formula>$G$50*0.1</formula>
    </cfRule>
  </conditionalFormatting>
  <conditionalFormatting sqref="C51:D51">
    <cfRule type="cellIs" dxfId="160" priority="9" stopIfTrue="1" operator="lessThan">
      <formula>0</formula>
    </cfRule>
  </conditionalFormatting>
  <conditionalFormatting sqref="E50:F50">
    <cfRule type="cellIs" dxfId="159" priority="10" stopIfTrue="1" operator="greaterThan">
      <formula>$C$52</formula>
    </cfRule>
  </conditionalFormatting>
  <conditionalFormatting sqref="C45:D45">
    <cfRule type="cellIs" dxfId="158" priority="11" stopIfTrue="1" operator="greaterThan">
      <formula>$C$27*0.25</formula>
    </cfRule>
  </conditionalFormatting>
  <conditionalFormatting sqref="C24:D24">
    <cfRule type="cellIs" dxfId="157" priority="12" stopIfTrue="1" operator="greaterThan">
      <formula>$C$26*0.1</formula>
    </cfRule>
  </conditionalFormatting>
  <conditionalFormatting sqref="E24:F24">
    <cfRule type="cellIs" dxfId="156" priority="13" stopIfTrue="1" operator="greaterThan">
      <formula>$E$26*0.1</formula>
    </cfRule>
  </conditionalFormatting>
  <conditionalFormatting sqref="G24">
    <cfRule type="cellIs" dxfId="155" priority="14" stopIfTrue="1" operator="greaterThan">
      <formula>$G$26*0.1+$G$56</formula>
    </cfRule>
  </conditionalFormatting>
  <conditionalFormatting sqref="C42:D42">
    <cfRule type="expression" dxfId="154" priority="15" stopIfTrue="1">
      <formula>"Mike"</formula>
    </cfRule>
  </conditionalFormatting>
  <conditionalFormatting sqref="E45:F45">
    <cfRule type="cellIs" dxfId="153" priority="16" stopIfTrue="1" operator="greaterThan">
      <formula>$E$27*0.25</formula>
    </cfRule>
  </conditionalFormatting>
  <conditionalFormatting sqref="G45">
    <cfRule type="cellIs" dxfId="152" priority="17" stopIfTrue="1" operator="greaterThan">
      <formula>$G$27*0.25+$G$56</formula>
    </cfRule>
  </conditionalFormatting>
  <conditionalFormatting sqref="C43:D43">
    <cfRule type="expression" dxfId="151" priority="18" stopIfTrue="1">
      <formula>$C$8&gt;0</formula>
    </cfRule>
  </conditionalFormatting>
  <conditionalFormatting sqref="G43">
    <cfRule type="expression" dxfId="150" priority="19" stopIfTrue="1">
      <formula>$G$56&gt;0</formula>
    </cfRule>
  </conditionalFormatting>
  <conditionalFormatting sqref="E43:F43">
    <cfRule type="expression" dxfId="149" priority="20" stopIfTrue="1">
      <formula>$E$8&gt;0</formula>
    </cfRule>
  </conditionalFormatting>
  <conditionalFormatting sqref="C50:D50">
    <cfRule type="cellIs" dxfId="148" priority="2" stopIfTrue="1" operator="greaterThan">
      <formula>$B$52</formula>
    </cfRule>
  </conditionalFormatting>
  <conditionalFormatting sqref="E51:F51">
    <cfRule type="cellIs" dxfId="147" priority="1" stopIfTrue="1" operator="lessThan">
      <formula>0</formula>
    </cfRule>
  </conditionalFormatting>
  <pageMargins left="0.9" right="0.9" top="0.96" bottom="0.5" header="0.41" footer="0.3"/>
  <pageSetup scale="80" orientation="portrait" blackAndWhite="1" horizontalDpi="4294967292" verticalDpi="96" r:id="rId1"/>
  <headerFooter alignWithMargins="0">
    <oddHeader xml:space="preserve">&amp;RState of Kansas
Township
</oddHeader>
    <oddFooter>&amp;Lrevised 8/25/09</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H87"/>
  <sheetViews>
    <sheetView topLeftCell="A28" zoomScaleNormal="100" workbookViewId="0">
      <selection activeCell="E38" sqref="E38:F38"/>
    </sheetView>
  </sheetViews>
  <sheetFormatPr defaultRowHeight="15.75"/>
  <cols>
    <col min="1" max="1" width="27.5" style="239" customWidth="1"/>
    <col min="2" max="2" width="9.5" style="239" customWidth="1"/>
    <col min="3" max="3" width="10.3984375" style="239" customWidth="1"/>
    <col min="4" max="4" width="5.69921875" style="239" customWidth="1"/>
    <col min="5" max="5" width="9.59765625" style="239" customWidth="1"/>
    <col min="6" max="6" width="6.59765625" style="239" customWidth="1"/>
    <col min="7" max="7" width="13.69921875" style="239" customWidth="1"/>
    <col min="8" max="16384" width="8.796875" style="239"/>
  </cols>
  <sheetData>
    <row r="1" spans="1:7">
      <c r="A1" s="193" t="str">
        <f ca="1">inputPrYr!D2</f>
        <v>Winterset Township</v>
      </c>
      <c r="B1" s="133"/>
      <c r="C1" s="133"/>
      <c r="D1" s="133"/>
      <c r="E1" s="133"/>
      <c r="F1" s="133"/>
      <c r="G1" s="208">
        <f ca="1">inputPrYr!D5</f>
        <v>2013</v>
      </c>
    </row>
    <row r="2" spans="1:7">
      <c r="A2" s="200" t="s">
        <v>412</v>
      </c>
      <c r="B2" s="133"/>
      <c r="C2" s="133"/>
      <c r="D2" s="133"/>
      <c r="E2" s="230"/>
      <c r="F2" s="230"/>
      <c r="G2" s="135"/>
    </row>
    <row r="3" spans="1:7">
      <c r="A3" s="141" t="s">
        <v>345</v>
      </c>
      <c r="B3" s="342"/>
      <c r="C3" s="139"/>
      <c r="D3" s="139"/>
      <c r="E3" s="139"/>
      <c r="F3" s="139"/>
      <c r="G3" s="139"/>
    </row>
    <row r="4" spans="1:7">
      <c r="A4" s="133"/>
      <c r="B4" s="140"/>
      <c r="C4" s="550" t="s">
        <v>346</v>
      </c>
      <c r="D4" s="551"/>
      <c r="E4" s="556" t="s">
        <v>347</v>
      </c>
      <c r="F4" s="557"/>
      <c r="G4" s="143" t="s">
        <v>348</v>
      </c>
    </row>
    <row r="5" spans="1:7">
      <c r="A5" s="232" t="str">
        <f ca="1">inputPrYr!B18</f>
        <v>Road</v>
      </c>
      <c r="B5" s="309"/>
      <c r="C5" s="552" t="str">
        <f ca="1">gen!C5</f>
        <v>Actual 2011</v>
      </c>
      <c r="D5" s="553"/>
      <c r="E5" s="552" t="str">
        <f ca="1">gen!E5</f>
        <v>Estimate 2012</v>
      </c>
      <c r="F5" s="553"/>
      <c r="G5" s="148" t="str">
        <f ca="1">gen!G5</f>
        <v>Year 2013</v>
      </c>
    </row>
    <row r="6" spans="1:7">
      <c r="A6" s="149" t="s">
        <v>462</v>
      </c>
      <c r="B6" s="150"/>
      <c r="C6" s="530"/>
      <c r="D6" s="531"/>
      <c r="E6" s="554">
        <f>C44</f>
        <v>0</v>
      </c>
      <c r="F6" s="555"/>
      <c r="G6" s="284">
        <f>E44</f>
        <v>0</v>
      </c>
    </row>
    <row r="7" spans="1:7">
      <c r="A7" s="149" t="s">
        <v>464</v>
      </c>
      <c r="B7" s="150"/>
      <c r="C7" s="554"/>
      <c r="D7" s="555"/>
      <c r="E7" s="554"/>
      <c r="F7" s="555"/>
      <c r="G7" s="313"/>
    </row>
    <row r="8" spans="1:7">
      <c r="A8" s="149" t="s">
        <v>351</v>
      </c>
      <c r="B8" s="150"/>
      <c r="C8" s="530"/>
      <c r="D8" s="531"/>
      <c r="E8" s="554">
        <f ca="1">inputPrYr!E18</f>
        <v>0</v>
      </c>
      <c r="F8" s="555"/>
      <c r="G8" s="313" t="s">
        <v>658</v>
      </c>
    </row>
    <row r="9" spans="1:7">
      <c r="A9" s="149" t="s">
        <v>352</v>
      </c>
      <c r="B9" s="150"/>
      <c r="C9" s="530"/>
      <c r="D9" s="531"/>
      <c r="E9" s="530"/>
      <c r="F9" s="531"/>
      <c r="G9" s="279"/>
    </row>
    <row r="10" spans="1:7">
      <c r="A10" s="149" t="s">
        <v>353</v>
      </c>
      <c r="B10" s="150"/>
      <c r="C10" s="530"/>
      <c r="D10" s="531"/>
      <c r="E10" s="530"/>
      <c r="F10" s="531"/>
      <c r="G10" s="284">
        <f ca="1">mvalloc!G13</f>
        <v>0</v>
      </c>
    </row>
    <row r="11" spans="1:7">
      <c r="A11" s="149" t="s">
        <v>354</v>
      </c>
      <c r="B11" s="150"/>
      <c r="C11" s="530"/>
      <c r="D11" s="531"/>
      <c r="E11" s="530"/>
      <c r="F11" s="531"/>
      <c r="G11" s="284">
        <f ca="1">mvalloc!I13</f>
        <v>0</v>
      </c>
    </row>
    <row r="12" spans="1:7">
      <c r="A12" s="149" t="s">
        <v>443</v>
      </c>
      <c r="B12" s="150"/>
      <c r="C12" s="530"/>
      <c r="D12" s="531"/>
      <c r="E12" s="530"/>
      <c r="F12" s="531"/>
      <c r="G12" s="284">
        <f ca="1">mvalloc!J13</f>
        <v>0</v>
      </c>
    </row>
    <row r="13" spans="1:7">
      <c r="A13" s="149" t="s">
        <v>508</v>
      </c>
      <c r="B13" s="150"/>
      <c r="C13" s="530"/>
      <c r="D13" s="531"/>
      <c r="E13" s="530"/>
      <c r="F13" s="531"/>
      <c r="G13" s="284">
        <f ca="1">mvalloc!K13</f>
        <v>0</v>
      </c>
    </row>
    <row r="14" spans="1:7">
      <c r="A14" s="149" t="s">
        <v>444</v>
      </c>
      <c r="B14" s="150"/>
      <c r="C14" s="530"/>
      <c r="D14" s="531"/>
      <c r="E14" s="530"/>
      <c r="F14" s="531"/>
      <c r="G14" s="284">
        <f ca="1">inputOth!E38</f>
        <v>0</v>
      </c>
    </row>
    <row r="15" spans="1:7">
      <c r="A15" s="318"/>
      <c r="B15" s="317"/>
      <c r="C15" s="530"/>
      <c r="D15" s="531"/>
      <c r="E15" s="530"/>
      <c r="F15" s="531"/>
      <c r="G15" s="279"/>
    </row>
    <row r="16" spans="1:7">
      <c r="A16" s="318"/>
      <c r="B16" s="317"/>
      <c r="C16" s="530"/>
      <c r="D16" s="531"/>
      <c r="E16" s="530"/>
      <c r="F16" s="531"/>
      <c r="G16" s="279"/>
    </row>
    <row r="17" spans="1:7">
      <c r="A17" s="318"/>
      <c r="B17" s="317"/>
      <c r="C17" s="530"/>
      <c r="D17" s="531"/>
      <c r="E17" s="530"/>
      <c r="F17" s="531"/>
      <c r="G17" s="279"/>
    </row>
    <row r="18" spans="1:7">
      <c r="A18" s="318"/>
      <c r="B18" s="317"/>
      <c r="C18" s="530"/>
      <c r="D18" s="531"/>
      <c r="E18" s="530"/>
      <c r="F18" s="531"/>
      <c r="G18" s="279"/>
    </row>
    <row r="19" spans="1:7">
      <c r="A19" s="318"/>
      <c r="B19" s="317"/>
      <c r="C19" s="530"/>
      <c r="D19" s="531"/>
      <c r="E19" s="530"/>
      <c r="F19" s="531"/>
      <c r="G19" s="279"/>
    </row>
    <row r="20" spans="1:7">
      <c r="A20" s="318" t="s">
        <v>357</v>
      </c>
      <c r="B20" s="317"/>
      <c r="C20" s="530"/>
      <c r="D20" s="531"/>
      <c r="E20" s="530"/>
      <c r="F20" s="531"/>
      <c r="G20" s="279"/>
    </row>
    <row r="21" spans="1:7">
      <c r="A21" s="319" t="s">
        <v>574</v>
      </c>
      <c r="B21" s="320"/>
      <c r="C21" s="530"/>
      <c r="D21" s="531"/>
      <c r="E21" s="530"/>
      <c r="F21" s="531"/>
      <c r="G21" s="311"/>
    </row>
    <row r="22" spans="1:7">
      <c r="A22" s="319" t="s">
        <v>575</v>
      </c>
      <c r="B22" s="320"/>
      <c r="C22" s="536" t="str">
        <f>IF(C23*0.1&lt;C21,"Exceed 10% Rule","")</f>
        <v/>
      </c>
      <c r="D22" s="537"/>
      <c r="E22" s="536" t="str">
        <f>IF(E23*0.1&lt;E21,"Exceed 10% Rule","")</f>
        <v/>
      </c>
      <c r="F22" s="537"/>
      <c r="G22" s="321" t="str">
        <f>IF(G23*0.1+G49&lt;G21,"Exceed 10% Rule","")</f>
        <v/>
      </c>
    </row>
    <row r="23" spans="1:7">
      <c r="A23" s="322" t="s">
        <v>358</v>
      </c>
      <c r="B23" s="150"/>
      <c r="C23" s="561">
        <f>SUM(C8:C21)</f>
        <v>0</v>
      </c>
      <c r="D23" s="562"/>
      <c r="E23" s="561">
        <f>SUM(E8:E21)</f>
        <v>0</v>
      </c>
      <c r="F23" s="562"/>
      <c r="G23" s="324">
        <f>SUM(G8:G21)</f>
        <v>0</v>
      </c>
    </row>
    <row r="24" spans="1:7">
      <c r="A24" s="325" t="s">
        <v>359</v>
      </c>
      <c r="B24" s="150"/>
      <c r="C24" s="561">
        <f>C23+C6</f>
        <v>0</v>
      </c>
      <c r="D24" s="562"/>
      <c r="E24" s="561">
        <f>E23+E6</f>
        <v>0</v>
      </c>
      <c r="F24" s="562"/>
      <c r="G24" s="324">
        <f>G23+G6</f>
        <v>0</v>
      </c>
    </row>
    <row r="25" spans="1:7">
      <c r="A25" s="149" t="s">
        <v>360</v>
      </c>
      <c r="B25" s="150"/>
      <c r="C25" s="554"/>
      <c r="D25" s="555"/>
      <c r="E25" s="554"/>
      <c r="F25" s="555"/>
      <c r="G25" s="284"/>
    </row>
    <row r="26" spans="1:7">
      <c r="A26" s="318"/>
      <c r="B26" s="317"/>
      <c r="C26" s="530"/>
      <c r="D26" s="531"/>
      <c r="E26" s="530"/>
      <c r="F26" s="531"/>
      <c r="G26" s="279"/>
    </row>
    <row r="27" spans="1:7">
      <c r="A27" s="318" t="s">
        <v>445</v>
      </c>
      <c r="B27" s="317"/>
      <c r="C27" s="530"/>
      <c r="D27" s="531"/>
      <c r="E27" s="530"/>
      <c r="F27" s="531"/>
      <c r="G27" s="279"/>
    </row>
    <row r="28" spans="1:7">
      <c r="A28" s="318" t="s">
        <v>470</v>
      </c>
      <c r="B28" s="317"/>
      <c r="C28" s="530"/>
      <c r="D28" s="531"/>
      <c r="E28" s="530"/>
      <c r="F28" s="531"/>
      <c r="G28" s="279"/>
    </row>
    <row r="29" spans="1:7">
      <c r="A29" s="316" t="s">
        <v>446</v>
      </c>
      <c r="B29" s="317"/>
      <c r="C29" s="530"/>
      <c r="D29" s="531"/>
      <c r="E29" s="530"/>
      <c r="F29" s="531"/>
      <c r="G29" s="279"/>
    </row>
    <row r="30" spans="1:7">
      <c r="A30" s="318" t="s">
        <v>472</v>
      </c>
      <c r="B30" s="317"/>
      <c r="C30" s="530"/>
      <c r="D30" s="531"/>
      <c r="E30" s="530"/>
      <c r="F30" s="531"/>
      <c r="G30" s="279"/>
    </row>
    <row r="31" spans="1:7">
      <c r="A31" s="318" t="s">
        <v>449</v>
      </c>
      <c r="B31" s="317"/>
      <c r="C31" s="530"/>
      <c r="D31" s="531"/>
      <c r="E31" s="530"/>
      <c r="F31" s="531"/>
      <c r="G31" s="279"/>
    </row>
    <row r="32" spans="1:7">
      <c r="A32" s="318" t="s">
        <v>447</v>
      </c>
      <c r="B32" s="317"/>
      <c r="C32" s="530"/>
      <c r="D32" s="531"/>
      <c r="E32" s="530"/>
      <c r="F32" s="531"/>
      <c r="G32" s="279"/>
    </row>
    <row r="33" spans="1:8">
      <c r="A33" s="318"/>
      <c r="B33" s="317"/>
      <c r="C33" s="530"/>
      <c r="D33" s="531"/>
      <c r="E33" s="530"/>
      <c r="F33" s="531"/>
      <c r="G33" s="279"/>
    </row>
    <row r="34" spans="1:8">
      <c r="A34" s="316"/>
      <c r="B34" s="317"/>
      <c r="C34" s="530"/>
      <c r="D34" s="531"/>
      <c r="E34" s="530"/>
      <c r="F34" s="531"/>
      <c r="G34" s="279"/>
    </row>
    <row r="35" spans="1:8">
      <c r="A35" s="316"/>
      <c r="B35" s="317"/>
      <c r="C35" s="530"/>
      <c r="D35" s="531"/>
      <c r="E35" s="530"/>
      <c r="F35" s="531"/>
      <c r="G35" s="279"/>
    </row>
    <row r="36" spans="1:8">
      <c r="A36" s="318"/>
      <c r="B36" s="317"/>
      <c r="C36" s="530"/>
      <c r="D36" s="531"/>
      <c r="E36" s="530"/>
      <c r="F36" s="531"/>
      <c r="G36" s="279"/>
    </row>
    <row r="37" spans="1:8">
      <c r="A37" s="318"/>
      <c r="B37" s="317"/>
      <c r="C37" s="530"/>
      <c r="D37" s="531"/>
      <c r="E37" s="530"/>
      <c r="F37" s="531"/>
      <c r="G37" s="279"/>
    </row>
    <row r="38" spans="1:8">
      <c r="A38" s="149" t="s">
        <v>448</v>
      </c>
      <c r="B38" s="150"/>
      <c r="C38" s="530"/>
      <c r="D38" s="531"/>
      <c r="E38" s="530"/>
      <c r="F38" s="531"/>
      <c r="G38" s="279"/>
    </row>
    <row r="39" spans="1:8">
      <c r="A39" s="149" t="s">
        <v>633</v>
      </c>
      <c r="B39" s="150"/>
      <c r="C39" s="567" t="str">
        <f>IF(C24*0.25&lt;C38,"Not Authorized","")</f>
        <v/>
      </c>
      <c r="D39" s="568"/>
      <c r="E39" s="567" t="str">
        <f>IF(E24*0.25&lt;E38,"Not Authorized","")</f>
        <v/>
      </c>
      <c r="F39" s="568"/>
      <c r="G39" s="356" t="str">
        <f>IF(G24*0.25+G49&lt;G38,"Not Authorized","")</f>
        <v/>
      </c>
    </row>
    <row r="40" spans="1:8">
      <c r="A40" s="314" t="s">
        <v>577</v>
      </c>
      <c r="B40" s="320"/>
      <c r="C40" s="530"/>
      <c r="D40" s="531"/>
      <c r="E40" s="530"/>
      <c r="F40" s="531"/>
      <c r="G40" s="329" t="str">
        <f ca="1">nhood!E8</f>
        <v/>
      </c>
    </row>
    <row r="41" spans="1:8">
      <c r="A41" s="314" t="s">
        <v>574</v>
      </c>
      <c r="B41" s="320"/>
      <c r="C41" s="530"/>
      <c r="D41" s="531"/>
      <c r="E41" s="530"/>
      <c r="F41" s="531"/>
      <c r="G41" s="311"/>
    </row>
    <row r="42" spans="1:8">
      <c r="A42" s="314" t="s">
        <v>576</v>
      </c>
      <c r="B42" s="320"/>
      <c r="C42" s="536" t="str">
        <f>IF(C43*0.1&lt;C41,"Exceed 10% Rule","")</f>
        <v/>
      </c>
      <c r="D42" s="537"/>
      <c r="E42" s="536" t="str">
        <f>IF(E43*0.1&lt;E41,"Exceed 10% Rule","")</f>
        <v/>
      </c>
      <c r="F42" s="537"/>
      <c r="G42" s="321" t="str">
        <f>IF(G43*0.1&lt;G41,"Exceed 10% Rule","")</f>
        <v/>
      </c>
    </row>
    <row r="43" spans="1:8">
      <c r="A43" s="325" t="s">
        <v>361</v>
      </c>
      <c r="B43" s="150"/>
      <c r="C43" s="561">
        <f>SUM(C26:D38,C40:D41)</f>
        <v>0</v>
      </c>
      <c r="D43" s="562"/>
      <c r="E43" s="561">
        <f>SUM(E26:F38,E40:F41)</f>
        <v>0</v>
      </c>
      <c r="F43" s="562"/>
      <c r="G43" s="324">
        <f>SUM(G26:G38,G40:G41)</f>
        <v>0</v>
      </c>
    </row>
    <row r="44" spans="1:8">
      <c r="A44" s="149" t="s">
        <v>463</v>
      </c>
      <c r="B44" s="150"/>
      <c r="C44" s="545">
        <f>C24-C43</f>
        <v>0</v>
      </c>
      <c r="D44" s="546"/>
      <c r="E44" s="545">
        <f>E24-E43</f>
        <v>0</v>
      </c>
      <c r="F44" s="546"/>
      <c r="G44" s="313" t="s">
        <v>658</v>
      </c>
    </row>
    <row r="45" spans="1:8">
      <c r="A45" s="191" t="str">
        <f>CONCATENATE("",G1-2,"/",G1-1," Budget Authority Amount:")</f>
        <v>2011/2012 Budget Authority Amount:</v>
      </c>
      <c r="B45" s="332">
        <f ca="1">inputOth!B50</f>
        <v>0</v>
      </c>
      <c r="C45" s="136">
        <f ca="1">inputPrYr!D18</f>
        <v>0</v>
      </c>
      <c r="D45" s="538" t="s">
        <v>610</v>
      </c>
      <c r="E45" s="539"/>
      <c r="F45" s="540"/>
      <c r="G45" s="279"/>
      <c r="H45" s="333" t="str">
        <f>IF(G43/0.95-G43&lt;G45,"Exceeds 5%","")</f>
        <v/>
      </c>
    </row>
    <row r="46" spans="1:8">
      <c r="A46" s="191"/>
      <c r="B46" s="334" t="str">
        <f>IF(C43&gt;B45,"See Tab A","")</f>
        <v/>
      </c>
      <c r="C46" s="334" t="str">
        <f>IF(E43&gt;C45,"See Tab C","")</f>
        <v/>
      </c>
      <c r="D46" s="133"/>
      <c r="E46" s="541" t="s">
        <v>611</v>
      </c>
      <c r="F46" s="542"/>
      <c r="G46" s="284">
        <f>G43+G45</f>
        <v>0</v>
      </c>
    </row>
    <row r="47" spans="1:8">
      <c r="A47" s="191"/>
      <c r="B47" s="334" t="str">
        <f>IF(C44&lt;0,"See Tab B","")</f>
        <v/>
      </c>
      <c r="C47" s="442" t="str">
        <f>IF(E44&lt;0,"See Tab D","")</f>
        <v/>
      </c>
      <c r="D47" s="133"/>
      <c r="E47" s="541" t="s">
        <v>363</v>
      </c>
      <c r="F47" s="542"/>
      <c r="G47" s="329">
        <f>IF(G46-G24&gt;0,G46-G24,0)</f>
        <v>0</v>
      </c>
    </row>
    <row r="48" spans="1:8">
      <c r="A48" s="209"/>
      <c r="B48" s="133"/>
      <c r="C48" s="133"/>
      <c r="D48" s="534" t="s">
        <v>612</v>
      </c>
      <c r="E48" s="535"/>
      <c r="F48" s="335">
        <f ca="1">inputOth!$E$42</f>
        <v>0</v>
      </c>
      <c r="G48" s="284">
        <f>ROUND(IF(F48&gt;0,(G47*F48),0),0)</f>
        <v>0</v>
      </c>
    </row>
    <row r="49" spans="1:7">
      <c r="A49" s="133"/>
      <c r="B49" s="133"/>
      <c r="C49" s="558" t="str">
        <f>CONCATENATE("Amount of  ",$G$1-1," Ad Valorem Tax")</f>
        <v>Amount of  2012 Ad Valorem Tax</v>
      </c>
      <c r="D49" s="559"/>
      <c r="E49" s="559"/>
      <c r="F49" s="560"/>
      <c r="G49" s="329">
        <f>G47+G48</f>
        <v>0</v>
      </c>
    </row>
    <row r="50" spans="1:7">
      <c r="A50" s="133"/>
      <c r="B50" s="133"/>
      <c r="C50" s="133"/>
      <c r="D50" s="133"/>
      <c r="E50" s="133"/>
      <c r="F50" s="133"/>
      <c r="G50" s="133"/>
    </row>
    <row r="51" spans="1:7">
      <c r="A51" s="133"/>
      <c r="B51" s="133"/>
      <c r="C51" s="133"/>
      <c r="D51" s="133"/>
      <c r="E51" s="133"/>
      <c r="F51" s="133"/>
      <c r="G51" s="133"/>
    </row>
    <row r="52" spans="1:7">
      <c r="A52" s="357" t="s">
        <v>365</v>
      </c>
      <c r="B52" s="358">
        <f>G1-2</f>
        <v>2011</v>
      </c>
      <c r="C52" s="359"/>
      <c r="D52" s="359"/>
      <c r="E52" s="133"/>
      <c r="F52" s="133"/>
      <c r="G52" s="133"/>
    </row>
    <row r="53" spans="1:7">
      <c r="A53" s="146" t="s">
        <v>366</v>
      </c>
      <c r="B53" s="148" t="s">
        <v>367</v>
      </c>
      <c r="C53" s="359"/>
      <c r="D53" s="359"/>
      <c r="E53" s="133"/>
      <c r="F53" s="133"/>
      <c r="G53" s="133"/>
    </row>
    <row r="54" spans="1:7">
      <c r="A54" s="179" t="s">
        <v>349</v>
      </c>
      <c r="B54" s="279"/>
      <c r="C54" s="359"/>
      <c r="D54" s="359"/>
      <c r="E54" s="133"/>
      <c r="F54" s="133"/>
      <c r="G54" s="133"/>
    </row>
    <row r="55" spans="1:7">
      <c r="A55" s="179" t="s">
        <v>368</v>
      </c>
      <c r="B55" s="251"/>
      <c r="C55" s="359"/>
      <c r="D55" s="359"/>
      <c r="E55" s="133"/>
      <c r="F55" s="133"/>
      <c r="G55" s="133"/>
    </row>
    <row r="56" spans="1:7">
      <c r="A56" s="179" t="s">
        <v>369</v>
      </c>
      <c r="B56" s="329">
        <f>IF(C38&gt;0,C38,0)</f>
        <v>0</v>
      </c>
      <c r="C56" s="360" t="str">
        <f>IF(C38&gt;(C24*0.25),"Exceeds 25% of Resources Available","")</f>
        <v/>
      </c>
      <c r="D56" s="360"/>
      <c r="E56" s="360"/>
      <c r="F56" s="360"/>
      <c r="G56" s="133"/>
    </row>
    <row r="57" spans="1:7">
      <c r="A57" s="179" t="s">
        <v>613</v>
      </c>
      <c r="B57" s="329">
        <f ca="1">gen!C43</f>
        <v>0</v>
      </c>
      <c r="C57" s="564" t="str">
        <f>IF(AND(B57&gt;0,B58&gt;0),"Not Authtorize Two Transfers - Only One","")</f>
        <v/>
      </c>
      <c r="D57" s="565"/>
      <c r="E57" s="360"/>
      <c r="F57" s="360"/>
      <c r="G57" s="133"/>
    </row>
    <row r="58" spans="1:7">
      <c r="A58" s="361" t="s">
        <v>614</v>
      </c>
      <c r="B58" s="329">
        <f ca="1">gen!C45</f>
        <v>0</v>
      </c>
      <c r="C58" s="566"/>
      <c r="D58" s="565"/>
      <c r="E58" s="133"/>
      <c r="F58" s="133"/>
      <c r="G58" s="133"/>
    </row>
    <row r="59" spans="1:7">
      <c r="A59" s="362"/>
      <c r="B59" s="279"/>
      <c r="C59" s="359"/>
      <c r="D59" s="359"/>
      <c r="E59" s="133"/>
      <c r="F59" s="133"/>
      <c r="G59" s="133"/>
    </row>
    <row r="60" spans="1:7">
      <c r="A60" s="362" t="s">
        <v>357</v>
      </c>
      <c r="B60" s="279"/>
      <c r="C60" s="359"/>
      <c r="D60" s="359"/>
      <c r="E60" s="133"/>
      <c r="F60" s="133"/>
      <c r="G60" s="133"/>
    </row>
    <row r="61" spans="1:7">
      <c r="A61" s="362" t="s">
        <v>356</v>
      </c>
      <c r="B61" s="279"/>
      <c r="C61" s="359"/>
      <c r="D61" s="359"/>
      <c r="E61" s="133"/>
      <c r="F61" s="133"/>
      <c r="G61" s="133"/>
    </row>
    <row r="62" spans="1:7">
      <c r="A62" s="363" t="s">
        <v>359</v>
      </c>
      <c r="B62" s="284">
        <f>SUM(B54:B61)</f>
        <v>0</v>
      </c>
      <c r="C62" s="359"/>
      <c r="D62" s="359"/>
      <c r="E62" s="133"/>
      <c r="F62" s="133"/>
      <c r="G62" s="133"/>
    </row>
    <row r="63" spans="1:7">
      <c r="A63" s="363" t="s">
        <v>361</v>
      </c>
      <c r="B63" s="279"/>
      <c r="C63" s="359"/>
      <c r="D63" s="359"/>
      <c r="E63" s="133"/>
      <c r="F63" s="133"/>
      <c r="G63" s="133"/>
    </row>
    <row r="64" spans="1:7">
      <c r="A64" s="363" t="s">
        <v>362</v>
      </c>
      <c r="B64" s="330">
        <f>B62-B63</f>
        <v>0</v>
      </c>
      <c r="C64" s="359"/>
      <c r="D64" s="359"/>
      <c r="E64" s="133"/>
      <c r="F64" s="133"/>
      <c r="G64" s="133"/>
    </row>
    <row r="65" spans="1:7">
      <c r="A65" s="133"/>
      <c r="B65" s="133"/>
      <c r="C65" s="133"/>
      <c r="D65" s="133"/>
      <c r="E65" s="133"/>
      <c r="F65" s="133"/>
      <c r="G65" s="133"/>
    </row>
    <row r="66" spans="1:7">
      <c r="A66" s="209" t="s">
        <v>344</v>
      </c>
      <c r="B66" s="364"/>
      <c r="C66" s="133"/>
      <c r="D66" s="133"/>
      <c r="E66" s="133"/>
      <c r="F66" s="133"/>
      <c r="G66" s="133"/>
    </row>
    <row r="68" spans="1:7">
      <c r="A68" s="182"/>
    </row>
    <row r="85" spans="2:2">
      <c r="B85" s="339"/>
    </row>
    <row r="86" spans="2:2">
      <c r="B86" s="339"/>
    </row>
    <row r="87" spans="2:2">
      <c r="B87" s="339"/>
    </row>
  </sheetData>
  <sheetProtection sheet="1" objects="1" scenarios="1"/>
  <mergeCells count="88">
    <mergeCell ref="E17:F17"/>
    <mergeCell ref="E13:F13"/>
    <mergeCell ref="E14:F14"/>
    <mergeCell ref="C13:D13"/>
    <mergeCell ref="E32:F32"/>
    <mergeCell ref="E19:F19"/>
    <mergeCell ref="E20:F20"/>
    <mergeCell ref="E18:F18"/>
    <mergeCell ref="E23:F23"/>
    <mergeCell ref="E24:F24"/>
    <mergeCell ref="C17:D17"/>
    <mergeCell ref="E34:F34"/>
    <mergeCell ref="C31:D31"/>
    <mergeCell ref="C32:D32"/>
    <mergeCell ref="E8:F8"/>
    <mergeCell ref="C18:D18"/>
    <mergeCell ref="E9:F9"/>
    <mergeCell ref="E10:F10"/>
    <mergeCell ref="C14:D14"/>
    <mergeCell ref="C11:D11"/>
    <mergeCell ref="C30:D30"/>
    <mergeCell ref="C33:D33"/>
    <mergeCell ref="E33:F33"/>
    <mergeCell ref="C25:D25"/>
    <mergeCell ref="C24:D24"/>
    <mergeCell ref="C35:D35"/>
    <mergeCell ref="C27:D27"/>
    <mergeCell ref="C28:D28"/>
    <mergeCell ref="E25:F25"/>
    <mergeCell ref="E31:F31"/>
    <mergeCell ref="E4:F4"/>
    <mergeCell ref="E5:F5"/>
    <mergeCell ref="C4:D4"/>
    <mergeCell ref="C5:D5"/>
    <mergeCell ref="C23:D23"/>
    <mergeCell ref="C26:D26"/>
    <mergeCell ref="E26:F26"/>
    <mergeCell ref="E11:F11"/>
    <mergeCell ref="E12:F12"/>
    <mergeCell ref="C16:D16"/>
    <mergeCell ref="C15:D15"/>
    <mergeCell ref="E6:F6"/>
    <mergeCell ref="E7:F7"/>
    <mergeCell ref="C12:D12"/>
    <mergeCell ref="E15:F15"/>
    <mergeCell ref="C6:D6"/>
    <mergeCell ref="C7:D7"/>
    <mergeCell ref="C9:D9"/>
    <mergeCell ref="C10:D10"/>
    <mergeCell ref="C8:D8"/>
    <mergeCell ref="C19:D19"/>
    <mergeCell ref="C22:D22"/>
    <mergeCell ref="C21:D21"/>
    <mergeCell ref="E21:F21"/>
    <mergeCell ref="E22:F22"/>
    <mergeCell ref="C20:D20"/>
    <mergeCell ref="E16:F16"/>
    <mergeCell ref="C29:D29"/>
    <mergeCell ref="C44:D44"/>
    <mergeCell ref="C43:D43"/>
    <mergeCell ref="E44:F44"/>
    <mergeCell ref="E27:F27"/>
    <mergeCell ref="E28:F28"/>
    <mergeCell ref="E29:F29"/>
    <mergeCell ref="E30:F30"/>
    <mergeCell ref="C42:D42"/>
    <mergeCell ref="E35:F35"/>
    <mergeCell ref="C37:D37"/>
    <mergeCell ref="C39:D39"/>
    <mergeCell ref="E37:F37"/>
    <mergeCell ref="E38:F38"/>
    <mergeCell ref="E39:F39"/>
    <mergeCell ref="C34:D34"/>
    <mergeCell ref="E43:F43"/>
    <mergeCell ref="E36:F36"/>
    <mergeCell ref="C57:D58"/>
    <mergeCell ref="D48:E48"/>
    <mergeCell ref="C49:F49"/>
    <mergeCell ref="E40:F40"/>
    <mergeCell ref="D45:F45"/>
    <mergeCell ref="E46:F46"/>
    <mergeCell ref="E47:F47"/>
    <mergeCell ref="E42:F42"/>
    <mergeCell ref="C41:D41"/>
    <mergeCell ref="E41:F41"/>
    <mergeCell ref="C36:D36"/>
    <mergeCell ref="C40:D40"/>
    <mergeCell ref="C38:D38"/>
  </mergeCells>
  <phoneticPr fontId="0" type="noConversion"/>
  <conditionalFormatting sqref="G45">
    <cfRule type="cellIs" dxfId="146" priority="2" stopIfTrue="1" operator="greaterThan">
      <formula>$G$43/0.95-$G$43</formula>
    </cfRule>
  </conditionalFormatting>
  <conditionalFormatting sqref="C41:D41">
    <cfRule type="cellIs" dxfId="145" priority="3" stopIfTrue="1" operator="greaterThan">
      <formula>$C$43*0.1</formula>
    </cfRule>
  </conditionalFormatting>
  <conditionalFormatting sqref="E41:F41">
    <cfRule type="cellIs" dxfId="144" priority="4" stopIfTrue="1" operator="greaterThan">
      <formula>$E$43*0.1</formula>
    </cfRule>
  </conditionalFormatting>
  <conditionalFormatting sqref="G41">
    <cfRule type="cellIs" dxfId="143" priority="5" stopIfTrue="1" operator="greaterThan">
      <formula>$G$43*0.1</formula>
    </cfRule>
  </conditionalFormatting>
  <conditionalFormatting sqref="C21:D21">
    <cfRule type="cellIs" dxfId="142" priority="6" stopIfTrue="1" operator="greaterThan">
      <formula>$C$23*0.1</formula>
    </cfRule>
  </conditionalFormatting>
  <conditionalFormatting sqref="E21:F21">
    <cfRule type="cellIs" dxfId="141" priority="7" stopIfTrue="1" operator="greaterThan">
      <formula>$E$23*0.1</formula>
    </cfRule>
  </conditionalFormatting>
  <conditionalFormatting sqref="C38:D38">
    <cfRule type="cellIs" dxfId="140" priority="8" stopIfTrue="1" operator="greaterThan">
      <formula>$C$24*0.25</formula>
    </cfRule>
  </conditionalFormatting>
  <conditionalFormatting sqref="G21">
    <cfRule type="cellIs" dxfId="139" priority="9" stopIfTrue="1" operator="greaterThan">
      <formula>$G$23*0.1+$G$49</formula>
    </cfRule>
  </conditionalFormatting>
  <conditionalFormatting sqref="C44:D44">
    <cfRule type="cellIs" dxfId="138" priority="10" stopIfTrue="1" operator="lessThan">
      <formula>0</formula>
    </cfRule>
  </conditionalFormatting>
  <conditionalFormatting sqref="C43:D43">
    <cfRule type="cellIs" dxfId="137" priority="11" stopIfTrue="1" operator="greaterThan">
      <formula>$B$45</formula>
    </cfRule>
  </conditionalFormatting>
  <conditionalFormatting sqref="E43:F43">
    <cfRule type="cellIs" dxfId="136" priority="12" stopIfTrue="1" operator="greaterThan">
      <formula>$C$45</formula>
    </cfRule>
  </conditionalFormatting>
  <conditionalFormatting sqref="E38:F38">
    <cfRule type="cellIs" dxfId="135" priority="13" stopIfTrue="1" operator="greaterThan">
      <formula>$E$24*0.25</formula>
    </cfRule>
  </conditionalFormatting>
  <conditionalFormatting sqref="G38">
    <cfRule type="cellIs" dxfId="134" priority="14" stopIfTrue="1" operator="greaterThan">
      <formula>$G$24*0.25+$G$49</formula>
    </cfRule>
  </conditionalFormatting>
  <conditionalFormatting sqref="E44:F44">
    <cfRule type="cellIs" dxfId="133" priority="1" stopIfTrue="1" operator="lessThan">
      <formula>0</formula>
    </cfRule>
  </conditionalFormatting>
  <pageMargins left="0.9" right="0.9" top="0.96" bottom="0.5" header="0.41" footer="0.3"/>
  <pageSetup scale="72" orientation="portrait" blackAndWhite="1" horizontalDpi="4294967292" verticalDpi="96" r:id="rId1"/>
  <headerFooter alignWithMargins="0">
    <oddHeader xml:space="preserve">&amp;RState of Kansas
Township
</oddHeader>
    <oddFooter>&amp;Lrevised 8/25/09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3</vt:i4>
      </vt:variant>
    </vt:vector>
  </HeadingPairs>
  <TitlesOfParts>
    <vt:vector size="33" baseType="lpstr">
      <vt:lpstr>instructions</vt:lpstr>
      <vt:lpstr>inputPrYr</vt:lpstr>
      <vt:lpstr>inputOth</vt:lpstr>
      <vt:lpstr>inputBudSum</vt:lpstr>
      <vt:lpstr>summ</vt:lpstr>
      <vt:lpstr>cert</vt:lpstr>
      <vt:lpstr>computation</vt:lpstr>
      <vt:lpstr>gen</vt:lpstr>
      <vt:lpstr>road</vt:lpstr>
      <vt:lpstr>levypage9</vt:lpstr>
      <vt:lpstr>levypage10</vt:lpstr>
      <vt:lpstr>levypage11</vt:lpstr>
      <vt:lpstr>levypage12</vt:lpstr>
      <vt:lpstr>nolevypage13</vt:lpstr>
      <vt:lpstr>nolevypage14</vt:lpstr>
      <vt:lpstr>mvalloc</vt:lpstr>
      <vt:lpstr>transfer</vt:lpstr>
      <vt:lpstr>TransferStatutes</vt:lpstr>
      <vt:lpstr>debt</vt:lpstr>
      <vt:lpstr>DebtService</vt:lpstr>
      <vt:lpstr>nonbud</vt:lpstr>
      <vt:lpstr>NonBudFunds</vt:lpstr>
      <vt:lpstr>nhood</vt:lpstr>
      <vt:lpstr>Resolution</vt:lpstr>
      <vt:lpstr>Tab A</vt:lpstr>
      <vt:lpstr>Tab B</vt:lpstr>
      <vt:lpstr>Tab C</vt:lpstr>
      <vt:lpstr>Tab D</vt:lpstr>
      <vt:lpstr>Tab E</vt:lpstr>
      <vt:lpstr>legend</vt:lpstr>
      <vt:lpstr>gen!Print_Area</vt:lpstr>
      <vt:lpstr>inputPrYr!Print_Area</vt:lpstr>
      <vt:lpstr>road!Print_Area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Dept. of Administration</dc:creator>
  <cp:lastModifiedBy>mn</cp:lastModifiedBy>
  <cp:lastPrinted>2012-07-09T16:26:37Z</cp:lastPrinted>
  <dcterms:created xsi:type="dcterms:W3CDTF">1998-08-26T16:30:41Z</dcterms:created>
  <dcterms:modified xsi:type="dcterms:W3CDTF">2012-07-10T20:42:19Z</dcterms:modified>
</cp:coreProperties>
</file>